
<file path=[Content_Types].xml><?xml version="1.0" encoding="utf-8"?>
<Types xmlns="http://schemas.openxmlformats.org/package/2006/content-types">
  <Default Extension="xml" ContentType="application/xml"/>
  <Default Extension="png" ContentType="image/png"/>
  <Default Extension="gif" ContentType="image/gi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ml.chartshapes+xml"/>
  <Override PartName="/xl/charts/chart8.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240" yWindow="100" windowWidth="25900" windowHeight="15140" tabRatio="848" firstSheet="2" activeTab="9"/>
  </bookViews>
  <sheets>
    <sheet name="Forests" sheetId="3" r:id="rId1"/>
    <sheet name="wind" sheetId="5" r:id="rId2"/>
    <sheet name="Summary" sheetId="1" r:id="rId3"/>
    <sheet name="CO2 amounts" sheetId="4" r:id="rId4"/>
    <sheet name="Solar" sheetId="2" r:id="rId5"/>
    <sheet name="edit history" sheetId="6" r:id="rId6"/>
    <sheet name="development plan (Wind)" sheetId="7" state="hidden" r:id="rId7"/>
    <sheet name="Dev Plan (Wind)" sheetId="12" r:id="rId8"/>
    <sheet name="Wind Graphs" sheetId="8" r:id="rId9"/>
    <sheet name="Development Plan (Solar)" sheetId="9" r:id="rId10"/>
    <sheet name="Solar Graphs" sheetId="10" r:id="rId11"/>
    <sheet name="Alberta Electricity Profile" sheetId="11" r:id="rId12"/>
    <sheet name="PV Output" sheetId="14" r:id="rId13"/>
  </sheets>
  <definedNames>
    <definedName name="_xlnm.Print_Area" localSheetId="12">'PV Output'!$B$2:$J$31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22" i="9" l="1"/>
  <c r="L23" i="9"/>
  <c r="L24" i="9"/>
  <c r="L25" i="9"/>
  <c r="L26" i="9"/>
  <c r="L27" i="9"/>
  <c r="L28" i="9"/>
  <c r="L29" i="9"/>
  <c r="L30" i="9"/>
  <c r="L31" i="9"/>
  <c r="L32" i="9"/>
  <c r="L33" i="9"/>
  <c r="L34" i="9"/>
  <c r="L35" i="9"/>
  <c r="L36" i="9"/>
  <c r="L37" i="9"/>
  <c r="L38" i="9"/>
  <c r="L39" i="9"/>
  <c r="L40" i="9"/>
  <c r="L41" i="9"/>
  <c r="L42" i="9"/>
  <c r="L43" i="9"/>
  <c r="L44" i="9"/>
  <c r="L45" i="9"/>
  <c r="L46" i="9"/>
  <c r="L47" i="9"/>
  <c r="C22" i="9"/>
  <c r="J23" i="9"/>
  <c r="K23" i="9"/>
  <c r="E23" i="9"/>
  <c r="L48" i="9"/>
  <c r="C23" i="9"/>
  <c r="J24" i="9"/>
  <c r="K24" i="9"/>
  <c r="E24" i="9"/>
  <c r="L49" i="9"/>
  <c r="C24" i="9"/>
  <c r="J25" i="9"/>
  <c r="K25" i="9"/>
  <c r="E25" i="9"/>
  <c r="L50" i="9"/>
  <c r="C25" i="9"/>
  <c r="J26" i="9"/>
  <c r="K26" i="9"/>
  <c r="E26" i="9"/>
  <c r="L51" i="9"/>
  <c r="C26" i="9"/>
  <c r="J27" i="9"/>
  <c r="K27" i="9"/>
  <c r="E27" i="9"/>
  <c r="L52" i="9"/>
  <c r="C27" i="9"/>
  <c r="J28" i="9"/>
  <c r="K28" i="9"/>
  <c r="E28" i="9"/>
  <c r="L53" i="9"/>
  <c r="C28" i="9"/>
  <c r="J29" i="9"/>
  <c r="K29" i="9"/>
  <c r="E29" i="9"/>
  <c r="L54" i="9"/>
  <c r="C29" i="9"/>
  <c r="J30" i="9"/>
  <c r="K30" i="9"/>
  <c r="E30" i="9"/>
  <c r="L55" i="9"/>
  <c r="C30" i="9"/>
  <c r="J31" i="9"/>
  <c r="K31" i="9"/>
  <c r="E31" i="9"/>
  <c r="L56" i="9"/>
  <c r="C31" i="9"/>
  <c r="J32" i="9"/>
  <c r="K32" i="9"/>
  <c r="E32" i="9"/>
  <c r="L57" i="9"/>
  <c r="C32" i="9"/>
  <c r="J33" i="9"/>
  <c r="K33" i="9"/>
  <c r="E33" i="9"/>
  <c r="L58" i="9"/>
  <c r="C33" i="9"/>
  <c r="J34" i="9"/>
  <c r="K34" i="9"/>
  <c r="E34" i="9"/>
  <c r="L59" i="9"/>
  <c r="C34" i="9"/>
  <c r="J35" i="9"/>
  <c r="K35" i="9"/>
  <c r="E35" i="9"/>
  <c r="L60" i="9"/>
  <c r="C35" i="9"/>
  <c r="J36" i="9"/>
  <c r="K36" i="9"/>
  <c r="E36" i="9"/>
  <c r="L61" i="9"/>
  <c r="C36" i="9"/>
  <c r="J37" i="9"/>
  <c r="K37" i="9"/>
  <c r="E37" i="9"/>
  <c r="L62" i="9"/>
  <c r="C37" i="9"/>
  <c r="J38" i="9"/>
  <c r="K38" i="9"/>
  <c r="E38" i="9"/>
  <c r="L63" i="9"/>
  <c r="C38" i="9"/>
  <c r="J39" i="9"/>
  <c r="K39" i="9"/>
  <c r="E39" i="9"/>
  <c r="L64" i="9"/>
  <c r="C39" i="9"/>
  <c r="J40" i="9"/>
  <c r="K40" i="9"/>
  <c r="E40" i="9"/>
  <c r="L65" i="9"/>
  <c r="C40" i="9"/>
  <c r="J41" i="9"/>
  <c r="K41" i="9"/>
  <c r="E41" i="9"/>
  <c r="L66" i="9"/>
  <c r="C41" i="9"/>
  <c r="J42" i="9"/>
  <c r="K42" i="9"/>
  <c r="E42" i="9"/>
  <c r="L67" i="9"/>
  <c r="C42" i="9"/>
  <c r="J43" i="9"/>
  <c r="K43" i="9"/>
  <c r="E43" i="9"/>
  <c r="L68" i="9"/>
  <c r="C43" i="9"/>
  <c r="J44" i="9"/>
  <c r="K44" i="9"/>
  <c r="E44" i="9"/>
  <c r="L69" i="9"/>
  <c r="C44" i="9"/>
  <c r="J45" i="9"/>
  <c r="K45" i="9"/>
  <c r="E45" i="9"/>
  <c r="L70" i="9"/>
  <c r="C45" i="9"/>
  <c r="J46" i="9"/>
  <c r="K46" i="9"/>
  <c r="E46" i="9"/>
  <c r="L71" i="9"/>
  <c r="C46" i="9"/>
  <c r="J47" i="9"/>
  <c r="K47" i="9"/>
  <c r="E47" i="9"/>
  <c r="L72" i="9"/>
  <c r="C47" i="9"/>
  <c r="J48" i="9"/>
  <c r="K48" i="9"/>
  <c r="E48" i="9"/>
  <c r="L73" i="9"/>
  <c r="C48" i="9"/>
  <c r="J49" i="9"/>
  <c r="K49" i="9"/>
  <c r="E49" i="9"/>
  <c r="L74" i="9"/>
  <c r="C49" i="9"/>
  <c r="J50" i="9"/>
  <c r="K50" i="9"/>
  <c r="E50" i="9"/>
  <c r="L75" i="9"/>
  <c r="C50" i="9"/>
  <c r="J51" i="9"/>
  <c r="K51" i="9"/>
  <c r="E51" i="9"/>
  <c r="L76" i="9"/>
  <c r="C51" i="9"/>
  <c r="J52" i="9"/>
  <c r="K52" i="9"/>
  <c r="E52" i="9"/>
  <c r="L77" i="9"/>
  <c r="C52" i="9"/>
  <c r="J53" i="9"/>
  <c r="K53" i="9"/>
  <c r="E53" i="9"/>
  <c r="L78" i="9"/>
  <c r="C53" i="9"/>
  <c r="J54" i="9"/>
  <c r="K54" i="9"/>
  <c r="E54" i="9"/>
  <c r="L79" i="9"/>
  <c r="C54" i="9"/>
  <c r="J55" i="9"/>
  <c r="K55" i="9"/>
  <c r="E55" i="9"/>
  <c r="L80" i="9"/>
  <c r="C55" i="9"/>
  <c r="J56" i="9"/>
  <c r="K56" i="9"/>
  <c r="E56" i="9"/>
  <c r="L81" i="9"/>
  <c r="C56" i="9"/>
  <c r="J57" i="9"/>
  <c r="K57" i="9"/>
  <c r="E57" i="9"/>
  <c r="L82" i="9"/>
  <c r="C57" i="9"/>
  <c r="J58" i="9"/>
  <c r="K58" i="9"/>
  <c r="E58" i="9"/>
  <c r="L83" i="9"/>
  <c r="C58" i="9"/>
  <c r="J59" i="9"/>
  <c r="K59" i="9"/>
  <c r="E59" i="9"/>
  <c r="L84" i="9"/>
  <c r="C59" i="9"/>
  <c r="J60" i="9"/>
  <c r="K60" i="9"/>
  <c r="E60" i="9"/>
  <c r="L85" i="9"/>
  <c r="C60" i="9"/>
  <c r="J61" i="9"/>
  <c r="K61" i="9"/>
  <c r="E61" i="9"/>
  <c r="L86" i="9"/>
  <c r="C61" i="9"/>
  <c r="J62" i="9"/>
  <c r="K62" i="9"/>
  <c r="E62" i="9"/>
  <c r="L87" i="9"/>
  <c r="C62" i="9"/>
  <c r="J63" i="9"/>
  <c r="K63" i="9"/>
  <c r="E63" i="9"/>
  <c r="L88" i="9"/>
  <c r="C63" i="9"/>
  <c r="J64" i="9"/>
  <c r="K64" i="9"/>
  <c r="E64" i="9"/>
  <c r="L89" i="9"/>
  <c r="C64" i="9"/>
  <c r="J65" i="9"/>
  <c r="K65" i="9"/>
  <c r="E65" i="9"/>
  <c r="L90" i="9"/>
  <c r="C65" i="9"/>
  <c r="J66" i="9"/>
  <c r="K66" i="9"/>
  <c r="E66" i="9"/>
  <c r="L91" i="9"/>
  <c r="C66" i="9"/>
  <c r="J67" i="9"/>
  <c r="K67" i="9"/>
  <c r="E67" i="9"/>
  <c r="L92" i="9"/>
  <c r="C67" i="9"/>
  <c r="J68" i="9"/>
  <c r="K68" i="9"/>
  <c r="E68" i="9"/>
  <c r="L93" i="9"/>
  <c r="C68" i="9"/>
  <c r="J69" i="9"/>
  <c r="K69" i="9"/>
  <c r="E69" i="9"/>
  <c r="L94" i="9"/>
  <c r="C69" i="9"/>
  <c r="J70" i="9"/>
  <c r="K70" i="9"/>
  <c r="E70" i="9"/>
  <c r="L95" i="9"/>
  <c r="C70" i="9"/>
  <c r="J71" i="9"/>
  <c r="K71" i="9"/>
  <c r="E71" i="9"/>
  <c r="L96" i="9"/>
  <c r="C71" i="9"/>
  <c r="J72" i="9"/>
  <c r="K72" i="9"/>
  <c r="E72" i="9"/>
  <c r="L97" i="9"/>
  <c r="C72" i="9"/>
  <c r="J73" i="9"/>
  <c r="K73" i="9"/>
  <c r="E73" i="9"/>
  <c r="L98" i="9"/>
  <c r="C73" i="9"/>
  <c r="J74" i="9"/>
  <c r="K74" i="9"/>
  <c r="E74" i="9"/>
  <c r="L99" i="9"/>
  <c r="C74" i="9"/>
  <c r="J75" i="9"/>
  <c r="K75" i="9"/>
  <c r="E75" i="9"/>
  <c r="L100" i="9"/>
  <c r="C75" i="9"/>
  <c r="J76" i="9"/>
  <c r="K76" i="9"/>
  <c r="E76" i="9"/>
  <c r="L101" i="9"/>
  <c r="C76" i="9"/>
  <c r="J77" i="9"/>
  <c r="K77" i="9"/>
  <c r="E77" i="9"/>
  <c r="L102" i="9"/>
  <c r="C77" i="9"/>
  <c r="J78" i="9"/>
  <c r="K78" i="9"/>
  <c r="E78" i="9"/>
  <c r="L103" i="9"/>
  <c r="C78" i="9"/>
  <c r="J79" i="9"/>
  <c r="K79" i="9"/>
  <c r="E79" i="9"/>
  <c r="L104" i="9"/>
  <c r="C79" i="9"/>
  <c r="J80" i="9"/>
  <c r="K80" i="9"/>
  <c r="E80" i="9"/>
  <c r="L105" i="9"/>
  <c r="C80" i="9"/>
  <c r="J81" i="9"/>
  <c r="K81" i="9"/>
  <c r="E81" i="9"/>
  <c r="L106" i="9"/>
  <c r="C81" i="9"/>
  <c r="J82" i="9"/>
  <c r="K82" i="9"/>
  <c r="E82" i="9"/>
  <c r="L107" i="9"/>
  <c r="C82" i="9"/>
  <c r="J83" i="9"/>
  <c r="K83" i="9"/>
  <c r="E83" i="9"/>
  <c r="L108" i="9"/>
  <c r="C83" i="9"/>
  <c r="J84" i="9"/>
  <c r="K84" i="9"/>
  <c r="E84" i="9"/>
  <c r="L109" i="9"/>
  <c r="C84" i="9"/>
  <c r="J85" i="9"/>
  <c r="K85" i="9"/>
  <c r="E85" i="9"/>
  <c r="L110" i="9"/>
  <c r="C85" i="9"/>
  <c r="J86" i="9"/>
  <c r="K86" i="9"/>
  <c r="E86" i="9"/>
  <c r="L111" i="9"/>
  <c r="C86" i="9"/>
  <c r="J87" i="9"/>
  <c r="K87" i="9"/>
  <c r="E87" i="9"/>
  <c r="L112" i="9"/>
  <c r="C87" i="9"/>
  <c r="J88" i="9"/>
  <c r="K88" i="9"/>
  <c r="E88" i="9"/>
  <c r="L113" i="9"/>
  <c r="C88" i="9"/>
  <c r="J89" i="9"/>
  <c r="K89" i="9"/>
  <c r="E89" i="9"/>
  <c r="L114" i="9"/>
  <c r="C89" i="9"/>
  <c r="J90" i="9"/>
  <c r="K90" i="9"/>
  <c r="E90" i="9"/>
  <c r="L115" i="9"/>
  <c r="C90" i="9"/>
  <c r="J91" i="9"/>
  <c r="K91" i="9"/>
  <c r="E91" i="9"/>
  <c r="L116" i="9"/>
  <c r="C91" i="9"/>
  <c r="J92" i="9"/>
  <c r="K92" i="9"/>
  <c r="E92" i="9"/>
  <c r="L117" i="9"/>
  <c r="C92" i="9"/>
  <c r="J93" i="9"/>
  <c r="K93" i="9"/>
  <c r="E93" i="9"/>
  <c r="L118" i="9"/>
  <c r="C93" i="9"/>
  <c r="J94" i="9"/>
  <c r="K94" i="9"/>
  <c r="E94" i="9"/>
  <c r="L119" i="9"/>
  <c r="C94" i="9"/>
  <c r="J95" i="9"/>
  <c r="K95" i="9"/>
  <c r="E95" i="9"/>
  <c r="L120" i="9"/>
  <c r="L21" i="9"/>
  <c r="N22" i="12"/>
  <c r="N23" i="12"/>
  <c r="N24" i="12"/>
  <c r="N25" i="12"/>
  <c r="N26" i="12"/>
  <c r="N27" i="12"/>
  <c r="N28" i="12"/>
  <c r="N29" i="12"/>
  <c r="N30" i="12"/>
  <c r="N31" i="12"/>
  <c r="N32" i="12"/>
  <c r="N33" i="12"/>
  <c r="N34" i="12"/>
  <c r="N35" i="12"/>
  <c r="N36" i="12"/>
  <c r="N37" i="12"/>
  <c r="N38" i="12"/>
  <c r="N39" i="12"/>
  <c r="N40" i="12"/>
  <c r="N41" i="12"/>
  <c r="N42" i="12"/>
  <c r="C22" i="12"/>
  <c r="L23" i="12"/>
  <c r="M23" i="12"/>
  <c r="E23" i="12"/>
  <c r="N43" i="12"/>
  <c r="C23" i="12"/>
  <c r="L24" i="12"/>
  <c r="M24" i="12"/>
  <c r="E24" i="12"/>
  <c r="N44" i="12"/>
  <c r="C24" i="12"/>
  <c r="L25" i="12"/>
  <c r="M25" i="12"/>
  <c r="E25" i="12"/>
  <c r="N45" i="12"/>
  <c r="C25" i="12"/>
  <c r="L26" i="12"/>
  <c r="M26" i="12"/>
  <c r="E26" i="12"/>
  <c r="N46" i="12"/>
  <c r="C26" i="12"/>
  <c r="L27" i="12"/>
  <c r="M27" i="12"/>
  <c r="E27" i="12"/>
  <c r="N47" i="12"/>
  <c r="C27" i="12"/>
  <c r="L28" i="12"/>
  <c r="M28" i="12"/>
  <c r="E28" i="12"/>
  <c r="N48" i="12"/>
  <c r="C28" i="12"/>
  <c r="L29" i="12"/>
  <c r="M29" i="12"/>
  <c r="E29" i="12"/>
  <c r="N49" i="12"/>
  <c r="C29" i="12"/>
  <c r="L30" i="12"/>
  <c r="M30" i="12"/>
  <c r="E30" i="12"/>
  <c r="N50" i="12"/>
  <c r="C30" i="12"/>
  <c r="L31" i="12"/>
  <c r="M31" i="12"/>
  <c r="E31" i="12"/>
  <c r="N51" i="12"/>
  <c r="C31" i="12"/>
  <c r="L32" i="12"/>
  <c r="M32" i="12"/>
  <c r="E32" i="12"/>
  <c r="N52" i="12"/>
  <c r="C32" i="12"/>
  <c r="L33" i="12"/>
  <c r="M33" i="12"/>
  <c r="E33" i="12"/>
  <c r="N53" i="12"/>
  <c r="C33" i="12"/>
  <c r="L34" i="12"/>
  <c r="M34" i="12"/>
  <c r="E34" i="12"/>
  <c r="N54" i="12"/>
  <c r="C34" i="12"/>
  <c r="L35" i="12"/>
  <c r="M35" i="12"/>
  <c r="E35" i="12"/>
  <c r="N55" i="12"/>
  <c r="C35" i="12"/>
  <c r="L36" i="12"/>
  <c r="M36" i="12"/>
  <c r="E36" i="12"/>
  <c r="N56" i="12"/>
  <c r="C36" i="12"/>
  <c r="L37" i="12"/>
  <c r="M37" i="12"/>
  <c r="E37" i="12"/>
  <c r="N57" i="12"/>
  <c r="C37" i="12"/>
  <c r="L38" i="12"/>
  <c r="M38" i="12"/>
  <c r="E38" i="12"/>
  <c r="N58" i="12"/>
  <c r="C38" i="12"/>
  <c r="L39" i="12"/>
  <c r="M39" i="12"/>
  <c r="E39" i="12"/>
  <c r="N59" i="12"/>
  <c r="C39" i="12"/>
  <c r="L40" i="12"/>
  <c r="M40" i="12"/>
  <c r="E40" i="12"/>
  <c r="N60" i="12"/>
  <c r="C40" i="12"/>
  <c r="L41" i="12"/>
  <c r="M41" i="12"/>
  <c r="E41" i="12"/>
  <c r="N61" i="12"/>
  <c r="C41" i="12"/>
  <c r="L42" i="12"/>
  <c r="M42" i="12"/>
  <c r="E42" i="12"/>
  <c r="N62" i="12"/>
  <c r="C42" i="12"/>
  <c r="L43" i="12"/>
  <c r="M43" i="12"/>
  <c r="E43" i="12"/>
  <c r="N63" i="12"/>
  <c r="C43" i="12"/>
  <c r="L44" i="12"/>
  <c r="M44" i="12"/>
  <c r="E44" i="12"/>
  <c r="N64" i="12"/>
  <c r="C44" i="12"/>
  <c r="L45" i="12"/>
  <c r="M45" i="12"/>
  <c r="E45" i="12"/>
  <c r="N65" i="12"/>
  <c r="C45" i="12"/>
  <c r="L46" i="12"/>
  <c r="M46" i="12"/>
  <c r="E46" i="12"/>
  <c r="N66" i="12"/>
  <c r="C46" i="12"/>
  <c r="L47" i="12"/>
  <c r="M47" i="12"/>
  <c r="E47" i="12"/>
  <c r="N67" i="12"/>
  <c r="C47" i="12"/>
  <c r="L48" i="12"/>
  <c r="M48" i="12"/>
  <c r="E48" i="12"/>
  <c r="N68" i="12"/>
  <c r="C48" i="12"/>
  <c r="L49" i="12"/>
  <c r="M49" i="12"/>
  <c r="E49" i="12"/>
  <c r="N69" i="12"/>
  <c r="C49" i="12"/>
  <c r="L50" i="12"/>
  <c r="M50" i="12"/>
  <c r="E50" i="12"/>
  <c r="N70" i="12"/>
  <c r="C50" i="12"/>
  <c r="L51" i="12"/>
  <c r="M51" i="12"/>
  <c r="E51" i="12"/>
  <c r="N71" i="12"/>
  <c r="C51" i="12"/>
  <c r="L52" i="12"/>
  <c r="M52" i="12"/>
  <c r="E52" i="12"/>
  <c r="N72" i="12"/>
  <c r="C52" i="12"/>
  <c r="L53" i="12"/>
  <c r="M53" i="12"/>
  <c r="E53" i="12"/>
  <c r="N73" i="12"/>
  <c r="C53" i="12"/>
  <c r="L54" i="12"/>
  <c r="M54" i="12"/>
  <c r="E54" i="12"/>
  <c r="N74" i="12"/>
  <c r="C54" i="12"/>
  <c r="L55" i="12"/>
  <c r="M55" i="12"/>
  <c r="E55" i="12"/>
  <c r="N75" i="12"/>
  <c r="C55" i="12"/>
  <c r="L56" i="12"/>
  <c r="M56" i="12"/>
  <c r="E56" i="12"/>
  <c r="N76" i="12"/>
  <c r="C56" i="12"/>
  <c r="L57" i="12"/>
  <c r="M57" i="12"/>
  <c r="E57" i="12"/>
  <c r="N77" i="12"/>
  <c r="C57" i="12"/>
  <c r="L58" i="12"/>
  <c r="M58" i="12"/>
  <c r="E58" i="12"/>
  <c r="N78" i="12"/>
  <c r="C58" i="12"/>
  <c r="L59" i="12"/>
  <c r="M59" i="12"/>
  <c r="E59" i="12"/>
  <c r="N79" i="12"/>
  <c r="C59" i="12"/>
  <c r="L60" i="12"/>
  <c r="M60" i="12"/>
  <c r="E60" i="12"/>
  <c r="N80" i="12"/>
  <c r="C60" i="12"/>
  <c r="L61" i="12"/>
  <c r="M61" i="12"/>
  <c r="E61" i="12"/>
  <c r="N81" i="12"/>
  <c r="C61" i="12"/>
  <c r="L62" i="12"/>
  <c r="M62" i="12"/>
  <c r="E62" i="12"/>
  <c r="N82" i="12"/>
  <c r="C62" i="12"/>
  <c r="L63" i="12"/>
  <c r="M63" i="12"/>
  <c r="E63" i="12"/>
  <c r="N83" i="12"/>
  <c r="C63" i="12"/>
  <c r="L64" i="12"/>
  <c r="M64" i="12"/>
  <c r="E64" i="12"/>
  <c r="N84" i="12"/>
  <c r="C64" i="12"/>
  <c r="L65" i="12"/>
  <c r="M65" i="12"/>
  <c r="E65" i="12"/>
  <c r="N85" i="12"/>
  <c r="C65" i="12"/>
  <c r="L66" i="12"/>
  <c r="M66" i="12"/>
  <c r="E66" i="12"/>
  <c r="N86" i="12"/>
  <c r="C66" i="12"/>
  <c r="L67" i="12"/>
  <c r="M67" i="12"/>
  <c r="E67" i="12"/>
  <c r="N87" i="12"/>
  <c r="C67" i="12"/>
  <c r="L68" i="12"/>
  <c r="M68" i="12"/>
  <c r="E68" i="12"/>
  <c r="N88" i="12"/>
  <c r="C68" i="12"/>
  <c r="L69" i="12"/>
  <c r="M69" i="12"/>
  <c r="E69" i="12"/>
  <c r="N89" i="12"/>
  <c r="C69" i="12"/>
  <c r="L70" i="12"/>
  <c r="M70" i="12"/>
  <c r="E70" i="12"/>
  <c r="N90" i="12"/>
  <c r="C70" i="12"/>
  <c r="L71" i="12"/>
  <c r="M71" i="12"/>
  <c r="E71" i="12"/>
  <c r="N91" i="12"/>
  <c r="C71" i="12"/>
  <c r="L72" i="12"/>
  <c r="M72" i="12"/>
  <c r="E72" i="12"/>
  <c r="N92" i="12"/>
  <c r="C72" i="12"/>
  <c r="L73" i="12"/>
  <c r="M73" i="12"/>
  <c r="E73" i="12"/>
  <c r="N93" i="12"/>
  <c r="C73" i="12"/>
  <c r="L74" i="12"/>
  <c r="M74" i="12"/>
  <c r="E74" i="12"/>
  <c r="N94" i="12"/>
  <c r="C74" i="12"/>
  <c r="L75" i="12"/>
  <c r="M75" i="12"/>
  <c r="E75" i="12"/>
  <c r="N95" i="12"/>
  <c r="C75" i="12"/>
  <c r="L76" i="12"/>
  <c r="M76" i="12"/>
  <c r="E76" i="12"/>
  <c r="N96" i="12"/>
  <c r="C76" i="12"/>
  <c r="L77" i="12"/>
  <c r="M77" i="12"/>
  <c r="E77" i="12"/>
  <c r="N97" i="12"/>
  <c r="C77" i="12"/>
  <c r="L78" i="12"/>
  <c r="M78" i="12"/>
  <c r="E78" i="12"/>
  <c r="N98" i="12"/>
  <c r="C78" i="12"/>
  <c r="L79" i="12"/>
  <c r="M79" i="12"/>
  <c r="E79" i="12"/>
  <c r="N99" i="12"/>
  <c r="C79" i="12"/>
  <c r="L80" i="12"/>
  <c r="M80" i="12"/>
  <c r="E80" i="12"/>
  <c r="N100" i="12"/>
  <c r="C80" i="12"/>
  <c r="L81" i="12"/>
  <c r="M81" i="12"/>
  <c r="E81" i="12"/>
  <c r="N101" i="12"/>
  <c r="C81" i="12"/>
  <c r="L82" i="12"/>
  <c r="M82" i="12"/>
  <c r="E82" i="12"/>
  <c r="N102" i="12"/>
  <c r="C82" i="12"/>
  <c r="L83" i="12"/>
  <c r="M83" i="12"/>
  <c r="E83" i="12"/>
  <c r="N103" i="12"/>
  <c r="C83" i="12"/>
  <c r="L84" i="12"/>
  <c r="M84" i="12"/>
  <c r="E84" i="12"/>
  <c r="N104" i="12"/>
  <c r="C84" i="12"/>
  <c r="L85" i="12"/>
  <c r="M85" i="12"/>
  <c r="E85" i="12"/>
  <c r="N105" i="12"/>
  <c r="C85" i="12"/>
  <c r="L86" i="12"/>
  <c r="M86" i="12"/>
  <c r="E86" i="12"/>
  <c r="N106" i="12"/>
  <c r="C86" i="12"/>
  <c r="L87" i="12"/>
  <c r="M87" i="12"/>
  <c r="E87" i="12"/>
  <c r="N107" i="12"/>
  <c r="C87" i="12"/>
  <c r="L88" i="12"/>
  <c r="M88" i="12"/>
  <c r="E88" i="12"/>
  <c r="N108" i="12"/>
  <c r="C88" i="12"/>
  <c r="L89" i="12"/>
  <c r="M89" i="12"/>
  <c r="E89" i="12"/>
  <c r="N109" i="12"/>
  <c r="C89" i="12"/>
  <c r="L90" i="12"/>
  <c r="M90" i="12"/>
  <c r="E90" i="12"/>
  <c r="N110" i="12"/>
  <c r="C90" i="12"/>
  <c r="L91" i="12"/>
  <c r="M91" i="12"/>
  <c r="E91" i="12"/>
  <c r="N111" i="12"/>
  <c r="C91" i="12"/>
  <c r="L92" i="12"/>
  <c r="M92" i="12"/>
  <c r="E92" i="12"/>
  <c r="N112" i="12"/>
  <c r="C92" i="12"/>
  <c r="L93" i="12"/>
  <c r="M93" i="12"/>
  <c r="E93" i="12"/>
  <c r="N113" i="12"/>
  <c r="C93" i="12"/>
  <c r="L94" i="12"/>
  <c r="M94" i="12"/>
  <c r="E94" i="12"/>
  <c r="N114" i="12"/>
  <c r="C94" i="12"/>
  <c r="L95" i="12"/>
  <c r="M95" i="12"/>
  <c r="E95" i="12"/>
  <c r="N115" i="12"/>
  <c r="C95" i="12"/>
  <c r="L96" i="12"/>
  <c r="M96" i="12"/>
  <c r="E96" i="12"/>
  <c r="N116" i="12"/>
  <c r="C96" i="12"/>
  <c r="L97" i="12"/>
  <c r="M97" i="12"/>
  <c r="E97" i="12"/>
  <c r="N117" i="12"/>
  <c r="C97" i="12"/>
  <c r="L98" i="12"/>
  <c r="M98" i="12"/>
  <c r="E98" i="12"/>
  <c r="N118" i="12"/>
  <c r="C98" i="12"/>
  <c r="L99" i="12"/>
  <c r="M99" i="12"/>
  <c r="E99" i="12"/>
  <c r="N119" i="12"/>
  <c r="C99" i="12"/>
  <c r="L100" i="12"/>
  <c r="M100" i="12"/>
  <c r="E100" i="12"/>
  <c r="N120" i="12"/>
  <c r="C100" i="12"/>
  <c r="L101" i="12"/>
  <c r="M101" i="12"/>
  <c r="E101" i="12"/>
  <c r="N121" i="12"/>
  <c r="C101" i="12"/>
  <c r="L102" i="12"/>
  <c r="M102" i="12"/>
  <c r="E102" i="12"/>
  <c r="N122" i="12"/>
  <c r="N21" i="12"/>
  <c r="C52" i="1"/>
  <c r="C57" i="1"/>
  <c r="C58" i="1"/>
  <c r="C31" i="1"/>
  <c r="C8" i="9"/>
  <c r="C10" i="9"/>
  <c r="K21" i="9"/>
  <c r="C14" i="9"/>
  <c r="C16" i="9"/>
  <c r="E21" i="9"/>
  <c r="C21" i="9"/>
  <c r="C61" i="1"/>
  <c r="C62" i="1"/>
  <c r="C81" i="1"/>
  <c r="C65" i="1"/>
  <c r="C82" i="1"/>
  <c r="C66" i="1"/>
  <c r="C64" i="1"/>
  <c r="C63" i="1"/>
  <c r="C48" i="1"/>
  <c r="C49" i="1"/>
  <c r="J22" i="9"/>
  <c r="K22" i="9"/>
  <c r="E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C95" i="9"/>
  <c r="M96" i="9"/>
  <c r="J96" i="9"/>
  <c r="K96" i="9"/>
  <c r="E96" i="9"/>
  <c r="C96" i="9"/>
  <c r="M97" i="9"/>
  <c r="J97" i="9"/>
  <c r="K97" i="9"/>
  <c r="E97" i="9"/>
  <c r="C97" i="9"/>
  <c r="M98" i="9"/>
  <c r="J98" i="9"/>
  <c r="K98" i="9"/>
  <c r="E98" i="9"/>
  <c r="C98" i="9"/>
  <c r="M99" i="9"/>
  <c r="J99" i="9"/>
  <c r="K99" i="9"/>
  <c r="E99" i="9"/>
  <c r="C99" i="9"/>
  <c r="M100" i="9"/>
  <c r="J100" i="9"/>
  <c r="K100" i="9"/>
  <c r="E100" i="9"/>
  <c r="C100" i="9"/>
  <c r="M101" i="9"/>
  <c r="J101" i="9"/>
  <c r="K101" i="9"/>
  <c r="E101" i="9"/>
  <c r="C101" i="9"/>
  <c r="M102" i="9"/>
  <c r="J102" i="9"/>
  <c r="K102" i="9"/>
  <c r="E102" i="9"/>
  <c r="C102" i="9"/>
  <c r="M103" i="9"/>
  <c r="J103" i="9"/>
  <c r="K103" i="9"/>
  <c r="E103" i="9"/>
  <c r="C103" i="9"/>
  <c r="M104" i="9"/>
  <c r="J104" i="9"/>
  <c r="K104" i="9"/>
  <c r="E104" i="9"/>
  <c r="C104" i="9"/>
  <c r="M105" i="9"/>
  <c r="J105" i="9"/>
  <c r="K105" i="9"/>
  <c r="E105" i="9"/>
  <c r="C105" i="9"/>
  <c r="M106" i="9"/>
  <c r="J106" i="9"/>
  <c r="K106" i="9"/>
  <c r="E106" i="9"/>
  <c r="C106" i="9"/>
  <c r="M107" i="9"/>
  <c r="J107" i="9"/>
  <c r="K107" i="9"/>
  <c r="E107" i="9"/>
  <c r="C107" i="9"/>
  <c r="M108" i="9"/>
  <c r="J108" i="9"/>
  <c r="K108" i="9"/>
  <c r="E108" i="9"/>
  <c r="C108" i="9"/>
  <c r="M109" i="9"/>
  <c r="J109" i="9"/>
  <c r="K109" i="9"/>
  <c r="E109" i="9"/>
  <c r="C109" i="9"/>
  <c r="M110" i="9"/>
  <c r="J110" i="9"/>
  <c r="K110" i="9"/>
  <c r="E110" i="9"/>
  <c r="C110" i="9"/>
  <c r="M111" i="9"/>
  <c r="J111" i="9"/>
  <c r="K111" i="9"/>
  <c r="E111" i="9"/>
  <c r="C111" i="9"/>
  <c r="M112" i="9"/>
  <c r="J112" i="9"/>
  <c r="K112" i="9"/>
  <c r="E112" i="9"/>
  <c r="C112" i="9"/>
  <c r="M113" i="9"/>
  <c r="J113" i="9"/>
  <c r="K113" i="9"/>
  <c r="E113" i="9"/>
  <c r="C113" i="9"/>
  <c r="M114" i="9"/>
  <c r="J114" i="9"/>
  <c r="K114" i="9"/>
  <c r="E114" i="9"/>
  <c r="C114" i="9"/>
  <c r="M115" i="9"/>
  <c r="J115" i="9"/>
  <c r="K115" i="9"/>
  <c r="E115" i="9"/>
  <c r="C115" i="9"/>
  <c r="M116" i="9"/>
  <c r="J116" i="9"/>
  <c r="K116" i="9"/>
  <c r="E116" i="9"/>
  <c r="C116" i="9"/>
  <c r="M117" i="9"/>
  <c r="J117" i="9"/>
  <c r="K117" i="9"/>
  <c r="E117" i="9"/>
  <c r="C117" i="9"/>
  <c r="M118" i="9"/>
  <c r="J118" i="9"/>
  <c r="K118" i="9"/>
  <c r="E118" i="9"/>
  <c r="C118" i="9"/>
  <c r="M119" i="9"/>
  <c r="J119" i="9"/>
  <c r="K119" i="9"/>
  <c r="E119" i="9"/>
  <c r="C119" i="9"/>
  <c r="M120" i="9"/>
  <c r="M22" i="9"/>
  <c r="C15" i="9"/>
  <c r="C54" i="1"/>
  <c r="C55" i="1"/>
  <c r="C53" i="1"/>
  <c r="I10" i="14"/>
  <c r="I11" i="14"/>
  <c r="I12" i="14"/>
  <c r="I9" i="14"/>
  <c r="C39" i="1"/>
  <c r="C40" i="1"/>
  <c r="C42" i="1"/>
  <c r="I16" i="14"/>
  <c r="C38" i="1"/>
  <c r="C68" i="1"/>
  <c r="C69" i="1"/>
  <c r="E68" i="1"/>
  <c r="C23" i="1"/>
  <c r="C24" i="1"/>
  <c r="C25" i="1"/>
  <c r="D33" i="4"/>
  <c r="D4" i="11"/>
  <c r="E4" i="11"/>
  <c r="D32" i="4"/>
  <c r="D5" i="11"/>
  <c r="E5" i="11"/>
  <c r="E6" i="11"/>
  <c r="E7" i="11"/>
  <c r="E8" i="11"/>
  <c r="E9" i="11"/>
  <c r="E10" i="11"/>
  <c r="C15" i="11"/>
  <c r="C8" i="4"/>
  <c r="C3" i="4"/>
  <c r="C27" i="1"/>
  <c r="C26" i="1"/>
  <c r="H22" i="9"/>
  <c r="P22" i="9"/>
  <c r="S22" i="9"/>
  <c r="C8" i="12"/>
  <c r="C10" i="12"/>
  <c r="M21" i="12"/>
  <c r="C14" i="12"/>
  <c r="C15" i="12"/>
  <c r="E21" i="12"/>
  <c r="C21" i="12"/>
  <c r="H22" i="12"/>
  <c r="W22" i="12"/>
  <c r="N22" i="9"/>
  <c r="N21" i="9"/>
  <c r="P21" i="12"/>
  <c r="S21" i="12"/>
  <c r="C70" i="1"/>
  <c r="C71" i="1"/>
  <c r="I13" i="14"/>
  <c r="C43" i="1"/>
  <c r="C41" i="1"/>
  <c r="U22" i="12"/>
  <c r="Q21" i="12"/>
  <c r="V22" i="12"/>
  <c r="M29" i="1"/>
  <c r="E29" i="1"/>
  <c r="C29" i="1"/>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15" i="14"/>
  <c r="B22" i="9"/>
  <c r="B23" i="9"/>
  <c r="B22" i="12"/>
  <c r="B24" i="9"/>
  <c r="C33" i="1"/>
  <c r="C4" i="4"/>
  <c r="C32" i="1"/>
  <c r="I21" i="12"/>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C9" i="4"/>
  <c r="B3" i="7"/>
  <c r="B5" i="7"/>
  <c r="B9" i="7"/>
  <c r="B10" i="7"/>
  <c r="D34" i="4"/>
  <c r="C5" i="3"/>
  <c r="C6" i="3"/>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C20" i="1"/>
  <c r="C21" i="1"/>
  <c r="C22" i="1"/>
  <c r="C4" i="5"/>
  <c r="C13" i="1"/>
  <c r="R22" i="9"/>
  <c r="B25" i="9"/>
  <c r="B23" i="12"/>
  <c r="B11" i="7"/>
  <c r="C34" i="1"/>
  <c r="O21" i="12"/>
  <c r="I22" i="12"/>
  <c r="C16" i="12"/>
  <c r="L22" i="12"/>
  <c r="J14" i="7"/>
  <c r="D14" i="7"/>
  <c r="C17" i="9"/>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B26" i="9"/>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B24" i="12"/>
  <c r="F21" i="12"/>
  <c r="H14" i="7"/>
  <c r="I21" i="9"/>
  <c r="O21" i="9"/>
  <c r="F21" i="9"/>
  <c r="E14" i="7"/>
  <c r="B14" i="7"/>
  <c r="K21" i="12"/>
  <c r="I23" i="12"/>
  <c r="K22" i="12"/>
  <c r="M22" i="12"/>
  <c r="E22" i="12"/>
  <c r="G21" i="12"/>
  <c r="D21" i="12"/>
  <c r="T26" i="12"/>
  <c r="T34" i="12"/>
  <c r="T42" i="12"/>
  <c r="T50" i="12"/>
  <c r="T58" i="12"/>
  <c r="T66" i="12"/>
  <c r="T74" i="12"/>
  <c r="T82" i="12"/>
  <c r="T90" i="12"/>
  <c r="T98" i="12"/>
  <c r="T106" i="12"/>
  <c r="T114" i="12"/>
  <c r="T122" i="12"/>
  <c r="T27" i="12"/>
  <c r="T35" i="12"/>
  <c r="T43" i="12"/>
  <c r="T51" i="12"/>
  <c r="T59" i="12"/>
  <c r="T67" i="12"/>
  <c r="T75" i="12"/>
  <c r="T83" i="12"/>
  <c r="T91" i="12"/>
  <c r="T99" i="12"/>
  <c r="T107" i="12"/>
  <c r="T115" i="12"/>
  <c r="T22" i="12"/>
  <c r="T28" i="12"/>
  <c r="T36" i="12"/>
  <c r="T44" i="12"/>
  <c r="T52" i="12"/>
  <c r="T60" i="12"/>
  <c r="T68" i="12"/>
  <c r="T76" i="12"/>
  <c r="T84" i="12"/>
  <c r="T92" i="12"/>
  <c r="T100" i="12"/>
  <c r="T108" i="12"/>
  <c r="T116" i="12"/>
  <c r="T21" i="12"/>
  <c r="T30" i="12"/>
  <c r="T38" i="12"/>
  <c r="T46" i="12"/>
  <c r="T54" i="12"/>
  <c r="T62" i="12"/>
  <c r="T70" i="12"/>
  <c r="T78" i="12"/>
  <c r="T86" i="12"/>
  <c r="T94" i="12"/>
  <c r="T102" i="12"/>
  <c r="T110" i="12"/>
  <c r="T118" i="12"/>
  <c r="T23" i="12"/>
  <c r="T31" i="12"/>
  <c r="T39" i="12"/>
  <c r="T47" i="12"/>
  <c r="T55" i="12"/>
  <c r="T63" i="12"/>
  <c r="T71" i="12"/>
  <c r="T79" i="12"/>
  <c r="T87" i="12"/>
  <c r="T95" i="12"/>
  <c r="T103" i="12"/>
  <c r="T111" i="12"/>
  <c r="T119" i="12"/>
  <c r="T24" i="12"/>
  <c r="T32" i="12"/>
  <c r="T40" i="12"/>
  <c r="T48" i="12"/>
  <c r="T56" i="12"/>
  <c r="T64" i="12"/>
  <c r="T72" i="12"/>
  <c r="T80" i="12"/>
  <c r="T88" i="12"/>
  <c r="T96" i="12"/>
  <c r="T104" i="12"/>
  <c r="T112" i="12"/>
  <c r="T120" i="12"/>
  <c r="T25" i="12"/>
  <c r="T33" i="12"/>
  <c r="T41" i="12"/>
  <c r="T49" i="12"/>
  <c r="T57" i="12"/>
  <c r="T89" i="12"/>
  <c r="T121" i="12"/>
  <c r="T61" i="12"/>
  <c r="T93" i="12"/>
  <c r="T101" i="12"/>
  <c r="T29" i="12"/>
  <c r="T105" i="12"/>
  <c r="T37" i="12"/>
  <c r="T109" i="12"/>
  <c r="T45" i="12"/>
  <c r="T113" i="12"/>
  <c r="T53" i="12"/>
  <c r="T117" i="12"/>
  <c r="T65" i="12"/>
  <c r="T97" i="12"/>
  <c r="T69" i="12"/>
  <c r="T73" i="12"/>
  <c r="T77" i="12"/>
  <c r="T81" i="12"/>
  <c r="T85" i="12"/>
  <c r="Q22" i="9"/>
  <c r="B27" i="9"/>
  <c r="J115" i="12"/>
  <c r="B25" i="12"/>
  <c r="D21" i="9"/>
  <c r="I22" i="9"/>
  <c r="C14" i="7"/>
  <c r="H15" i="7"/>
  <c r="H16" i="7"/>
  <c r="H17" i="7"/>
  <c r="G21" i="9"/>
  <c r="I15" i="7"/>
  <c r="J15" i="7"/>
  <c r="D15" i="7"/>
  <c r="E15" i="7"/>
  <c r="F14" i="7"/>
  <c r="I24" i="12"/>
  <c r="K23" i="12"/>
  <c r="G22" i="12"/>
  <c r="P22" i="12"/>
  <c r="S22" i="12"/>
  <c r="F22" i="12"/>
  <c r="F22" i="9"/>
  <c r="I23" i="9"/>
  <c r="O22" i="9"/>
  <c r="V21" i="12"/>
  <c r="R21" i="12"/>
  <c r="Q22" i="12"/>
  <c r="B28" i="9"/>
  <c r="J116" i="12"/>
  <c r="J117" i="12"/>
  <c r="J118" i="12"/>
  <c r="B26" i="12"/>
  <c r="G15" i="7"/>
  <c r="C15" i="7"/>
  <c r="B15" i="7"/>
  <c r="I25" i="12"/>
  <c r="K24" i="12"/>
  <c r="H18" i="7"/>
  <c r="F23" i="12"/>
  <c r="O22" i="12"/>
  <c r="H23" i="12"/>
  <c r="W23" i="12"/>
  <c r="G22" i="9"/>
  <c r="I24" i="9"/>
  <c r="O23" i="9"/>
  <c r="R22" i="12"/>
  <c r="B29" i="9"/>
  <c r="J119" i="12"/>
  <c r="B27" i="12"/>
  <c r="G16" i="7"/>
  <c r="C16" i="7"/>
  <c r="D22" i="9"/>
  <c r="D22" i="12"/>
  <c r="K25" i="12"/>
  <c r="I26" i="12"/>
  <c r="I16" i="7"/>
  <c r="J16" i="7"/>
  <c r="D16" i="7"/>
  <c r="E16" i="7"/>
  <c r="F15" i="7"/>
  <c r="H19" i="7"/>
  <c r="G23" i="12"/>
  <c r="P23" i="12"/>
  <c r="S23" i="12"/>
  <c r="N23" i="9"/>
  <c r="R23" i="9"/>
  <c r="Q23" i="12"/>
  <c r="R23" i="12"/>
  <c r="H23" i="9"/>
  <c r="D23" i="9"/>
  <c r="I25" i="9"/>
  <c r="O24" i="9"/>
  <c r="G23" i="9"/>
  <c r="F24" i="9"/>
  <c r="F23" i="9"/>
  <c r="D23" i="12"/>
  <c r="U23" i="12"/>
  <c r="V23" i="12"/>
  <c r="B30" i="9"/>
  <c r="J120" i="12"/>
  <c r="J121" i="12"/>
  <c r="J122" i="12"/>
  <c r="B28" i="12"/>
  <c r="H24" i="12"/>
  <c r="W24" i="12"/>
  <c r="O23" i="12"/>
  <c r="I27" i="12"/>
  <c r="K26" i="12"/>
  <c r="B16" i="7"/>
  <c r="H20" i="7"/>
  <c r="F24" i="12"/>
  <c r="N24" i="9"/>
  <c r="R24" i="9"/>
  <c r="H24" i="9"/>
  <c r="P24" i="9"/>
  <c r="P23" i="9"/>
  <c r="I26" i="9"/>
  <c r="O25" i="9"/>
  <c r="D24" i="12"/>
  <c r="U24" i="12"/>
  <c r="V24" i="12"/>
  <c r="B31" i="9"/>
  <c r="B29" i="12"/>
  <c r="O24" i="12"/>
  <c r="H25" i="12"/>
  <c r="W25" i="12"/>
  <c r="F16" i="7"/>
  <c r="I17" i="7"/>
  <c r="J17" i="7"/>
  <c r="D17" i="7"/>
  <c r="E17" i="7"/>
  <c r="G17" i="7"/>
  <c r="I28" i="12"/>
  <c r="K27" i="12"/>
  <c r="H21" i="7"/>
  <c r="P24" i="12"/>
  <c r="S24" i="12"/>
  <c r="G24" i="12"/>
  <c r="Q23" i="9"/>
  <c r="S23" i="9"/>
  <c r="Q24" i="9"/>
  <c r="S24" i="9"/>
  <c r="D24" i="9"/>
  <c r="R25" i="9"/>
  <c r="F25" i="9"/>
  <c r="I27" i="9"/>
  <c r="O26" i="9"/>
  <c r="G24" i="9"/>
  <c r="O25" i="12"/>
  <c r="U25" i="12"/>
  <c r="Q24" i="12"/>
  <c r="R24" i="12"/>
  <c r="B32" i="9"/>
  <c r="B30" i="12"/>
  <c r="D25" i="12"/>
  <c r="I29" i="12"/>
  <c r="K28" i="12"/>
  <c r="B17" i="7"/>
  <c r="G18" i="7"/>
  <c r="C17" i="7"/>
  <c r="H22" i="7"/>
  <c r="F25" i="12"/>
  <c r="H25" i="9"/>
  <c r="P25" i="9"/>
  <c r="N25" i="9"/>
  <c r="V25" i="12"/>
  <c r="I28" i="9"/>
  <c r="O27" i="9"/>
  <c r="B33" i="9"/>
  <c r="B31" i="12"/>
  <c r="C18" i="7"/>
  <c r="K29" i="12"/>
  <c r="I30" i="12"/>
  <c r="I18" i="7"/>
  <c r="J18" i="7"/>
  <c r="D18" i="7"/>
  <c r="E18" i="7"/>
  <c r="F17" i="7"/>
  <c r="H23" i="7"/>
  <c r="H26" i="12"/>
  <c r="W26" i="12"/>
  <c r="G25" i="12"/>
  <c r="P25" i="12"/>
  <c r="S25" i="12"/>
  <c r="Q25" i="9"/>
  <c r="S25" i="9"/>
  <c r="D25" i="9"/>
  <c r="F26" i="9"/>
  <c r="U26" i="12"/>
  <c r="I29" i="9"/>
  <c r="O28" i="9"/>
  <c r="G25" i="9"/>
  <c r="Q25" i="12"/>
  <c r="B34" i="9"/>
  <c r="B32" i="12"/>
  <c r="I31" i="12"/>
  <c r="K30" i="12"/>
  <c r="B18" i="7"/>
  <c r="H24" i="7"/>
  <c r="G26" i="12"/>
  <c r="P26" i="12"/>
  <c r="S26" i="12"/>
  <c r="O26" i="12"/>
  <c r="D26" i="12"/>
  <c r="H27" i="12"/>
  <c r="W27" i="12"/>
  <c r="F26" i="12"/>
  <c r="N26" i="9"/>
  <c r="R26" i="9"/>
  <c r="H26" i="9"/>
  <c r="P26" i="9"/>
  <c r="V26" i="12"/>
  <c r="U27" i="12"/>
  <c r="I30" i="9"/>
  <c r="I31" i="9"/>
  <c r="O29" i="9"/>
  <c r="O30" i="9"/>
  <c r="R25" i="12"/>
  <c r="Q26" i="12"/>
  <c r="B35" i="9"/>
  <c r="B33" i="12"/>
  <c r="F18" i="7"/>
  <c r="I19" i="7"/>
  <c r="J19" i="7"/>
  <c r="D19" i="7"/>
  <c r="E19" i="7"/>
  <c r="G19" i="7"/>
  <c r="I32" i="12"/>
  <c r="K31" i="12"/>
  <c r="H25" i="7"/>
  <c r="D27" i="12"/>
  <c r="O27" i="12"/>
  <c r="F27" i="12"/>
  <c r="Q26" i="9"/>
  <c r="S26" i="9"/>
  <c r="D26" i="9"/>
  <c r="V27" i="12"/>
  <c r="R27" i="9"/>
  <c r="I32" i="9"/>
  <c r="O31" i="9"/>
  <c r="R26" i="12"/>
  <c r="G26" i="9"/>
  <c r="B36" i="9"/>
  <c r="B34" i="12"/>
  <c r="I33" i="12"/>
  <c r="K32" i="12"/>
  <c r="C19" i="7"/>
  <c r="B19" i="7"/>
  <c r="G20" i="7"/>
  <c r="H26" i="7"/>
  <c r="H28" i="12"/>
  <c r="W28" i="12"/>
  <c r="P27" i="12"/>
  <c r="S27" i="12"/>
  <c r="G27" i="12"/>
  <c r="H27" i="9"/>
  <c r="D27" i="9"/>
  <c r="N27" i="9"/>
  <c r="U28" i="12"/>
  <c r="I33" i="9"/>
  <c r="O32" i="9"/>
  <c r="F27" i="9"/>
  <c r="R28" i="9"/>
  <c r="Q27" i="12"/>
  <c r="B37" i="9"/>
  <c r="B35" i="12"/>
  <c r="C20" i="7"/>
  <c r="I20" i="7"/>
  <c r="J20" i="7"/>
  <c r="D20" i="7"/>
  <c r="E20" i="7"/>
  <c r="F19" i="7"/>
  <c r="K33" i="12"/>
  <c r="I34" i="12"/>
  <c r="H27" i="7"/>
  <c r="G27" i="9"/>
  <c r="D28" i="12"/>
  <c r="O28" i="12"/>
  <c r="F28" i="12"/>
  <c r="P27" i="9"/>
  <c r="N28" i="9"/>
  <c r="H28" i="9"/>
  <c r="D28" i="9"/>
  <c r="V28" i="12"/>
  <c r="I34" i="9"/>
  <c r="O33" i="9"/>
  <c r="R27" i="12"/>
  <c r="B38" i="9"/>
  <c r="B36" i="12"/>
  <c r="B20" i="7"/>
  <c r="G21" i="7"/>
  <c r="C21" i="7"/>
  <c r="K34" i="12"/>
  <c r="I35" i="12"/>
  <c r="H28" i="7"/>
  <c r="F28" i="9"/>
  <c r="G28" i="12"/>
  <c r="P28" i="12"/>
  <c r="S28" i="12"/>
  <c r="H29" i="12"/>
  <c r="W29" i="12"/>
  <c r="Q27" i="9"/>
  <c r="S27" i="9"/>
  <c r="P28" i="9"/>
  <c r="R29" i="9"/>
  <c r="U29" i="12"/>
  <c r="I35" i="9"/>
  <c r="O34" i="9"/>
  <c r="Q28" i="12"/>
  <c r="B39" i="9"/>
  <c r="B37" i="12"/>
  <c r="F20" i="7"/>
  <c r="I21" i="7"/>
  <c r="J21" i="7"/>
  <c r="D21" i="7"/>
  <c r="E21" i="7"/>
  <c r="I36" i="12"/>
  <c r="K35" i="12"/>
  <c r="H29" i="7"/>
  <c r="G28" i="9"/>
  <c r="O29" i="12"/>
  <c r="D29" i="12"/>
  <c r="F29" i="12"/>
  <c r="Q28" i="9"/>
  <c r="S28" i="9"/>
  <c r="H29" i="9"/>
  <c r="D29" i="9"/>
  <c r="N29" i="9"/>
  <c r="V29" i="12"/>
  <c r="I36" i="9"/>
  <c r="O35" i="9"/>
  <c r="R28" i="12"/>
  <c r="B40" i="9"/>
  <c r="B38" i="12"/>
  <c r="B21" i="7"/>
  <c r="I22" i="7"/>
  <c r="J22" i="7"/>
  <c r="D22" i="7"/>
  <c r="E22" i="7"/>
  <c r="I37" i="12"/>
  <c r="K36" i="12"/>
  <c r="H30" i="7"/>
  <c r="F29" i="9"/>
  <c r="P29" i="12"/>
  <c r="S29" i="12"/>
  <c r="G29" i="12"/>
  <c r="H30" i="12"/>
  <c r="W30" i="12"/>
  <c r="P29" i="9"/>
  <c r="U30" i="12"/>
  <c r="I37" i="9"/>
  <c r="O36" i="9"/>
  <c r="R30" i="9"/>
  <c r="Q29" i="12"/>
  <c r="B41" i="9"/>
  <c r="B39" i="12"/>
  <c r="G22" i="7"/>
  <c r="C22" i="7"/>
  <c r="F21" i="7"/>
  <c r="K37" i="12"/>
  <c r="I38" i="12"/>
  <c r="B22" i="7"/>
  <c r="H31" i="7"/>
  <c r="G29" i="9"/>
  <c r="O30" i="12"/>
  <c r="D30" i="12"/>
  <c r="F30" i="12"/>
  <c r="Q29" i="9"/>
  <c r="S29" i="9"/>
  <c r="N30" i="9"/>
  <c r="H30" i="9"/>
  <c r="P30" i="9"/>
  <c r="V30" i="12"/>
  <c r="I38" i="9"/>
  <c r="O37" i="9"/>
  <c r="R29" i="12"/>
  <c r="B42" i="9"/>
  <c r="B40" i="12"/>
  <c r="F22" i="7"/>
  <c r="I23" i="7"/>
  <c r="J23" i="7"/>
  <c r="D23" i="7"/>
  <c r="E23" i="7"/>
  <c r="G23" i="7"/>
  <c r="I39" i="12"/>
  <c r="K38" i="12"/>
  <c r="H32" i="7"/>
  <c r="F30" i="9"/>
  <c r="H31" i="12"/>
  <c r="W31" i="12"/>
  <c r="P30" i="12"/>
  <c r="S30" i="12"/>
  <c r="G30" i="12"/>
  <c r="Q30" i="9"/>
  <c r="S30" i="9"/>
  <c r="D30" i="9"/>
  <c r="U31" i="12"/>
  <c r="I39" i="9"/>
  <c r="O38" i="9"/>
  <c r="R31" i="9"/>
  <c r="Q30" i="12"/>
  <c r="B43" i="9"/>
  <c r="B41" i="12"/>
  <c r="C23" i="7"/>
  <c r="B23" i="7"/>
  <c r="G24" i="7"/>
  <c r="I40" i="12"/>
  <c r="K39" i="12"/>
  <c r="H33" i="7"/>
  <c r="G30" i="9"/>
  <c r="F31" i="12"/>
  <c r="D31" i="12"/>
  <c r="O31" i="12"/>
  <c r="H31" i="9"/>
  <c r="N31" i="9"/>
  <c r="V31" i="12"/>
  <c r="I40" i="9"/>
  <c r="O39" i="9"/>
  <c r="R30" i="12"/>
  <c r="B44" i="9"/>
  <c r="B42" i="12"/>
  <c r="C24" i="7"/>
  <c r="I41" i="12"/>
  <c r="K40" i="12"/>
  <c r="I24" i="7"/>
  <c r="J24" i="7"/>
  <c r="D24" i="7"/>
  <c r="E24" i="7"/>
  <c r="F23" i="7"/>
  <c r="H34" i="7"/>
  <c r="F31" i="9"/>
  <c r="P31" i="12"/>
  <c r="S31" i="12"/>
  <c r="G31" i="12"/>
  <c r="H32" i="12"/>
  <c r="W32" i="12"/>
  <c r="P31" i="9"/>
  <c r="D31" i="9"/>
  <c r="R32" i="9"/>
  <c r="U32" i="12"/>
  <c r="I41" i="9"/>
  <c r="O40" i="9"/>
  <c r="Q31" i="12"/>
  <c r="B45" i="9"/>
  <c r="B43" i="12"/>
  <c r="B24" i="7"/>
  <c r="K41" i="12"/>
  <c r="I42" i="12"/>
  <c r="H35" i="7"/>
  <c r="G31" i="9"/>
  <c r="O32" i="12"/>
  <c r="D32" i="12"/>
  <c r="F32" i="12"/>
  <c r="Q31" i="9"/>
  <c r="S31" i="9"/>
  <c r="N32" i="9"/>
  <c r="H32" i="9"/>
  <c r="P32" i="9"/>
  <c r="R33" i="9"/>
  <c r="V32" i="12"/>
  <c r="I42" i="9"/>
  <c r="O41" i="9"/>
  <c r="R31" i="12"/>
  <c r="B46" i="9"/>
  <c r="B44" i="12"/>
  <c r="I25" i="7"/>
  <c r="J25" i="7"/>
  <c r="D25" i="7"/>
  <c r="E25" i="7"/>
  <c r="F24" i="7"/>
  <c r="G25" i="7"/>
  <c r="I43" i="12"/>
  <c r="K42" i="12"/>
  <c r="H36" i="7"/>
  <c r="G32" i="9"/>
  <c r="F32" i="9"/>
  <c r="P32" i="12"/>
  <c r="S32" i="12"/>
  <c r="H33" i="12"/>
  <c r="W33" i="12"/>
  <c r="G32" i="12"/>
  <c r="Q32" i="9"/>
  <c r="S32" i="9"/>
  <c r="N33" i="9"/>
  <c r="H33" i="9"/>
  <c r="D32" i="9"/>
  <c r="U33" i="12"/>
  <c r="I43" i="9"/>
  <c r="O42" i="9"/>
  <c r="Q32" i="12"/>
  <c r="B47" i="9"/>
  <c r="B45" i="12"/>
  <c r="C25" i="7"/>
  <c r="B25" i="7"/>
  <c r="G26" i="7"/>
  <c r="I44" i="12"/>
  <c r="K43" i="12"/>
  <c r="H37" i="7"/>
  <c r="F33" i="9"/>
  <c r="O33" i="12"/>
  <c r="D33" i="12"/>
  <c r="F33" i="12"/>
  <c r="P33" i="9"/>
  <c r="D33" i="9"/>
  <c r="V33" i="12"/>
  <c r="I44" i="9"/>
  <c r="O43" i="9"/>
  <c r="R32" i="12"/>
  <c r="B48" i="9"/>
  <c r="B46" i="12"/>
  <c r="I45" i="12"/>
  <c r="K44" i="12"/>
  <c r="C26" i="7"/>
  <c r="I26" i="7"/>
  <c r="J26" i="7"/>
  <c r="D26" i="7"/>
  <c r="E26" i="7"/>
  <c r="F25" i="7"/>
  <c r="H38" i="7"/>
  <c r="G33" i="9"/>
  <c r="H34" i="12"/>
  <c r="W34" i="12"/>
  <c r="G33" i="12"/>
  <c r="P33" i="12"/>
  <c r="S33" i="12"/>
  <c r="Q33" i="9"/>
  <c r="S33" i="9"/>
  <c r="N34" i="9"/>
  <c r="R34" i="9"/>
  <c r="H34" i="9"/>
  <c r="P34" i="9"/>
  <c r="U34" i="12"/>
  <c r="I45" i="9"/>
  <c r="O44" i="9"/>
  <c r="Q33" i="12"/>
  <c r="B49" i="9"/>
  <c r="B47" i="12"/>
  <c r="B26" i="7"/>
  <c r="G27" i="7"/>
  <c r="C27" i="7"/>
  <c r="K45" i="12"/>
  <c r="I46" i="12"/>
  <c r="H39" i="7"/>
  <c r="F34" i="9"/>
  <c r="F34" i="12"/>
  <c r="O34" i="12"/>
  <c r="D34" i="12"/>
  <c r="Q34" i="9"/>
  <c r="S34" i="9"/>
  <c r="D34" i="9"/>
  <c r="V34" i="12"/>
  <c r="I46" i="9"/>
  <c r="O45" i="9"/>
  <c r="R33" i="12"/>
  <c r="B50" i="9"/>
  <c r="B48" i="12"/>
  <c r="F26" i="7"/>
  <c r="I27" i="7"/>
  <c r="J27" i="7"/>
  <c r="D27" i="7"/>
  <c r="E27" i="7"/>
  <c r="I47" i="12"/>
  <c r="K46" i="12"/>
  <c r="H40" i="7"/>
  <c r="G34" i="9"/>
  <c r="G34" i="12"/>
  <c r="H35" i="12"/>
  <c r="W35" i="12"/>
  <c r="P34" i="12"/>
  <c r="S34" i="12"/>
  <c r="N35" i="9"/>
  <c r="R35" i="9"/>
  <c r="H35" i="9"/>
  <c r="D35" i="9"/>
  <c r="U35" i="12"/>
  <c r="I47" i="9"/>
  <c r="O46" i="9"/>
  <c r="Q34" i="12"/>
  <c r="B51" i="9"/>
  <c r="B49" i="12"/>
  <c r="B27" i="7"/>
  <c r="I28" i="7"/>
  <c r="J28" i="7"/>
  <c r="D28" i="7"/>
  <c r="E28" i="7"/>
  <c r="I48" i="12"/>
  <c r="K47" i="12"/>
  <c r="H41" i="7"/>
  <c r="F35" i="9"/>
  <c r="F35" i="12"/>
  <c r="D35" i="12"/>
  <c r="O35" i="12"/>
  <c r="P35" i="9"/>
  <c r="V35" i="12"/>
  <c r="I48" i="9"/>
  <c r="O47" i="9"/>
  <c r="R34" i="12"/>
  <c r="B52" i="9"/>
  <c r="B50" i="12"/>
  <c r="G28" i="7"/>
  <c r="C28" i="7"/>
  <c r="F27" i="7"/>
  <c r="B28" i="7"/>
  <c r="I49" i="12"/>
  <c r="K48" i="12"/>
  <c r="H42" i="7"/>
  <c r="G35" i="9"/>
  <c r="G35" i="12"/>
  <c r="H36" i="12"/>
  <c r="W36" i="12"/>
  <c r="P35" i="12"/>
  <c r="S35" i="12"/>
  <c r="Q35" i="9"/>
  <c r="S35" i="9"/>
  <c r="N36" i="9"/>
  <c r="R36" i="9"/>
  <c r="H36" i="9"/>
  <c r="D36" i="9"/>
  <c r="U36" i="12"/>
  <c r="I49" i="9"/>
  <c r="O48" i="9"/>
  <c r="Q35" i="12"/>
  <c r="B53" i="9"/>
  <c r="B51" i="12"/>
  <c r="K49" i="12"/>
  <c r="I50" i="12"/>
  <c r="I29" i="7"/>
  <c r="J29" i="7"/>
  <c r="D29" i="7"/>
  <c r="E29" i="7"/>
  <c r="F28" i="7"/>
  <c r="G29" i="7"/>
  <c r="H43" i="7"/>
  <c r="F36" i="9"/>
  <c r="F36" i="12"/>
  <c r="O36" i="12"/>
  <c r="D36" i="12"/>
  <c r="P36" i="9"/>
  <c r="V36" i="12"/>
  <c r="I50" i="9"/>
  <c r="O49" i="9"/>
  <c r="R35" i="12"/>
  <c r="B54" i="9"/>
  <c r="B52" i="12"/>
  <c r="B29" i="7"/>
  <c r="G30" i="7"/>
  <c r="C29" i="7"/>
  <c r="K50" i="12"/>
  <c r="I51" i="12"/>
  <c r="H44" i="7"/>
  <c r="G36" i="9"/>
  <c r="H37" i="12"/>
  <c r="W37" i="12"/>
  <c r="P36" i="12"/>
  <c r="S36" i="12"/>
  <c r="G36" i="12"/>
  <c r="Q36" i="9"/>
  <c r="S36" i="9"/>
  <c r="N37" i="9"/>
  <c r="R37" i="9"/>
  <c r="U37" i="12"/>
  <c r="H37" i="9"/>
  <c r="D37" i="9"/>
  <c r="I51" i="9"/>
  <c r="O50" i="9"/>
  <c r="Q36" i="12"/>
  <c r="B55" i="9"/>
  <c r="B53" i="12"/>
  <c r="C30" i="7"/>
  <c r="I52" i="12"/>
  <c r="K51" i="12"/>
  <c r="I30" i="7"/>
  <c r="J30" i="7"/>
  <c r="D30" i="7"/>
  <c r="E30" i="7"/>
  <c r="F29" i="7"/>
  <c r="H45" i="7"/>
  <c r="F37" i="9"/>
  <c r="F37" i="12"/>
  <c r="D37" i="12"/>
  <c r="O37" i="12"/>
  <c r="V37" i="12"/>
  <c r="P37" i="9"/>
  <c r="I52" i="9"/>
  <c r="O51" i="9"/>
  <c r="R36" i="12"/>
  <c r="B56" i="9"/>
  <c r="B54" i="12"/>
  <c r="I53" i="12"/>
  <c r="K52" i="12"/>
  <c r="B30" i="7"/>
  <c r="H46" i="7"/>
  <c r="G37" i="9"/>
  <c r="P37" i="12"/>
  <c r="S37" i="12"/>
  <c r="G37" i="12"/>
  <c r="H38" i="12"/>
  <c r="W38" i="12"/>
  <c r="Q37" i="9"/>
  <c r="S37" i="9"/>
  <c r="N38" i="9"/>
  <c r="R38" i="9"/>
  <c r="U38" i="12"/>
  <c r="H38" i="9"/>
  <c r="D38" i="9"/>
  <c r="I53" i="9"/>
  <c r="O52" i="9"/>
  <c r="Q37" i="12"/>
  <c r="B57" i="9"/>
  <c r="B55" i="12"/>
  <c r="I31" i="7"/>
  <c r="J31" i="7"/>
  <c r="D31" i="7"/>
  <c r="E31" i="7"/>
  <c r="F30" i="7"/>
  <c r="G31" i="7"/>
  <c r="K53" i="12"/>
  <c r="I54" i="12"/>
  <c r="H47" i="7"/>
  <c r="F38" i="9"/>
  <c r="O38" i="12"/>
  <c r="D38" i="12"/>
  <c r="F38" i="12"/>
  <c r="V38" i="12"/>
  <c r="P38" i="9"/>
  <c r="I54" i="9"/>
  <c r="O53" i="9"/>
  <c r="R37" i="12"/>
  <c r="B58" i="9"/>
  <c r="B56" i="12"/>
  <c r="C31" i="7"/>
  <c r="I55" i="12"/>
  <c r="K54" i="12"/>
  <c r="B31" i="7"/>
  <c r="H48" i="7"/>
  <c r="G38" i="9"/>
  <c r="H39" i="12"/>
  <c r="W39" i="12"/>
  <c r="G38" i="12"/>
  <c r="P38" i="12"/>
  <c r="S38" i="12"/>
  <c r="Q38" i="9"/>
  <c r="S38" i="9"/>
  <c r="N39" i="9"/>
  <c r="R39" i="9"/>
  <c r="U39" i="12"/>
  <c r="H39" i="9"/>
  <c r="D39" i="9"/>
  <c r="I55" i="9"/>
  <c r="O54" i="9"/>
  <c r="Q38" i="12"/>
  <c r="B59" i="9"/>
  <c r="B57" i="12"/>
  <c r="I56" i="12"/>
  <c r="K55" i="12"/>
  <c r="F31" i="7"/>
  <c r="I32" i="7"/>
  <c r="J32" i="7"/>
  <c r="D32" i="7"/>
  <c r="E32" i="7"/>
  <c r="G32" i="7"/>
  <c r="H49" i="7"/>
  <c r="F39" i="9"/>
  <c r="H40" i="12"/>
  <c r="W40" i="12"/>
  <c r="F39" i="12"/>
  <c r="D39" i="12"/>
  <c r="O39" i="12"/>
  <c r="V39" i="12"/>
  <c r="U40" i="12"/>
  <c r="P39" i="9"/>
  <c r="I56" i="9"/>
  <c r="O55" i="9"/>
  <c r="R38" i="12"/>
  <c r="B60" i="9"/>
  <c r="B58" i="12"/>
  <c r="C32" i="7"/>
  <c r="B32" i="7"/>
  <c r="I57" i="12"/>
  <c r="K56" i="12"/>
  <c r="H50" i="7"/>
  <c r="G39" i="9"/>
  <c r="O40" i="12"/>
  <c r="D40" i="12"/>
  <c r="P39" i="12"/>
  <c r="S39" i="12"/>
  <c r="G39" i="12"/>
  <c r="Q39" i="9"/>
  <c r="S39" i="9"/>
  <c r="N40" i="9"/>
  <c r="R40" i="9"/>
  <c r="H40" i="9"/>
  <c r="D40" i="9"/>
  <c r="I57" i="9"/>
  <c r="O56" i="9"/>
  <c r="Q39" i="12"/>
  <c r="V40" i="12"/>
  <c r="B61" i="9"/>
  <c r="B59" i="12"/>
  <c r="K57" i="12"/>
  <c r="I58" i="12"/>
  <c r="I33" i="7"/>
  <c r="J33" i="7"/>
  <c r="D33" i="7"/>
  <c r="E33" i="7"/>
  <c r="F32" i="7"/>
  <c r="G33" i="7"/>
  <c r="H51" i="7"/>
  <c r="G40" i="9"/>
  <c r="F40" i="9"/>
  <c r="P40" i="12"/>
  <c r="S40" i="12"/>
  <c r="G40" i="12"/>
  <c r="H41" i="12"/>
  <c r="W41" i="12"/>
  <c r="F40" i="12"/>
  <c r="N41" i="9"/>
  <c r="R41" i="9"/>
  <c r="U41" i="12"/>
  <c r="P40" i="9"/>
  <c r="H41" i="9"/>
  <c r="P41" i="9"/>
  <c r="I58" i="9"/>
  <c r="O57" i="9"/>
  <c r="R39" i="12"/>
  <c r="Q40" i="12"/>
  <c r="B62" i="9"/>
  <c r="B60" i="12"/>
  <c r="B33" i="7"/>
  <c r="F33" i="7"/>
  <c r="C33" i="7"/>
  <c r="I59" i="12"/>
  <c r="K58" i="12"/>
  <c r="H52" i="7"/>
  <c r="F41" i="9"/>
  <c r="O41" i="12"/>
  <c r="D41" i="12"/>
  <c r="F41" i="12"/>
  <c r="Q41" i="9"/>
  <c r="S41" i="9"/>
  <c r="Q40" i="9"/>
  <c r="S40" i="9"/>
  <c r="V41" i="12"/>
  <c r="D41" i="9"/>
  <c r="I59" i="9"/>
  <c r="O58" i="9"/>
  <c r="R40" i="12"/>
  <c r="R42" i="9"/>
  <c r="B63" i="9"/>
  <c r="B61" i="12"/>
  <c r="G34" i="7"/>
  <c r="C34" i="7"/>
  <c r="I34" i="7"/>
  <c r="J34" i="7"/>
  <c r="D34" i="7"/>
  <c r="E34" i="7"/>
  <c r="I60" i="12"/>
  <c r="K59" i="12"/>
  <c r="H53" i="7"/>
  <c r="G41" i="9"/>
  <c r="G41" i="12"/>
  <c r="P41" i="12"/>
  <c r="S41" i="12"/>
  <c r="H42" i="12"/>
  <c r="W42" i="12"/>
  <c r="H42" i="9"/>
  <c r="D42" i="9"/>
  <c r="N42" i="9"/>
  <c r="U42" i="12"/>
  <c r="I60" i="9"/>
  <c r="O59" i="9"/>
  <c r="Q41" i="12"/>
  <c r="B64" i="9"/>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34" i="7"/>
  <c r="G35" i="7"/>
  <c r="I61" i="12"/>
  <c r="K60" i="12"/>
  <c r="H54" i="7"/>
  <c r="F42" i="9"/>
  <c r="O42" i="12"/>
  <c r="D42" i="12"/>
  <c r="F42" i="12"/>
  <c r="P42" i="9"/>
  <c r="V42" i="12"/>
  <c r="I61" i="9"/>
  <c r="O60" i="9"/>
  <c r="R41" i="12"/>
  <c r="B65" i="9"/>
  <c r="F34" i="7"/>
  <c r="I35" i="7"/>
  <c r="J35" i="7"/>
  <c r="D35" i="7"/>
  <c r="E35" i="7"/>
  <c r="C35" i="7"/>
  <c r="K61" i="12"/>
  <c r="I62" i="12"/>
  <c r="H55" i="7"/>
  <c r="G42" i="9"/>
  <c r="P42" i="12"/>
  <c r="S42" i="12"/>
  <c r="G42" i="12"/>
  <c r="H43" i="12"/>
  <c r="W43" i="12"/>
  <c r="Q42" i="9"/>
  <c r="S42" i="9"/>
  <c r="N43" i="9"/>
  <c r="R43" i="9"/>
  <c r="U43" i="12"/>
  <c r="H43" i="9"/>
  <c r="D43" i="9"/>
  <c r="I62" i="9"/>
  <c r="O61" i="9"/>
  <c r="Q42" i="12"/>
  <c r="B66" i="9"/>
  <c r="B35" i="7"/>
  <c r="G36" i="7"/>
  <c r="C36" i="7"/>
  <c r="I63" i="12"/>
  <c r="K62" i="12"/>
  <c r="H56" i="7"/>
  <c r="G43" i="9"/>
  <c r="F43" i="9"/>
  <c r="G43" i="12"/>
  <c r="P43" i="12"/>
  <c r="S43" i="12"/>
  <c r="F43" i="12"/>
  <c r="O43" i="12"/>
  <c r="D43" i="12"/>
  <c r="H44" i="12"/>
  <c r="W44" i="12"/>
  <c r="N44" i="9"/>
  <c r="R44" i="9"/>
  <c r="V43" i="12"/>
  <c r="U44" i="12"/>
  <c r="H44" i="9"/>
  <c r="D44" i="9"/>
  <c r="P43" i="9"/>
  <c r="I63" i="9"/>
  <c r="O62" i="9"/>
  <c r="R42" i="12"/>
  <c r="Q43" i="12"/>
  <c r="B67" i="9"/>
  <c r="I36" i="7"/>
  <c r="J36" i="7"/>
  <c r="D36" i="7"/>
  <c r="E36" i="7"/>
  <c r="F35" i="7"/>
  <c r="I64" i="12"/>
  <c r="K63" i="12"/>
  <c r="H57" i="7"/>
  <c r="G44" i="9"/>
  <c r="F44" i="9"/>
  <c r="H45" i="12"/>
  <c r="W45" i="12"/>
  <c r="G44" i="12"/>
  <c r="P44" i="12"/>
  <c r="S44" i="12"/>
  <c r="O44" i="12"/>
  <c r="D44" i="12"/>
  <c r="F44" i="12"/>
  <c r="Q43" i="9"/>
  <c r="S43" i="9"/>
  <c r="N45" i="9"/>
  <c r="R45" i="9"/>
  <c r="V44" i="12"/>
  <c r="U45" i="12"/>
  <c r="H45" i="9"/>
  <c r="D45" i="9"/>
  <c r="P44" i="9"/>
  <c r="I64" i="9"/>
  <c r="O63" i="9"/>
  <c r="R43" i="12"/>
  <c r="Q44" i="12"/>
  <c r="B68" i="9"/>
  <c r="B36" i="7"/>
  <c r="G37" i="7"/>
  <c r="I65" i="12"/>
  <c r="K64" i="12"/>
  <c r="H58" i="7"/>
  <c r="F45" i="9"/>
  <c r="G45" i="12"/>
  <c r="P45" i="12"/>
  <c r="S45" i="12"/>
  <c r="P46" i="12"/>
  <c r="S46" i="12"/>
  <c r="H46" i="12"/>
  <c r="W46" i="12"/>
  <c r="F45" i="12"/>
  <c r="O45" i="12"/>
  <c r="D45" i="12"/>
  <c r="Q44" i="9"/>
  <c r="S44" i="9"/>
  <c r="V45" i="12"/>
  <c r="P45" i="9"/>
  <c r="I65" i="9"/>
  <c r="O64" i="9"/>
  <c r="R44" i="12"/>
  <c r="O46" i="12"/>
  <c r="U46" i="12"/>
  <c r="Q46" i="12"/>
  <c r="R46" i="12"/>
  <c r="Q45" i="12"/>
  <c r="B69" i="9"/>
  <c r="I37" i="7"/>
  <c r="J37" i="7"/>
  <c r="D37" i="7"/>
  <c r="E37" i="7"/>
  <c r="F36" i="7"/>
  <c r="C37" i="7"/>
  <c r="K65" i="12"/>
  <c r="I66" i="12"/>
  <c r="H59" i="7"/>
  <c r="G45" i="9"/>
  <c r="D46" i="12"/>
  <c r="F46" i="12"/>
  <c r="G46" i="12"/>
  <c r="F47" i="12"/>
  <c r="H47" i="12"/>
  <c r="W47" i="12"/>
  <c r="Q45" i="9"/>
  <c r="S45" i="9"/>
  <c r="N46" i="9"/>
  <c r="R46" i="9"/>
  <c r="H46" i="9"/>
  <c r="D46" i="9"/>
  <c r="V46" i="12"/>
  <c r="I66" i="9"/>
  <c r="O65" i="9"/>
  <c r="R45" i="12"/>
  <c r="O47" i="12"/>
  <c r="U47" i="12"/>
  <c r="V47" i="12"/>
  <c r="B70" i="9"/>
  <c r="B37" i="7"/>
  <c r="F37" i="7"/>
  <c r="K66" i="12"/>
  <c r="I67" i="12"/>
  <c r="H60" i="7"/>
  <c r="F46" i="9"/>
  <c r="G47" i="12"/>
  <c r="D47" i="12"/>
  <c r="P46" i="9"/>
  <c r="I67" i="9"/>
  <c r="O66" i="9"/>
  <c r="B71" i="9"/>
  <c r="I38" i="7"/>
  <c r="J38" i="7"/>
  <c r="D38" i="7"/>
  <c r="E38" i="7"/>
  <c r="G38" i="7"/>
  <c r="C38" i="7"/>
  <c r="I68" i="12"/>
  <c r="K67" i="12"/>
  <c r="H61" i="7"/>
  <c r="G46" i="9"/>
  <c r="P47" i="12"/>
  <c r="S47" i="12"/>
  <c r="H48" i="12"/>
  <c r="W48" i="12"/>
  <c r="Q46" i="9"/>
  <c r="S46" i="9"/>
  <c r="N47" i="9"/>
  <c r="R47" i="9"/>
  <c r="H47" i="9"/>
  <c r="D47" i="9"/>
  <c r="I68" i="9"/>
  <c r="O67" i="9"/>
  <c r="D48" i="12"/>
  <c r="U48" i="12"/>
  <c r="Q47" i="12"/>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38" i="7"/>
  <c r="I69" i="12"/>
  <c r="K68" i="12"/>
  <c r="H62" i="7"/>
  <c r="F47" i="9"/>
  <c r="O48" i="12"/>
  <c r="H49" i="12"/>
  <c r="W49" i="12"/>
  <c r="F48" i="12"/>
  <c r="P47" i="9"/>
  <c r="V48" i="12"/>
  <c r="I69" i="9"/>
  <c r="O68" i="9"/>
  <c r="R47" i="12"/>
  <c r="O49" i="12"/>
  <c r="U49" i="12"/>
  <c r="F38" i="7"/>
  <c r="G39" i="7"/>
  <c r="C39" i="7"/>
  <c r="I39" i="7"/>
  <c r="J39" i="7"/>
  <c r="D39" i="7"/>
  <c r="E39" i="7"/>
  <c r="K69" i="12"/>
  <c r="I70" i="12"/>
  <c r="H63" i="7"/>
  <c r="G48" i="12"/>
  <c r="G47" i="9"/>
  <c r="D49" i="12"/>
  <c r="P48" i="12"/>
  <c r="S48" i="12"/>
  <c r="Q47" i="9"/>
  <c r="S47" i="9"/>
  <c r="N48" i="9"/>
  <c r="R48" i="9"/>
  <c r="H48" i="9"/>
  <c r="I70" i="9"/>
  <c r="O69" i="9"/>
  <c r="Q48" i="12"/>
  <c r="V49" i="12"/>
  <c r="B39" i="7"/>
  <c r="G40" i="7"/>
  <c r="C40" i="7"/>
  <c r="I71" i="12"/>
  <c r="K70" i="12"/>
  <c r="H64" i="7"/>
  <c r="G48" i="9"/>
  <c r="F48" i="9"/>
  <c r="H50" i="12"/>
  <c r="W50" i="12"/>
  <c r="F49" i="12"/>
  <c r="N49" i="9"/>
  <c r="R49" i="9"/>
  <c r="U50" i="12"/>
  <c r="H49" i="9"/>
  <c r="D49" i="9"/>
  <c r="D48" i="9"/>
  <c r="P48" i="9"/>
  <c r="I71" i="9"/>
  <c r="O70" i="9"/>
  <c r="R48" i="12"/>
  <c r="I40" i="7"/>
  <c r="J40" i="7"/>
  <c r="D40" i="7"/>
  <c r="E40" i="7"/>
  <c r="F39" i="7"/>
  <c r="I72" i="12"/>
  <c r="K71" i="12"/>
  <c r="H65" i="7"/>
  <c r="F49" i="9"/>
  <c r="G49" i="12"/>
  <c r="P49" i="12"/>
  <c r="S49" i="12"/>
  <c r="O50" i="12"/>
  <c r="D50" i="12"/>
  <c r="Q48" i="9"/>
  <c r="S48" i="9"/>
  <c r="P49" i="9"/>
  <c r="I72" i="9"/>
  <c r="O71" i="9"/>
  <c r="Q49" i="12"/>
  <c r="V50" i="12"/>
  <c r="B40" i="7"/>
  <c r="I41" i="7"/>
  <c r="J41" i="7"/>
  <c r="D41" i="7"/>
  <c r="E41" i="7"/>
  <c r="I73" i="12"/>
  <c r="K72" i="12"/>
  <c r="H66" i="7"/>
  <c r="G49" i="9"/>
  <c r="F50" i="12"/>
  <c r="H51" i="12"/>
  <c r="W51" i="12"/>
  <c r="Q49" i="9"/>
  <c r="S49" i="9"/>
  <c r="N50" i="9"/>
  <c r="R50" i="9"/>
  <c r="H50" i="9"/>
  <c r="D50" i="9"/>
  <c r="I73" i="9"/>
  <c r="O72" i="9"/>
  <c r="R49" i="12"/>
  <c r="O51" i="12"/>
  <c r="U51" i="12"/>
  <c r="F40" i="7"/>
  <c r="G41" i="7"/>
  <c r="C41" i="7"/>
  <c r="B41" i="7"/>
  <c r="K73" i="12"/>
  <c r="I74" i="12"/>
  <c r="H67" i="7"/>
  <c r="G50" i="12"/>
  <c r="D51" i="12"/>
  <c r="G50" i="9"/>
  <c r="F50" i="9"/>
  <c r="P50" i="12"/>
  <c r="S50" i="12"/>
  <c r="N51" i="9"/>
  <c r="R51" i="9"/>
  <c r="H51" i="9"/>
  <c r="D51" i="9"/>
  <c r="P50" i="9"/>
  <c r="I74" i="9"/>
  <c r="O73" i="9"/>
  <c r="Q50" i="12"/>
  <c r="V51" i="12"/>
  <c r="G42" i="7"/>
  <c r="C42" i="7"/>
  <c r="I42" i="7"/>
  <c r="J42" i="7"/>
  <c r="D42" i="7"/>
  <c r="F41" i="7"/>
  <c r="I75" i="12"/>
  <c r="K74" i="12"/>
  <c r="F51" i="12"/>
  <c r="G51" i="9"/>
  <c r="F51" i="9"/>
  <c r="Q50" i="9"/>
  <c r="S50" i="9"/>
  <c r="N52" i="9"/>
  <c r="R52" i="9"/>
  <c r="H52" i="9"/>
  <c r="P51" i="9"/>
  <c r="I75" i="9"/>
  <c r="O74" i="9"/>
  <c r="R50" i="12"/>
  <c r="E42" i="7"/>
  <c r="B42" i="7"/>
  <c r="I76" i="12"/>
  <c r="K75" i="12"/>
  <c r="P51" i="12"/>
  <c r="S51" i="12"/>
  <c r="G51" i="12"/>
  <c r="H52" i="12"/>
  <c r="W52" i="12"/>
  <c r="F52" i="9"/>
  <c r="F52" i="12"/>
  <c r="Q51" i="9"/>
  <c r="S51" i="9"/>
  <c r="P52" i="9"/>
  <c r="D52" i="9"/>
  <c r="I76" i="9"/>
  <c r="O75" i="9"/>
  <c r="O52" i="12"/>
  <c r="U52" i="12"/>
  <c r="Q51" i="12"/>
  <c r="G43" i="7"/>
  <c r="C43" i="7"/>
  <c r="I43" i="7"/>
  <c r="J43" i="7"/>
  <c r="D43" i="7"/>
  <c r="E43" i="7"/>
  <c r="F42" i="7"/>
  <c r="I77" i="12"/>
  <c r="K76" i="12"/>
  <c r="H53" i="12"/>
  <c r="W53" i="12"/>
  <c r="D52" i="12"/>
  <c r="G52" i="9"/>
  <c r="P52" i="12"/>
  <c r="S52" i="12"/>
  <c r="G52" i="12"/>
  <c r="Q52" i="9"/>
  <c r="S52" i="9"/>
  <c r="N53" i="9"/>
  <c r="R53" i="9"/>
  <c r="H53" i="9"/>
  <c r="P53" i="9"/>
  <c r="V52" i="12"/>
  <c r="I77" i="9"/>
  <c r="O76" i="9"/>
  <c r="R51" i="12"/>
  <c r="D53" i="12"/>
  <c r="U53" i="12"/>
  <c r="Q52" i="12"/>
  <c r="R52" i="12"/>
  <c r="B43" i="7"/>
  <c r="K77" i="12"/>
  <c r="I78" i="12"/>
  <c r="H54" i="12"/>
  <c r="W54" i="12"/>
  <c r="O53" i="12"/>
  <c r="F53" i="9"/>
  <c r="F53" i="12"/>
  <c r="P53" i="12"/>
  <c r="S53" i="12"/>
  <c r="G53" i="12"/>
  <c r="Q53" i="9"/>
  <c r="S53" i="9"/>
  <c r="D53" i="9"/>
  <c r="R54" i="9"/>
  <c r="V53" i="12"/>
  <c r="I78" i="9"/>
  <c r="O77" i="9"/>
  <c r="O54" i="12"/>
  <c r="U54" i="12"/>
  <c r="Q53" i="12"/>
  <c r="R53" i="12"/>
  <c r="G44" i="7"/>
  <c r="I44" i="7"/>
  <c r="J44" i="7"/>
  <c r="D44" i="7"/>
  <c r="E44" i="7"/>
  <c r="F43" i="7"/>
  <c r="I79" i="12"/>
  <c r="K78" i="12"/>
  <c r="D54" i="12"/>
  <c r="G53" i="9"/>
  <c r="P54" i="12"/>
  <c r="S54" i="12"/>
  <c r="G54" i="12"/>
  <c r="H55" i="12"/>
  <c r="W55" i="12"/>
  <c r="F54" i="12"/>
  <c r="H54" i="9"/>
  <c r="D54" i="9"/>
  <c r="N54" i="9"/>
  <c r="U55" i="12"/>
  <c r="V54" i="12"/>
  <c r="I79" i="9"/>
  <c r="O78" i="9"/>
  <c r="Q54" i="12"/>
  <c r="R54" i="12"/>
  <c r="B44" i="7"/>
  <c r="I45" i="7"/>
  <c r="J45" i="7"/>
  <c r="D45" i="7"/>
  <c r="E45" i="7"/>
  <c r="C44" i="7"/>
  <c r="I80" i="12"/>
  <c r="K79" i="12"/>
  <c r="F54" i="9"/>
  <c r="O55" i="12"/>
  <c r="D55" i="12"/>
  <c r="F55" i="12"/>
  <c r="P54" i="9"/>
  <c r="V55" i="12"/>
  <c r="I80" i="9"/>
  <c r="O79" i="9"/>
  <c r="K80" i="12"/>
  <c r="I81" i="12"/>
  <c r="B45" i="7"/>
  <c r="F45" i="7"/>
  <c r="F44" i="7"/>
  <c r="G45" i="7"/>
  <c r="C45" i="7"/>
  <c r="G54" i="9"/>
  <c r="P55" i="12"/>
  <c r="S55" i="12"/>
  <c r="G55" i="12"/>
  <c r="H56" i="12"/>
  <c r="W56" i="12"/>
  <c r="Q54" i="9"/>
  <c r="S54" i="9"/>
  <c r="N55" i="9"/>
  <c r="R55" i="9"/>
  <c r="U56" i="12"/>
  <c r="H55" i="9"/>
  <c r="P55" i="9"/>
  <c r="I81" i="9"/>
  <c r="O80" i="9"/>
  <c r="Q55" i="12"/>
  <c r="I82" i="12"/>
  <c r="K81" i="12"/>
  <c r="I46" i="7"/>
  <c r="J46" i="7"/>
  <c r="D46" i="7"/>
  <c r="E46" i="7"/>
  <c r="G46" i="7"/>
  <c r="C46" i="7"/>
  <c r="F55" i="9"/>
  <c r="P56" i="12"/>
  <c r="S56" i="12"/>
  <c r="G56" i="12"/>
  <c r="H57" i="12"/>
  <c r="W57" i="12"/>
  <c r="O56" i="12"/>
  <c r="D56" i="12"/>
  <c r="F56" i="12"/>
  <c r="Q55" i="9"/>
  <c r="S55" i="9"/>
  <c r="V56" i="12"/>
  <c r="U57" i="12"/>
  <c r="D55" i="9"/>
  <c r="R56" i="9"/>
  <c r="I82" i="9"/>
  <c r="O81" i="9"/>
  <c r="R55" i="12"/>
  <c r="Q56" i="12"/>
  <c r="I83" i="12"/>
  <c r="K82" i="12"/>
  <c r="B46" i="7"/>
  <c r="I47" i="7"/>
  <c r="J47" i="7"/>
  <c r="D47" i="7"/>
  <c r="G55" i="9"/>
  <c r="F57" i="12"/>
  <c r="O57" i="12"/>
  <c r="D57" i="12"/>
  <c r="V57" i="12"/>
  <c r="H56" i="9"/>
  <c r="D56" i="9"/>
  <c r="N56" i="9"/>
  <c r="I83" i="9"/>
  <c r="O82" i="9"/>
  <c r="R56" i="12"/>
  <c r="I84" i="12"/>
  <c r="K83" i="12"/>
  <c r="G47" i="7"/>
  <c r="C47" i="7"/>
  <c r="F46" i="7"/>
  <c r="E47" i="7"/>
  <c r="B47" i="7"/>
  <c r="G56" i="9"/>
  <c r="F56" i="9"/>
  <c r="P57" i="12"/>
  <c r="S57" i="12"/>
  <c r="G57" i="12"/>
  <c r="H58" i="12"/>
  <c r="W58" i="12"/>
  <c r="N57" i="9"/>
  <c r="R57" i="9"/>
  <c r="U58" i="12"/>
  <c r="H57" i="9"/>
  <c r="D57" i="9"/>
  <c r="P56" i="9"/>
  <c r="I84" i="9"/>
  <c r="O83" i="9"/>
  <c r="Q57" i="12"/>
  <c r="I85" i="12"/>
  <c r="K84" i="12"/>
  <c r="G48" i="7"/>
  <c r="C48" i="7"/>
  <c r="I48" i="7"/>
  <c r="J48" i="7"/>
  <c r="D48" i="7"/>
  <c r="F47" i="7"/>
  <c r="F57" i="9"/>
  <c r="P58" i="12"/>
  <c r="S58" i="12"/>
  <c r="G58" i="12"/>
  <c r="H59" i="12"/>
  <c r="W59" i="12"/>
  <c r="O58" i="12"/>
  <c r="D58" i="12"/>
  <c r="F58" i="12"/>
  <c r="Q56" i="9"/>
  <c r="S56" i="9"/>
  <c r="V58" i="12"/>
  <c r="U59" i="12"/>
  <c r="P57" i="9"/>
  <c r="I85" i="9"/>
  <c r="O84" i="9"/>
  <c r="R57" i="12"/>
  <c r="Q58" i="12"/>
  <c r="I86" i="12"/>
  <c r="K85" i="12"/>
  <c r="E48" i="7"/>
  <c r="B48" i="7"/>
  <c r="G49" i="7"/>
  <c r="C49" i="7"/>
  <c r="G57" i="9"/>
  <c r="P59" i="12"/>
  <c r="S59" i="12"/>
  <c r="G59" i="12"/>
  <c r="H60" i="12"/>
  <c r="W60" i="12"/>
  <c r="D59" i="12"/>
  <c r="O59" i="12"/>
  <c r="F59" i="12"/>
  <c r="Q57" i="9"/>
  <c r="S57" i="9"/>
  <c r="N58" i="9"/>
  <c r="R58" i="9"/>
  <c r="U60" i="12"/>
  <c r="V59" i="12"/>
  <c r="H58" i="9"/>
  <c r="D58" i="9"/>
  <c r="I86" i="9"/>
  <c r="O85" i="9"/>
  <c r="R58" i="12"/>
  <c r="Q59" i="12"/>
  <c r="I87" i="12"/>
  <c r="K86" i="12"/>
  <c r="F48" i="7"/>
  <c r="I49" i="7"/>
  <c r="J49" i="7"/>
  <c r="D49" i="7"/>
  <c r="F58" i="9"/>
  <c r="O60" i="12"/>
  <c r="D60" i="12"/>
  <c r="F60" i="12"/>
  <c r="V60" i="12"/>
  <c r="P58" i="9"/>
  <c r="I87" i="9"/>
  <c r="O86" i="9"/>
  <c r="R59" i="12"/>
  <c r="K87" i="12"/>
  <c r="I88" i="12"/>
  <c r="E49" i="7"/>
  <c r="B49" i="7"/>
  <c r="G58" i="9"/>
  <c r="P60" i="12"/>
  <c r="S60" i="12"/>
  <c r="G60" i="12"/>
  <c r="H61" i="12"/>
  <c r="W61" i="12"/>
  <c r="Q58" i="9"/>
  <c r="S58" i="9"/>
  <c r="N59" i="9"/>
  <c r="R59" i="9"/>
  <c r="U61" i="12"/>
  <c r="H59" i="9"/>
  <c r="P59" i="9"/>
  <c r="I88" i="9"/>
  <c r="O87" i="9"/>
  <c r="Q60" i="12"/>
  <c r="I89" i="12"/>
  <c r="K88" i="12"/>
  <c r="F61" i="12"/>
  <c r="F49" i="7"/>
  <c r="G50" i="7"/>
  <c r="C50" i="7"/>
  <c r="I50" i="7"/>
  <c r="J50" i="7"/>
  <c r="D50" i="7"/>
  <c r="E50" i="7"/>
  <c r="F59" i="9"/>
  <c r="D61" i="12"/>
  <c r="O61" i="12"/>
  <c r="Q59" i="9"/>
  <c r="S59" i="9"/>
  <c r="V61" i="12"/>
  <c r="D59" i="9"/>
  <c r="R60" i="9"/>
  <c r="I89" i="9"/>
  <c r="O88" i="9"/>
  <c r="R60" i="12"/>
  <c r="I90" i="12"/>
  <c r="K89" i="12"/>
  <c r="B50" i="7"/>
  <c r="G59" i="9"/>
  <c r="P61" i="12"/>
  <c r="S61" i="12"/>
  <c r="G61" i="12"/>
  <c r="H62" i="12"/>
  <c r="W62" i="12"/>
  <c r="H60" i="9"/>
  <c r="D60" i="9"/>
  <c r="N60" i="9"/>
  <c r="U62" i="12"/>
  <c r="I90" i="9"/>
  <c r="O89" i="9"/>
  <c r="Q61" i="12"/>
  <c r="K90" i="12"/>
  <c r="I91" i="12"/>
  <c r="F62" i="12"/>
  <c r="F50" i="7"/>
  <c r="I51" i="7"/>
  <c r="J51" i="7"/>
  <c r="D51" i="7"/>
  <c r="E51" i="7"/>
  <c r="G51" i="7"/>
  <c r="C51" i="7"/>
  <c r="F60" i="9"/>
  <c r="O62" i="12"/>
  <c r="D62" i="12"/>
  <c r="V62" i="12"/>
  <c r="P60" i="9"/>
  <c r="I91" i="9"/>
  <c r="O90" i="9"/>
  <c r="R61" i="12"/>
  <c r="I92" i="12"/>
  <c r="K91" i="12"/>
  <c r="B51" i="7"/>
  <c r="G60" i="9"/>
  <c r="P62" i="12"/>
  <c r="S62" i="12"/>
  <c r="G62" i="12"/>
  <c r="H63" i="12"/>
  <c r="W63" i="12"/>
  <c r="Q60" i="9"/>
  <c r="S60" i="9"/>
  <c r="N61" i="9"/>
  <c r="R61" i="9"/>
  <c r="U63" i="12"/>
  <c r="H61" i="9"/>
  <c r="P61" i="9"/>
  <c r="I92" i="9"/>
  <c r="O91" i="9"/>
  <c r="Q62" i="12"/>
  <c r="K92" i="12"/>
  <c r="I93" i="12"/>
  <c r="F63" i="12"/>
  <c r="F51" i="7"/>
  <c r="I52" i="7"/>
  <c r="J52" i="7"/>
  <c r="D52" i="7"/>
  <c r="E52" i="7"/>
  <c r="G52" i="7"/>
  <c r="C52" i="7"/>
  <c r="F61" i="9"/>
  <c r="P63" i="12"/>
  <c r="S63" i="12"/>
  <c r="O63" i="12"/>
  <c r="D63" i="12"/>
  <c r="Q61" i="9"/>
  <c r="S61" i="9"/>
  <c r="V63" i="12"/>
  <c r="D61" i="9"/>
  <c r="R62" i="9"/>
  <c r="I93" i="9"/>
  <c r="O92" i="9"/>
  <c r="R62" i="12"/>
  <c r="Q63" i="12"/>
  <c r="R63" i="12"/>
  <c r="K93" i="12"/>
  <c r="I94" i="12"/>
  <c r="B52" i="7"/>
  <c r="G61" i="9"/>
  <c r="G63" i="12"/>
  <c r="H64" i="12"/>
  <c r="W64" i="12"/>
  <c r="H62" i="9"/>
  <c r="D62" i="9"/>
  <c r="N62" i="9"/>
  <c r="I94" i="9"/>
  <c r="O93" i="9"/>
  <c r="D64" i="12"/>
  <c r="U64" i="12"/>
  <c r="V64" i="12"/>
  <c r="K94" i="12"/>
  <c r="I95" i="12"/>
  <c r="F64" i="12"/>
  <c r="G53" i="7"/>
  <c r="C53" i="7"/>
  <c r="I53" i="7"/>
  <c r="J53" i="7"/>
  <c r="D53" i="7"/>
  <c r="E53" i="7"/>
  <c r="F52" i="7"/>
  <c r="F62" i="9"/>
  <c r="O64" i="12"/>
  <c r="G64" i="12"/>
  <c r="P62" i="9"/>
  <c r="I95" i="9"/>
  <c r="O94" i="9"/>
  <c r="I96" i="12"/>
  <c r="K95" i="12"/>
  <c r="B53" i="7"/>
  <c r="G62" i="9"/>
  <c r="H65" i="12"/>
  <c r="W65" i="12"/>
  <c r="P64" i="12"/>
  <c r="S64" i="12"/>
  <c r="Q62" i="9"/>
  <c r="S62" i="9"/>
  <c r="N63" i="9"/>
  <c r="R63" i="9"/>
  <c r="H63" i="9"/>
  <c r="D63" i="9"/>
  <c r="I96" i="9"/>
  <c r="O95" i="9"/>
  <c r="O65" i="12"/>
  <c r="U65" i="12"/>
  <c r="Q64" i="12"/>
  <c r="R64" i="12"/>
  <c r="I97" i="12"/>
  <c r="K96" i="12"/>
  <c r="F65" i="12"/>
  <c r="F53" i="7"/>
  <c r="I54" i="7"/>
  <c r="J54" i="7"/>
  <c r="D54" i="7"/>
  <c r="G54" i="7"/>
  <c r="C54" i="7"/>
  <c r="D65" i="12"/>
  <c r="F63" i="9"/>
  <c r="H66" i="12"/>
  <c r="W66" i="12"/>
  <c r="P63" i="9"/>
  <c r="V65" i="12"/>
  <c r="I97" i="9"/>
  <c r="O96" i="9"/>
  <c r="O66" i="12"/>
  <c r="U66" i="12"/>
  <c r="I98" i="12"/>
  <c r="K97" i="12"/>
  <c r="E54" i="7"/>
  <c r="B54" i="7"/>
  <c r="G63" i="9"/>
  <c r="G65" i="12"/>
  <c r="D66" i="12"/>
  <c r="P65" i="12"/>
  <c r="S65" i="12"/>
  <c r="Q63" i="9"/>
  <c r="S63" i="9"/>
  <c r="N64" i="9"/>
  <c r="R64" i="9"/>
  <c r="H64" i="9"/>
  <c r="D64" i="9"/>
  <c r="I98" i="9"/>
  <c r="O97" i="9"/>
  <c r="Q65" i="12"/>
  <c r="R65" i="12"/>
  <c r="I99" i="12"/>
  <c r="K98" i="12"/>
  <c r="F66" i="12"/>
  <c r="G55" i="7"/>
  <c r="C55" i="7"/>
  <c r="I55" i="7"/>
  <c r="J55" i="7"/>
  <c r="D55" i="7"/>
  <c r="E55" i="7"/>
  <c r="F54" i="7"/>
  <c r="F64" i="9"/>
  <c r="H67" i="12"/>
  <c r="W67" i="12"/>
  <c r="U67" i="12"/>
  <c r="P64" i="9"/>
  <c r="V66" i="12"/>
  <c r="I99" i="9"/>
  <c r="O98" i="9"/>
  <c r="I100" i="12"/>
  <c r="K99" i="12"/>
  <c r="B55" i="7"/>
  <c r="G64" i="9"/>
  <c r="G66" i="12"/>
  <c r="P66" i="12"/>
  <c r="S66" i="12"/>
  <c r="D67" i="12"/>
  <c r="O67" i="12"/>
  <c r="Q64" i="9"/>
  <c r="S64" i="9"/>
  <c r="N65" i="9"/>
  <c r="R65" i="9"/>
  <c r="H65" i="9"/>
  <c r="D65" i="9"/>
  <c r="I100" i="9"/>
  <c r="O99" i="9"/>
  <c r="Q66" i="12"/>
  <c r="K100" i="12"/>
  <c r="I101" i="12"/>
  <c r="F67" i="12"/>
  <c r="I56" i="7"/>
  <c r="J56" i="7"/>
  <c r="D56" i="7"/>
  <c r="F55" i="7"/>
  <c r="G56" i="7"/>
  <c r="C56" i="7"/>
  <c r="F65" i="9"/>
  <c r="P67" i="12"/>
  <c r="S67" i="12"/>
  <c r="P65" i="9"/>
  <c r="R66" i="12"/>
  <c r="V67" i="12"/>
  <c r="I101" i="9"/>
  <c r="O100" i="9"/>
  <c r="Q67" i="12"/>
  <c r="R67" i="12"/>
  <c r="K101" i="12"/>
  <c r="I102" i="12"/>
  <c r="E56" i="7"/>
  <c r="B56" i="7"/>
  <c r="G65" i="9"/>
  <c r="H68" i="12"/>
  <c r="W68" i="12"/>
  <c r="G67" i="12"/>
  <c r="Q65" i="9"/>
  <c r="S65" i="9"/>
  <c r="N66" i="9"/>
  <c r="R66" i="9"/>
  <c r="H66" i="9"/>
  <c r="D66" i="9"/>
  <c r="I102" i="9"/>
  <c r="O101" i="9"/>
  <c r="D68" i="12"/>
  <c r="U68" i="12"/>
  <c r="V68" i="12"/>
  <c r="I103" i="12"/>
  <c r="K102" i="12"/>
  <c r="F68" i="12"/>
  <c r="I57" i="7"/>
  <c r="J57" i="7"/>
  <c r="D57" i="7"/>
  <c r="G57" i="7"/>
  <c r="C57" i="7"/>
  <c r="F56" i="7"/>
  <c r="F66" i="9"/>
  <c r="O68" i="12"/>
  <c r="P68" i="12"/>
  <c r="S68" i="12"/>
  <c r="P66" i="9"/>
  <c r="I103" i="9"/>
  <c r="O102" i="9"/>
  <c r="Q68" i="12"/>
  <c r="R68" i="12"/>
  <c r="I104" i="12"/>
  <c r="K103" i="12"/>
  <c r="E57" i="7"/>
  <c r="B57" i="7"/>
  <c r="G66" i="9"/>
  <c r="H69" i="12"/>
  <c r="W69" i="12"/>
  <c r="G68" i="12"/>
  <c r="Q66" i="9"/>
  <c r="S66" i="9"/>
  <c r="N67" i="9"/>
  <c r="R67" i="9"/>
  <c r="U69" i="12"/>
  <c r="V69" i="12"/>
  <c r="H67" i="9"/>
  <c r="D67" i="9"/>
  <c r="I104" i="9"/>
  <c r="O103" i="9"/>
  <c r="K104" i="12"/>
  <c r="I105" i="12"/>
  <c r="F69" i="12"/>
  <c r="G58" i="7"/>
  <c r="C58" i="7"/>
  <c r="I58" i="7"/>
  <c r="J58" i="7"/>
  <c r="D58" i="7"/>
  <c r="E58" i="7"/>
  <c r="F57" i="7"/>
  <c r="G67" i="9"/>
  <c r="F67" i="9"/>
  <c r="D69" i="12"/>
  <c r="O69" i="12"/>
  <c r="N68" i="9"/>
  <c r="R68" i="9"/>
  <c r="H68" i="9"/>
  <c r="D68" i="9"/>
  <c r="P67" i="9"/>
  <c r="I105" i="9"/>
  <c r="O104" i="9"/>
  <c r="K105" i="12"/>
  <c r="I106" i="12"/>
  <c r="F70" i="12"/>
  <c r="B58" i="7"/>
  <c r="F68" i="9"/>
  <c r="H70" i="12"/>
  <c r="W70" i="12"/>
  <c r="P69" i="12"/>
  <c r="S69" i="12"/>
  <c r="G69" i="12"/>
  <c r="Q67" i="9"/>
  <c r="S67" i="9"/>
  <c r="P68" i="9"/>
  <c r="I106" i="9"/>
  <c r="O105" i="9"/>
  <c r="O70" i="12"/>
  <c r="U70" i="12"/>
  <c r="Q69" i="12"/>
  <c r="R69" i="12"/>
  <c r="I107" i="12"/>
  <c r="K106" i="12"/>
  <c r="F71" i="12"/>
  <c r="F58" i="7"/>
  <c r="I59" i="7"/>
  <c r="J59" i="7"/>
  <c r="D59" i="7"/>
  <c r="G59" i="7"/>
  <c r="C59" i="7"/>
  <c r="G68" i="9"/>
  <c r="D70" i="12"/>
  <c r="G70" i="12"/>
  <c r="P70" i="12"/>
  <c r="S70" i="12"/>
  <c r="H71" i="12"/>
  <c r="W71" i="12"/>
  <c r="Q68" i="9"/>
  <c r="S68" i="9"/>
  <c r="N69" i="9"/>
  <c r="R69" i="9"/>
  <c r="H69" i="9"/>
  <c r="D69" i="9"/>
  <c r="V70" i="12"/>
  <c r="I107" i="9"/>
  <c r="O106" i="9"/>
  <c r="O71" i="12"/>
  <c r="U71" i="12"/>
  <c r="Q70" i="12"/>
  <c r="R70" i="12"/>
  <c r="I108" i="12"/>
  <c r="K107" i="12"/>
  <c r="E59" i="7"/>
  <c r="B59" i="7"/>
  <c r="F69" i="9"/>
  <c r="H72" i="12"/>
  <c r="W72" i="12"/>
  <c r="D71" i="12"/>
  <c r="P71" i="12"/>
  <c r="S71" i="12"/>
  <c r="G71" i="12"/>
  <c r="P69" i="9"/>
  <c r="V71" i="12"/>
  <c r="I108" i="9"/>
  <c r="O107" i="9"/>
  <c r="O72" i="12"/>
  <c r="U72" i="12"/>
  <c r="Q71" i="12"/>
  <c r="R71" i="12"/>
  <c r="I109" i="12"/>
  <c r="K108" i="12"/>
  <c r="F72" i="12"/>
  <c r="G60" i="7"/>
  <c r="C60" i="7"/>
  <c r="I60" i="7"/>
  <c r="J60" i="7"/>
  <c r="D60" i="7"/>
  <c r="E60" i="7"/>
  <c r="F59" i="7"/>
  <c r="G69" i="9"/>
  <c r="D72" i="12"/>
  <c r="Q69" i="9"/>
  <c r="S69" i="9"/>
  <c r="N70" i="9"/>
  <c r="R70" i="9"/>
  <c r="H70" i="9"/>
  <c r="D70" i="9"/>
  <c r="V72" i="12"/>
  <c r="I109" i="9"/>
  <c r="O108" i="9"/>
  <c r="I110" i="12"/>
  <c r="K109" i="12"/>
  <c r="B60" i="7"/>
  <c r="F70" i="9"/>
  <c r="P72" i="12"/>
  <c r="S72" i="12"/>
  <c r="G72" i="12"/>
  <c r="H73" i="12"/>
  <c r="W73" i="12"/>
  <c r="U73" i="12"/>
  <c r="P70" i="9"/>
  <c r="I110" i="9"/>
  <c r="O109" i="9"/>
  <c r="Q72" i="12"/>
  <c r="R72" i="12"/>
  <c r="I111" i="12"/>
  <c r="K110" i="12"/>
  <c r="F73" i="12"/>
  <c r="I61" i="7"/>
  <c r="J61" i="7"/>
  <c r="D61" i="7"/>
  <c r="E61" i="7"/>
  <c r="F60" i="7"/>
  <c r="G61" i="7"/>
  <c r="C61" i="7"/>
  <c r="G70" i="9"/>
  <c r="O73" i="12"/>
  <c r="D73" i="12"/>
  <c r="Q70" i="9"/>
  <c r="S70" i="9"/>
  <c r="N71" i="9"/>
  <c r="R71" i="9"/>
  <c r="H71" i="9"/>
  <c r="D71" i="9"/>
  <c r="V73" i="12"/>
  <c r="I111" i="9"/>
  <c r="O110" i="9"/>
  <c r="K111" i="12"/>
  <c r="I112" i="12"/>
  <c r="B61" i="7"/>
  <c r="F61" i="7"/>
  <c r="F71" i="9"/>
  <c r="P73" i="12"/>
  <c r="S73" i="12"/>
  <c r="G73" i="12"/>
  <c r="H74" i="12"/>
  <c r="W74" i="12"/>
  <c r="U74" i="12"/>
  <c r="P71" i="9"/>
  <c r="I112" i="9"/>
  <c r="O111" i="9"/>
  <c r="Q73" i="12"/>
  <c r="R73" i="12"/>
  <c r="K112" i="12"/>
  <c r="I113" i="12"/>
  <c r="F74" i="12"/>
  <c r="G62" i="7"/>
  <c r="C62" i="7"/>
  <c r="I62" i="7"/>
  <c r="J62" i="7"/>
  <c r="D62" i="7"/>
  <c r="E62" i="7"/>
  <c r="G71" i="9"/>
  <c r="H75" i="12"/>
  <c r="W75" i="12"/>
  <c r="O74" i="12"/>
  <c r="D74" i="12"/>
  <c r="Q71" i="9"/>
  <c r="S71" i="9"/>
  <c r="N72" i="9"/>
  <c r="R72" i="9"/>
  <c r="U75" i="12"/>
  <c r="H72" i="9"/>
  <c r="D72" i="9"/>
  <c r="V74" i="12"/>
  <c r="I113" i="9"/>
  <c r="O112" i="9"/>
  <c r="K113" i="12"/>
  <c r="I114" i="12"/>
  <c r="B62" i="7"/>
  <c r="G63" i="7"/>
  <c r="C63" i="7"/>
  <c r="F72" i="9"/>
  <c r="D75" i="12"/>
  <c r="O75" i="12"/>
  <c r="P74" i="12"/>
  <c r="S74" i="12"/>
  <c r="G74" i="12"/>
  <c r="P72" i="9"/>
  <c r="I114" i="9"/>
  <c r="O113" i="9"/>
  <c r="Q74" i="12"/>
  <c r="I115" i="12"/>
  <c r="K114" i="12"/>
  <c r="F75" i="12"/>
  <c r="F62" i="7"/>
  <c r="I63" i="7"/>
  <c r="J63" i="7"/>
  <c r="D63" i="7"/>
  <c r="E63" i="7"/>
  <c r="G72" i="9"/>
  <c r="Q72" i="9"/>
  <c r="S72" i="9"/>
  <c r="N73" i="9"/>
  <c r="R73" i="9"/>
  <c r="H73" i="9"/>
  <c r="D73" i="9"/>
  <c r="R74" i="12"/>
  <c r="V75" i="12"/>
  <c r="I115" i="9"/>
  <c r="O114" i="9"/>
  <c r="I116" i="12"/>
  <c r="K115" i="12"/>
  <c r="B63" i="7"/>
  <c r="F73" i="9"/>
  <c r="P75" i="12"/>
  <c r="S75" i="12"/>
  <c r="G75" i="12"/>
  <c r="H76" i="12"/>
  <c r="W76" i="12"/>
  <c r="U76" i="12"/>
  <c r="P73" i="9"/>
  <c r="I116" i="9"/>
  <c r="O115" i="9"/>
  <c r="Q75" i="12"/>
  <c r="R75" i="12"/>
  <c r="K116" i="12"/>
  <c r="I117" i="12"/>
  <c r="F76" i="12"/>
  <c r="G64" i="7"/>
  <c r="C64" i="7"/>
  <c r="F63" i="7"/>
  <c r="I64" i="7"/>
  <c r="J64" i="7"/>
  <c r="D64" i="7"/>
  <c r="E64" i="7"/>
  <c r="G73" i="9"/>
  <c r="O76" i="12"/>
  <c r="D76" i="12"/>
  <c r="H77" i="12"/>
  <c r="W77" i="12"/>
  <c r="Q73" i="9"/>
  <c r="S73" i="9"/>
  <c r="N74" i="9"/>
  <c r="R74" i="9"/>
  <c r="U77" i="12"/>
  <c r="H74" i="9"/>
  <c r="D74" i="9"/>
  <c r="V76" i="12"/>
  <c r="I117" i="9"/>
  <c r="O116" i="9"/>
  <c r="K117" i="12"/>
  <c r="I118" i="12"/>
  <c r="B64" i="7"/>
  <c r="F74" i="9"/>
  <c r="O77" i="12"/>
  <c r="D77" i="12"/>
  <c r="P76" i="12"/>
  <c r="S76" i="12"/>
  <c r="G76" i="12"/>
  <c r="P74" i="9"/>
  <c r="I118" i="9"/>
  <c r="O117" i="9"/>
  <c r="Q76" i="12"/>
  <c r="I119" i="12"/>
  <c r="K118" i="12"/>
  <c r="F77" i="12"/>
  <c r="G65" i="7"/>
  <c r="C65" i="7"/>
  <c r="I65" i="7"/>
  <c r="J65" i="7"/>
  <c r="D65" i="7"/>
  <c r="E65" i="7"/>
  <c r="F64" i="7"/>
  <c r="G74" i="9"/>
  <c r="Q74" i="9"/>
  <c r="S74" i="9"/>
  <c r="N75" i="9"/>
  <c r="R75" i="9"/>
  <c r="H75" i="9"/>
  <c r="R76" i="12"/>
  <c r="V77" i="12"/>
  <c r="I119" i="9"/>
  <c r="O118" i="9"/>
  <c r="I120" i="12"/>
  <c r="K119" i="12"/>
  <c r="B65" i="7"/>
  <c r="F75" i="9"/>
  <c r="P77" i="12"/>
  <c r="S77" i="12"/>
  <c r="G77" i="12"/>
  <c r="H78" i="12"/>
  <c r="W78" i="12"/>
  <c r="U78" i="12"/>
  <c r="D75" i="9"/>
  <c r="P75" i="9"/>
  <c r="I120" i="9"/>
  <c r="O120" i="9"/>
  <c r="O119" i="9"/>
  <c r="Q77" i="12"/>
  <c r="R77" i="12"/>
  <c r="I121" i="12"/>
  <c r="K120" i="12"/>
  <c r="F78" i="12"/>
  <c r="G66" i="7"/>
  <c r="F65" i="7"/>
  <c r="I66" i="7"/>
  <c r="J66" i="7"/>
  <c r="D66" i="7"/>
  <c r="E66" i="7"/>
  <c r="G75" i="9"/>
  <c r="P78" i="12"/>
  <c r="S78" i="12"/>
  <c r="O78" i="12"/>
  <c r="D78" i="12"/>
  <c r="Q75" i="9"/>
  <c r="S75" i="9"/>
  <c r="N76" i="9"/>
  <c r="R76" i="9"/>
  <c r="H76" i="9"/>
  <c r="V78" i="12"/>
  <c r="Q78" i="12"/>
  <c r="R78" i="12"/>
  <c r="K121" i="12"/>
  <c r="I122" i="12"/>
  <c r="K122" i="12"/>
  <c r="B66" i="7"/>
  <c r="G67" i="7"/>
  <c r="C67" i="7"/>
  <c r="C66" i="7"/>
  <c r="G76" i="9"/>
  <c r="F76" i="9"/>
  <c r="H79" i="12"/>
  <c r="W79" i="12"/>
  <c r="G78" i="12"/>
  <c r="N77" i="9"/>
  <c r="R77" i="9"/>
  <c r="H77" i="9"/>
  <c r="P77" i="9"/>
  <c r="D76" i="9"/>
  <c r="P76" i="9"/>
  <c r="O79" i="12"/>
  <c r="U79" i="12"/>
  <c r="V79" i="12"/>
  <c r="F79" i="12"/>
  <c r="I67" i="7"/>
  <c r="J67" i="7"/>
  <c r="D67" i="7"/>
  <c r="E67" i="7"/>
  <c r="F66" i="7"/>
  <c r="F77" i="9"/>
  <c r="D79" i="12"/>
  <c r="H80" i="12"/>
  <c r="W80" i="12"/>
  <c r="Q76" i="9"/>
  <c r="S76" i="9"/>
  <c r="Q77" i="9"/>
  <c r="S77" i="9"/>
  <c r="U80" i="12"/>
  <c r="D77" i="9"/>
  <c r="R78" i="9"/>
  <c r="B67" i="7"/>
  <c r="F67" i="7"/>
  <c r="G77" i="9"/>
  <c r="D80" i="12"/>
  <c r="O80" i="12"/>
  <c r="P79" i="12"/>
  <c r="S79" i="12"/>
  <c r="G79" i="12"/>
  <c r="H78" i="9"/>
  <c r="P78" i="9"/>
  <c r="N78" i="9"/>
  <c r="Q79" i="12"/>
  <c r="F78" i="9"/>
  <c r="F80" i="12"/>
  <c r="Q78" i="9"/>
  <c r="S78" i="9"/>
  <c r="D78" i="9"/>
  <c r="R79" i="12"/>
  <c r="V80" i="12"/>
  <c r="H81" i="12"/>
  <c r="W81" i="12"/>
  <c r="G78" i="9"/>
  <c r="P80" i="12"/>
  <c r="S80" i="12"/>
  <c r="G80" i="12"/>
  <c r="N79" i="9"/>
  <c r="R79" i="9"/>
  <c r="U81" i="12"/>
  <c r="H79" i="9"/>
  <c r="D79" i="9"/>
  <c r="Q80" i="12"/>
  <c r="R80" i="12"/>
  <c r="G81" i="12"/>
  <c r="P81" i="12"/>
  <c r="S81" i="12"/>
  <c r="O81" i="12"/>
  <c r="D81" i="12"/>
  <c r="H82" i="12"/>
  <c r="W82" i="12"/>
  <c r="F81" i="12"/>
  <c r="F79" i="9"/>
  <c r="U82" i="12"/>
  <c r="P79" i="9"/>
  <c r="V81" i="12"/>
  <c r="Q81" i="12"/>
  <c r="R81" i="12"/>
  <c r="F82" i="12"/>
  <c r="P82" i="12"/>
  <c r="S82" i="12"/>
  <c r="O82" i="12"/>
  <c r="D82" i="12"/>
  <c r="G79" i="9"/>
  <c r="Q79" i="9"/>
  <c r="S79" i="9"/>
  <c r="N80" i="9"/>
  <c r="R80" i="9"/>
  <c r="H80" i="9"/>
  <c r="D80" i="9"/>
  <c r="V82" i="12"/>
  <c r="Q82" i="12"/>
  <c r="R82" i="12"/>
  <c r="F83" i="12"/>
  <c r="G82" i="12"/>
  <c r="H83" i="12"/>
  <c r="W83" i="12"/>
  <c r="F80" i="9"/>
  <c r="P80" i="9"/>
  <c r="D83" i="12"/>
  <c r="U83" i="12"/>
  <c r="V83" i="12"/>
  <c r="P83" i="12"/>
  <c r="S83" i="12"/>
  <c r="O83" i="12"/>
  <c r="G80" i="9"/>
  <c r="Q80" i="9"/>
  <c r="S80" i="9"/>
  <c r="N81" i="9"/>
  <c r="R81" i="9"/>
  <c r="H81" i="9"/>
  <c r="P81" i="9"/>
  <c r="Q83" i="12"/>
  <c r="R83" i="12"/>
  <c r="H84" i="12"/>
  <c r="W84" i="12"/>
  <c r="F84" i="12"/>
  <c r="G83" i="12"/>
  <c r="G81" i="9"/>
  <c r="F81" i="9"/>
  <c r="Q81" i="9"/>
  <c r="S81" i="9"/>
  <c r="N82" i="9"/>
  <c r="R82" i="9"/>
  <c r="H82" i="9"/>
  <c r="P82" i="9"/>
  <c r="D81" i="9"/>
  <c r="O84" i="12"/>
  <c r="U84" i="12"/>
  <c r="V84" i="12"/>
  <c r="D84" i="12"/>
  <c r="H85" i="12"/>
  <c r="W85" i="12"/>
  <c r="F82" i="9"/>
  <c r="Q82" i="9"/>
  <c r="S82" i="9"/>
  <c r="D82" i="9"/>
  <c r="D85" i="12"/>
  <c r="U85" i="12"/>
  <c r="R83" i="9"/>
  <c r="P84" i="12"/>
  <c r="S84" i="12"/>
  <c r="O85" i="12"/>
  <c r="G84" i="12"/>
  <c r="G82" i="9"/>
  <c r="H83" i="9"/>
  <c r="D83" i="9"/>
  <c r="N83" i="9"/>
  <c r="Q84" i="12"/>
  <c r="R84" i="12"/>
  <c r="F85" i="12"/>
  <c r="G85" i="12"/>
  <c r="P85" i="12"/>
  <c r="S85" i="12"/>
  <c r="H86" i="12"/>
  <c r="W86" i="12"/>
  <c r="F83" i="9"/>
  <c r="P83" i="9"/>
  <c r="U86" i="12"/>
  <c r="V85" i="12"/>
  <c r="Q85" i="12"/>
  <c r="R85" i="12"/>
  <c r="F86" i="12"/>
  <c r="O86" i="12"/>
  <c r="D86" i="12"/>
  <c r="H87" i="12"/>
  <c r="W87" i="12"/>
  <c r="G83" i="9"/>
  <c r="Q83" i="9"/>
  <c r="S83" i="9"/>
  <c r="N84" i="9"/>
  <c r="R84" i="9"/>
  <c r="U87" i="12"/>
  <c r="H84" i="9"/>
  <c r="D84" i="9"/>
  <c r="V86" i="12"/>
  <c r="G86" i="12"/>
  <c r="P86" i="12"/>
  <c r="S86" i="12"/>
  <c r="D87" i="12"/>
  <c r="O87" i="12"/>
  <c r="F84" i="9"/>
  <c r="P84" i="9"/>
  <c r="Q86" i="12"/>
  <c r="F87" i="12"/>
  <c r="H88" i="12"/>
  <c r="W88" i="12"/>
  <c r="G84" i="9"/>
  <c r="Q84" i="9"/>
  <c r="S84" i="9"/>
  <c r="N85" i="9"/>
  <c r="R85" i="9"/>
  <c r="H85" i="9"/>
  <c r="D85" i="9"/>
  <c r="R86" i="12"/>
  <c r="V87" i="12"/>
  <c r="D88" i="12"/>
  <c r="U88" i="12"/>
  <c r="G87" i="12"/>
  <c r="P87" i="12"/>
  <c r="S87" i="12"/>
  <c r="O88" i="12"/>
  <c r="F85" i="9"/>
  <c r="P85" i="9"/>
  <c r="Q87" i="12"/>
  <c r="R87" i="12"/>
  <c r="F88" i="12"/>
  <c r="P88" i="12"/>
  <c r="S88" i="12"/>
  <c r="G88" i="12"/>
  <c r="H89" i="12"/>
  <c r="W89" i="12"/>
  <c r="G85" i="9"/>
  <c r="Q85" i="9"/>
  <c r="S85" i="9"/>
  <c r="N86" i="9"/>
  <c r="R86" i="9"/>
  <c r="U89" i="12"/>
  <c r="H86" i="9"/>
  <c r="D86" i="9"/>
  <c r="V88" i="12"/>
  <c r="Q88" i="12"/>
  <c r="R88" i="12"/>
  <c r="F89" i="12"/>
  <c r="D89" i="12"/>
  <c r="O89" i="12"/>
  <c r="F86" i="9"/>
  <c r="P86" i="9"/>
  <c r="V89" i="12"/>
  <c r="P89" i="12"/>
  <c r="S89" i="12"/>
  <c r="G89" i="12"/>
  <c r="H90" i="12"/>
  <c r="W90" i="12"/>
  <c r="G86" i="9"/>
  <c r="Q86" i="9"/>
  <c r="S86" i="9"/>
  <c r="N87" i="9"/>
  <c r="R87" i="9"/>
  <c r="U90" i="12"/>
  <c r="H87" i="9"/>
  <c r="D87" i="9"/>
  <c r="Q89" i="12"/>
  <c r="R89" i="12"/>
  <c r="F90" i="12"/>
  <c r="P90" i="12"/>
  <c r="S90" i="12"/>
  <c r="O90" i="12"/>
  <c r="D90" i="12"/>
  <c r="F87" i="9"/>
  <c r="P87" i="9"/>
  <c r="V90" i="12"/>
  <c r="Q90" i="12"/>
  <c r="R90" i="12"/>
  <c r="G90" i="12"/>
  <c r="H91" i="12"/>
  <c r="W91" i="12"/>
  <c r="G87" i="9"/>
  <c r="Q87" i="9"/>
  <c r="S87" i="9"/>
  <c r="N88" i="9"/>
  <c r="R88" i="9"/>
  <c r="H88" i="9"/>
  <c r="D88" i="9"/>
  <c r="O91" i="12"/>
  <c r="U91" i="12"/>
  <c r="V91" i="12"/>
  <c r="D91" i="12"/>
  <c r="F91" i="12"/>
  <c r="G91" i="12"/>
  <c r="P91" i="12"/>
  <c r="S91" i="12"/>
  <c r="H92" i="12"/>
  <c r="W92" i="12"/>
  <c r="F88" i="9"/>
  <c r="U92" i="12"/>
  <c r="P88" i="9"/>
  <c r="Q91" i="12"/>
  <c r="R91" i="12"/>
  <c r="F92" i="12"/>
  <c r="H93" i="12"/>
  <c r="W93" i="12"/>
  <c r="D92" i="12"/>
  <c r="O92" i="12"/>
  <c r="G88" i="9"/>
  <c r="Q88" i="9"/>
  <c r="S88" i="9"/>
  <c r="N89" i="9"/>
  <c r="R89" i="9"/>
  <c r="U93" i="12"/>
  <c r="H89" i="9"/>
  <c r="D89" i="9"/>
  <c r="V92" i="12"/>
  <c r="D93" i="12"/>
  <c r="O93" i="12"/>
  <c r="G92" i="12"/>
  <c r="P92" i="12"/>
  <c r="S92" i="12"/>
  <c r="G89" i="9"/>
  <c r="F89" i="9"/>
  <c r="N90" i="9"/>
  <c r="R90" i="9"/>
  <c r="P89" i="9"/>
  <c r="H90" i="9"/>
  <c r="D90" i="9"/>
  <c r="Q92" i="12"/>
  <c r="F93" i="12"/>
  <c r="F90" i="9"/>
  <c r="Q89" i="9"/>
  <c r="S89" i="9"/>
  <c r="P90" i="9"/>
  <c r="R92" i="12"/>
  <c r="V93" i="12"/>
  <c r="P93" i="12"/>
  <c r="S93" i="12"/>
  <c r="G93" i="12"/>
  <c r="H94" i="12"/>
  <c r="W94" i="12"/>
  <c r="G90" i="9"/>
  <c r="Q90" i="9"/>
  <c r="S90" i="9"/>
  <c r="N91" i="9"/>
  <c r="R91" i="9"/>
  <c r="U94" i="12"/>
  <c r="H91" i="9"/>
  <c r="D91" i="9"/>
  <c r="Q93" i="12"/>
  <c r="R93" i="12"/>
  <c r="F94" i="12"/>
  <c r="O94" i="12"/>
  <c r="D94" i="12"/>
  <c r="H95" i="12"/>
  <c r="W95" i="12"/>
  <c r="G91" i="9"/>
  <c r="F91" i="9"/>
  <c r="N92" i="9"/>
  <c r="R92" i="9"/>
  <c r="U95" i="12"/>
  <c r="P91" i="9"/>
  <c r="H92" i="9"/>
  <c r="D92" i="9"/>
  <c r="V94" i="12"/>
  <c r="G94" i="12"/>
  <c r="P94" i="12"/>
  <c r="S94" i="12"/>
  <c r="O95" i="12"/>
  <c r="D95" i="12"/>
  <c r="F92" i="9"/>
  <c r="Q91" i="9"/>
  <c r="S91" i="9"/>
  <c r="P92" i="9"/>
  <c r="Q94" i="12"/>
  <c r="F95" i="12"/>
  <c r="G92" i="9"/>
  <c r="Q92" i="9"/>
  <c r="S92" i="9"/>
  <c r="N93" i="9"/>
  <c r="R93" i="9"/>
  <c r="H93" i="9"/>
  <c r="D93" i="9"/>
  <c r="R94" i="12"/>
  <c r="V95" i="12"/>
  <c r="G95" i="12"/>
  <c r="P95" i="12"/>
  <c r="S95" i="12"/>
  <c r="H96" i="12"/>
  <c r="W96" i="12"/>
  <c r="G93" i="9"/>
  <c r="F93" i="9"/>
  <c r="N94" i="9"/>
  <c r="R94" i="9"/>
  <c r="U96" i="12"/>
  <c r="H94" i="9"/>
  <c r="D94" i="9"/>
  <c r="P93" i="9"/>
  <c r="Q95" i="12"/>
  <c r="R95" i="12"/>
  <c r="F96" i="12"/>
  <c r="O96" i="12"/>
  <c r="D96" i="12"/>
  <c r="H97" i="12"/>
  <c r="W97" i="12"/>
  <c r="G94" i="9"/>
  <c r="F94" i="9"/>
  <c r="Q93" i="9"/>
  <c r="S93" i="9"/>
  <c r="N95" i="9"/>
  <c r="R95" i="9"/>
  <c r="U97" i="12"/>
  <c r="H95" i="9"/>
  <c r="D95" i="9"/>
  <c r="P94" i="9"/>
  <c r="F96" i="9"/>
  <c r="V96" i="12"/>
  <c r="D97" i="12"/>
  <c r="O97" i="12"/>
  <c r="P96" i="12"/>
  <c r="S96" i="12"/>
  <c r="G96" i="12"/>
  <c r="G95" i="9"/>
  <c r="F95" i="9"/>
  <c r="Q94" i="9"/>
  <c r="S94" i="9"/>
  <c r="N96" i="9"/>
  <c r="R96" i="9"/>
  <c r="H96" i="9"/>
  <c r="D96" i="9"/>
  <c r="P95" i="9"/>
  <c r="Q96" i="12"/>
  <c r="F97" i="12"/>
  <c r="Q95" i="9"/>
  <c r="S95" i="9"/>
  <c r="P96" i="9"/>
  <c r="R96" i="12"/>
  <c r="V97" i="12"/>
  <c r="P97" i="12"/>
  <c r="S97" i="12"/>
  <c r="G97" i="12"/>
  <c r="H98" i="12"/>
  <c r="W98" i="12"/>
  <c r="F97" i="9"/>
  <c r="G96" i="9"/>
  <c r="Q96" i="9"/>
  <c r="S96" i="9"/>
  <c r="N97" i="9"/>
  <c r="R97" i="9"/>
  <c r="U98" i="12"/>
  <c r="H97" i="9"/>
  <c r="D97" i="9"/>
  <c r="Q97" i="12"/>
  <c r="R97" i="12"/>
  <c r="F98" i="12"/>
  <c r="O98" i="12"/>
  <c r="D98" i="12"/>
  <c r="H99" i="12"/>
  <c r="W99" i="12"/>
  <c r="U99" i="12"/>
  <c r="P97" i="9"/>
  <c r="F98" i="9"/>
  <c r="V98" i="12"/>
  <c r="G98" i="12"/>
  <c r="P98" i="12"/>
  <c r="S98" i="12"/>
  <c r="O99" i="12"/>
  <c r="D99" i="12"/>
  <c r="G97" i="9"/>
  <c r="Q97" i="9"/>
  <c r="S97" i="9"/>
  <c r="N98" i="9"/>
  <c r="R98" i="9"/>
  <c r="H98" i="9"/>
  <c r="D98" i="9"/>
  <c r="Q98" i="12"/>
  <c r="F99" i="12"/>
  <c r="P98" i="9"/>
  <c r="F99" i="9"/>
  <c r="R98" i="12"/>
  <c r="V99" i="12"/>
  <c r="G99" i="12"/>
  <c r="P99" i="12"/>
  <c r="S99" i="12"/>
  <c r="H100" i="12"/>
  <c r="W100" i="12"/>
  <c r="G98" i="9"/>
  <c r="Q98" i="9"/>
  <c r="S98" i="9"/>
  <c r="N99" i="9"/>
  <c r="R99" i="9"/>
  <c r="U100" i="12"/>
  <c r="H99" i="9"/>
  <c r="Q99" i="12"/>
  <c r="R99" i="12"/>
  <c r="F100" i="12"/>
  <c r="D100" i="12"/>
  <c r="O100" i="12"/>
  <c r="H101" i="12"/>
  <c r="W101" i="12"/>
  <c r="U101" i="12"/>
  <c r="D99" i="9"/>
  <c r="P99" i="9"/>
  <c r="F100" i="9"/>
  <c r="V100" i="12"/>
  <c r="G100" i="12"/>
  <c r="P100" i="12"/>
  <c r="S100" i="12"/>
  <c r="O101" i="12"/>
  <c r="D101" i="12"/>
  <c r="G99" i="9"/>
  <c r="Q99" i="9"/>
  <c r="S99" i="9"/>
  <c r="N100" i="9"/>
  <c r="R100" i="9"/>
  <c r="H100" i="9"/>
  <c r="Q100" i="12"/>
  <c r="F101" i="12"/>
  <c r="G101" i="12"/>
  <c r="D100" i="9"/>
  <c r="P100" i="9"/>
  <c r="R100" i="12"/>
  <c r="V101" i="12"/>
  <c r="P101" i="12"/>
  <c r="S101" i="12"/>
  <c r="H102" i="12"/>
  <c r="W102" i="12"/>
  <c r="F101" i="9"/>
  <c r="G100" i="9"/>
  <c r="Q100" i="9"/>
  <c r="S100" i="9"/>
  <c r="N101" i="9"/>
  <c r="R101" i="9"/>
  <c r="U102" i="12"/>
  <c r="H101" i="9"/>
  <c r="D101" i="9"/>
  <c r="Q101" i="12"/>
  <c r="R101" i="12"/>
  <c r="F102" i="12"/>
  <c r="C102" i="12"/>
  <c r="O102" i="12"/>
  <c r="D102" i="12"/>
  <c r="P101" i="9"/>
  <c r="F102" i="9"/>
  <c r="V102" i="12"/>
  <c r="G102" i="12"/>
  <c r="P102" i="12"/>
  <c r="S102" i="12"/>
  <c r="L103" i="12"/>
  <c r="M103" i="12"/>
  <c r="E103" i="12"/>
  <c r="H103" i="12"/>
  <c r="W103" i="12"/>
  <c r="G101" i="9"/>
  <c r="Q101" i="9"/>
  <c r="S101" i="9"/>
  <c r="N102" i="9"/>
  <c r="R102" i="9"/>
  <c r="U103" i="12"/>
  <c r="H102" i="9"/>
  <c r="D102" i="9"/>
  <c r="Q102" i="12"/>
  <c r="R102" i="12"/>
  <c r="F103" i="12"/>
  <c r="O103" i="12"/>
  <c r="D103" i="12"/>
  <c r="C103" i="12"/>
  <c r="H104" i="12"/>
  <c r="W104" i="12"/>
  <c r="U104" i="12"/>
  <c r="P102" i="9"/>
  <c r="R103" i="9"/>
  <c r="F103" i="9"/>
  <c r="V103" i="12"/>
  <c r="D104" i="12"/>
  <c r="O104" i="12"/>
  <c r="L104" i="12"/>
  <c r="M104" i="12"/>
  <c r="E104" i="12"/>
  <c r="G103" i="12"/>
  <c r="P103" i="12"/>
  <c r="S103" i="12"/>
  <c r="G102" i="9"/>
  <c r="Q102" i="9"/>
  <c r="S102" i="9"/>
  <c r="H103" i="9"/>
  <c r="D103" i="9"/>
  <c r="N103" i="9"/>
  <c r="Q103" i="12"/>
  <c r="F104" i="12"/>
  <c r="C104" i="12"/>
  <c r="P104" i="12"/>
  <c r="S104" i="12"/>
  <c r="P103" i="9"/>
  <c r="R103" i="12"/>
  <c r="V104" i="12"/>
  <c r="Q104" i="12"/>
  <c r="R104" i="12"/>
  <c r="H105" i="12"/>
  <c r="W105" i="12"/>
  <c r="L105" i="12"/>
  <c r="M105" i="12"/>
  <c r="E105" i="12"/>
  <c r="G104" i="12"/>
  <c r="G103" i="9"/>
  <c r="F104" i="9"/>
  <c r="Q103" i="9"/>
  <c r="S103" i="9"/>
  <c r="N104" i="9"/>
  <c r="R104" i="9"/>
  <c r="H104" i="9"/>
  <c r="P104" i="9"/>
  <c r="O105" i="12"/>
  <c r="U105" i="12"/>
  <c r="V105" i="12"/>
  <c r="F105" i="12"/>
  <c r="C105" i="12"/>
  <c r="H106" i="12"/>
  <c r="W106" i="12"/>
  <c r="D105" i="12"/>
  <c r="Q104" i="9"/>
  <c r="S104" i="9"/>
  <c r="D104" i="9"/>
  <c r="F105" i="9"/>
  <c r="O106" i="12"/>
  <c r="U106" i="12"/>
  <c r="L106" i="12"/>
  <c r="M106" i="12"/>
  <c r="E106" i="12"/>
  <c r="G105" i="12"/>
  <c r="P105" i="12"/>
  <c r="S105" i="12"/>
  <c r="D106" i="12"/>
  <c r="G104" i="9"/>
  <c r="N105" i="9"/>
  <c r="R105" i="9"/>
  <c r="H105" i="9"/>
  <c r="D105" i="9"/>
  <c r="Q105" i="12"/>
  <c r="R105" i="12"/>
  <c r="F106" i="12"/>
  <c r="C106" i="12"/>
  <c r="G106" i="12"/>
  <c r="P105" i="9"/>
  <c r="F106" i="9"/>
  <c r="V106" i="12"/>
  <c r="H107" i="12"/>
  <c r="W107" i="12"/>
  <c r="L107" i="12"/>
  <c r="M107" i="12"/>
  <c r="E107" i="12"/>
  <c r="P106" i="12"/>
  <c r="S106" i="12"/>
  <c r="G105" i="9"/>
  <c r="Q105" i="9"/>
  <c r="S105" i="9"/>
  <c r="N106" i="9"/>
  <c r="R106" i="9"/>
  <c r="H106" i="9"/>
  <c r="D106" i="9"/>
  <c r="O107" i="12"/>
  <c r="U107" i="12"/>
  <c r="Q106" i="12"/>
  <c r="R106" i="12"/>
  <c r="F107" i="12"/>
  <c r="D107" i="12"/>
  <c r="C107" i="12"/>
  <c r="H108" i="12"/>
  <c r="W108" i="12"/>
  <c r="P106" i="9"/>
  <c r="V107" i="12"/>
  <c r="D108" i="12"/>
  <c r="U108" i="12"/>
  <c r="P107" i="12"/>
  <c r="S107" i="12"/>
  <c r="L108" i="12"/>
  <c r="M108" i="12"/>
  <c r="E108" i="12"/>
  <c r="O108" i="12"/>
  <c r="G107" i="12"/>
  <c r="F107" i="9"/>
  <c r="G106" i="9"/>
  <c r="Q106" i="9"/>
  <c r="S106" i="9"/>
  <c r="N107" i="9"/>
  <c r="R107" i="9"/>
  <c r="H107" i="9"/>
  <c r="D107" i="9"/>
  <c r="Q107" i="12"/>
  <c r="R107" i="12"/>
  <c r="F108" i="12"/>
  <c r="C108" i="12"/>
  <c r="H109" i="12"/>
  <c r="W109" i="12"/>
  <c r="P107" i="9"/>
  <c r="R108" i="9"/>
  <c r="F108" i="9"/>
  <c r="V108" i="12"/>
  <c r="O109" i="12"/>
  <c r="U109" i="12"/>
  <c r="P108" i="12"/>
  <c r="S108" i="12"/>
  <c r="D109" i="12"/>
  <c r="L109" i="12"/>
  <c r="M109" i="12"/>
  <c r="E109" i="12"/>
  <c r="G108" i="12"/>
  <c r="G107" i="9"/>
  <c r="Q107" i="9"/>
  <c r="S107" i="9"/>
  <c r="H108" i="9"/>
  <c r="P108" i="9"/>
  <c r="N108" i="9"/>
  <c r="Q108" i="12"/>
  <c r="R108" i="12"/>
  <c r="F109" i="12"/>
  <c r="C109" i="12"/>
  <c r="L110" i="12"/>
  <c r="M110" i="12"/>
  <c r="E110" i="12"/>
  <c r="Q108" i="9"/>
  <c r="S108" i="9"/>
  <c r="D108" i="9"/>
  <c r="F109" i="9"/>
  <c r="V109" i="12"/>
  <c r="F110" i="12"/>
  <c r="G109" i="12"/>
  <c r="P109" i="12"/>
  <c r="S109" i="12"/>
  <c r="H110" i="12"/>
  <c r="W110" i="12"/>
  <c r="C110" i="12"/>
  <c r="G110" i="12"/>
  <c r="G108" i="9"/>
  <c r="N109" i="9"/>
  <c r="R109" i="9"/>
  <c r="H109" i="9"/>
  <c r="D109" i="9"/>
  <c r="O110" i="12"/>
  <c r="U110" i="12"/>
  <c r="Q109" i="12"/>
  <c r="R109" i="12"/>
  <c r="P110" i="12"/>
  <c r="S110" i="12"/>
  <c r="L111" i="12"/>
  <c r="M111" i="12"/>
  <c r="E111" i="12"/>
  <c r="H111" i="12"/>
  <c r="W111" i="12"/>
  <c r="D110" i="12"/>
  <c r="P109" i="9"/>
  <c r="V110" i="12"/>
  <c r="D111" i="12"/>
  <c r="U111" i="12"/>
  <c r="R110" i="9"/>
  <c r="Q110" i="12"/>
  <c r="R110" i="12"/>
  <c r="F111" i="12"/>
  <c r="O111" i="12"/>
  <c r="C111" i="12"/>
  <c r="H112" i="12"/>
  <c r="W112" i="12"/>
  <c r="G109" i="9"/>
  <c r="F110" i="9"/>
  <c r="Q109" i="9"/>
  <c r="S109" i="9"/>
  <c r="H110" i="9"/>
  <c r="P110" i="9"/>
  <c r="N110" i="9"/>
  <c r="V111" i="12"/>
  <c r="D112" i="12"/>
  <c r="U112" i="12"/>
  <c r="P111" i="12"/>
  <c r="S111" i="12"/>
  <c r="L112" i="12"/>
  <c r="M112" i="12"/>
  <c r="E112" i="12"/>
  <c r="O112" i="12"/>
  <c r="G111" i="12"/>
  <c r="Q110" i="9"/>
  <c r="S110" i="9"/>
  <c r="D110" i="9"/>
  <c r="F111" i="9"/>
  <c r="Q111" i="12"/>
  <c r="R111" i="12"/>
  <c r="F112" i="12"/>
  <c r="C112" i="12"/>
  <c r="P112" i="12"/>
  <c r="S112" i="12"/>
  <c r="G110" i="9"/>
  <c r="N111" i="9"/>
  <c r="R111" i="9"/>
  <c r="H111" i="9"/>
  <c r="P111" i="9"/>
  <c r="V112" i="12"/>
  <c r="Q112" i="12"/>
  <c r="R112" i="12"/>
  <c r="H113" i="12"/>
  <c r="W113" i="12"/>
  <c r="L113" i="12"/>
  <c r="M113" i="12"/>
  <c r="E113" i="12"/>
  <c r="G112" i="12"/>
  <c r="Q111" i="9"/>
  <c r="S111" i="9"/>
  <c r="D111" i="9"/>
  <c r="F112" i="9"/>
  <c r="O113" i="12"/>
  <c r="U113" i="12"/>
  <c r="V113" i="12"/>
  <c r="F113" i="12"/>
  <c r="D113" i="12"/>
  <c r="C113" i="12"/>
  <c r="G113" i="12"/>
  <c r="G111" i="9"/>
  <c r="N112" i="9"/>
  <c r="R112" i="9"/>
  <c r="H112" i="9"/>
  <c r="P112" i="9"/>
  <c r="L114" i="12"/>
  <c r="M114" i="12"/>
  <c r="E114" i="12"/>
  <c r="P113" i="12"/>
  <c r="S113" i="12"/>
  <c r="H114" i="12"/>
  <c r="W114" i="12"/>
  <c r="Q112" i="9"/>
  <c r="S112" i="9"/>
  <c r="D112" i="9"/>
  <c r="O114" i="12"/>
  <c r="U114" i="12"/>
  <c r="R113" i="9"/>
  <c r="Q113" i="12"/>
  <c r="R113" i="12"/>
  <c r="F114" i="12"/>
  <c r="C114" i="12"/>
  <c r="H115" i="12"/>
  <c r="W115" i="12"/>
  <c r="D114" i="12"/>
  <c r="F113" i="9"/>
  <c r="G112" i="9"/>
  <c r="H113" i="9"/>
  <c r="D113" i="9"/>
  <c r="N113" i="9"/>
  <c r="V114" i="12"/>
  <c r="U115" i="12"/>
  <c r="P114" i="12"/>
  <c r="S114" i="12"/>
  <c r="O115" i="12"/>
  <c r="D115" i="12"/>
  <c r="G114" i="12"/>
  <c r="L115" i="12"/>
  <c r="M115" i="12"/>
  <c r="E115" i="12"/>
  <c r="P113" i="9"/>
  <c r="F114" i="9"/>
  <c r="Q114" i="12"/>
  <c r="R114" i="12"/>
  <c r="F115" i="12"/>
  <c r="C115" i="12"/>
  <c r="L116" i="12"/>
  <c r="M116" i="12"/>
  <c r="E116" i="12"/>
  <c r="G113" i="9"/>
  <c r="Q113" i="9"/>
  <c r="S113" i="9"/>
  <c r="N114" i="9"/>
  <c r="R114" i="9"/>
  <c r="V115" i="12"/>
  <c r="H114" i="9"/>
  <c r="D114" i="9"/>
  <c r="F116" i="12"/>
  <c r="P115" i="12"/>
  <c r="S115" i="12"/>
  <c r="G115" i="12"/>
  <c r="H116" i="12"/>
  <c r="W116" i="12"/>
  <c r="C116" i="12"/>
  <c r="P114" i="9"/>
  <c r="D116" i="12"/>
  <c r="U116" i="12"/>
  <c r="R115" i="9"/>
  <c r="Q115" i="12"/>
  <c r="R115" i="12"/>
  <c r="H117" i="12"/>
  <c r="W117" i="12"/>
  <c r="O116" i="12"/>
  <c r="L117" i="12"/>
  <c r="M117" i="12"/>
  <c r="E117" i="12"/>
  <c r="G116" i="12"/>
  <c r="P116" i="12"/>
  <c r="S116" i="12"/>
  <c r="F115" i="9"/>
  <c r="G114" i="9"/>
  <c r="Q114" i="9"/>
  <c r="S114" i="9"/>
  <c r="H115" i="9"/>
  <c r="D115" i="9"/>
  <c r="N115" i="9"/>
  <c r="V116" i="12"/>
  <c r="O117" i="12"/>
  <c r="U117" i="12"/>
  <c r="Q116" i="12"/>
  <c r="R116" i="12"/>
  <c r="F117" i="12"/>
  <c r="D117" i="12"/>
  <c r="C117" i="12"/>
  <c r="V117" i="12"/>
  <c r="P115" i="9"/>
  <c r="F116" i="9"/>
  <c r="L118" i="12"/>
  <c r="M118" i="12"/>
  <c r="E118" i="12"/>
  <c r="H118" i="12"/>
  <c r="W118" i="12"/>
  <c r="G117" i="12"/>
  <c r="P117" i="12"/>
  <c r="S117" i="12"/>
  <c r="G115" i="9"/>
  <c r="Q115" i="9"/>
  <c r="S115" i="9"/>
  <c r="N116" i="9"/>
  <c r="R116" i="9"/>
  <c r="U118" i="12"/>
  <c r="H116" i="9"/>
  <c r="Q117" i="12"/>
  <c r="R117" i="12"/>
  <c r="F118" i="12"/>
  <c r="O118" i="12"/>
  <c r="D118" i="12"/>
  <c r="C118" i="12"/>
  <c r="H119" i="12"/>
  <c r="W119" i="12"/>
  <c r="V118" i="12"/>
  <c r="U119" i="12"/>
  <c r="D116" i="9"/>
  <c r="P116" i="9"/>
  <c r="O119" i="12"/>
  <c r="D119" i="12"/>
  <c r="L119" i="12"/>
  <c r="M119" i="12"/>
  <c r="E119" i="12"/>
  <c r="G118" i="12"/>
  <c r="P118" i="12"/>
  <c r="S118" i="12"/>
  <c r="F117" i="9"/>
  <c r="G116" i="9"/>
  <c r="Q116" i="9"/>
  <c r="S116" i="9"/>
  <c r="N117" i="9"/>
  <c r="R117" i="9"/>
  <c r="H117" i="9"/>
  <c r="D117" i="9"/>
  <c r="Q118" i="12"/>
  <c r="R118" i="12"/>
  <c r="F119" i="12"/>
  <c r="C119" i="12"/>
  <c r="V119" i="12"/>
  <c r="P117" i="9"/>
  <c r="F118" i="9"/>
  <c r="G119" i="12"/>
  <c r="P119" i="12"/>
  <c r="S119" i="12"/>
  <c r="L120" i="12"/>
  <c r="M120" i="12"/>
  <c r="E120" i="12"/>
  <c r="H120" i="12"/>
  <c r="W120" i="12"/>
  <c r="G117" i="9"/>
  <c r="Q117" i="9"/>
  <c r="S117" i="9"/>
  <c r="N118" i="9"/>
  <c r="R118" i="9"/>
  <c r="U120" i="12"/>
  <c r="H118" i="9"/>
  <c r="D118" i="9"/>
  <c r="Q119" i="12"/>
  <c r="R119" i="12"/>
  <c r="F120" i="12"/>
  <c r="C120" i="12"/>
  <c r="H121" i="12"/>
  <c r="W121" i="12"/>
  <c r="O120" i="12"/>
  <c r="D120" i="12"/>
  <c r="V120" i="12"/>
  <c r="U121" i="12"/>
  <c r="P118" i="9"/>
  <c r="F119" i="9"/>
  <c r="O121" i="12"/>
  <c r="D121" i="12"/>
  <c r="L121" i="12"/>
  <c r="M121" i="12"/>
  <c r="E121" i="12"/>
  <c r="G120" i="12"/>
  <c r="P120" i="12"/>
  <c r="S120" i="12"/>
  <c r="G118" i="9"/>
  <c r="Q118" i="9"/>
  <c r="S118" i="9"/>
  <c r="N119" i="9"/>
  <c r="R119" i="9"/>
  <c r="H119" i="9"/>
  <c r="D119" i="9"/>
  <c r="Q120" i="12"/>
  <c r="R120" i="12"/>
  <c r="F121" i="12"/>
  <c r="C121" i="12"/>
  <c r="V121" i="12"/>
  <c r="P119" i="9"/>
  <c r="J120" i="9"/>
  <c r="K120" i="9"/>
  <c r="E120" i="9"/>
  <c r="F120" i="9"/>
  <c r="G121" i="12"/>
  <c r="P121" i="12"/>
  <c r="S121" i="12"/>
  <c r="L122" i="12"/>
  <c r="M122" i="12"/>
  <c r="E122" i="12"/>
  <c r="H122" i="12"/>
  <c r="W122" i="12"/>
  <c r="G119" i="9"/>
  <c r="Q119" i="9"/>
  <c r="S119" i="9"/>
  <c r="N120" i="9"/>
  <c r="R120" i="9"/>
  <c r="U122" i="12"/>
  <c r="H120" i="9"/>
  <c r="D120" i="9"/>
  <c r="Q121" i="12"/>
  <c r="R121" i="12"/>
  <c r="F122" i="12"/>
  <c r="C122" i="12"/>
  <c r="O122" i="12"/>
  <c r="D122" i="12"/>
  <c r="C120" i="9"/>
  <c r="G120" i="9"/>
  <c r="V122" i="12"/>
  <c r="P120" i="9"/>
  <c r="G122" i="12"/>
  <c r="P122" i="12"/>
  <c r="S122" i="12"/>
  <c r="Q120" i="9"/>
  <c r="S120" i="9"/>
  <c r="Q122" i="12"/>
  <c r="R122" i="12"/>
</calcChain>
</file>

<file path=xl/sharedStrings.xml><?xml version="1.0" encoding="utf-8"?>
<sst xmlns="http://schemas.openxmlformats.org/spreadsheetml/2006/main" count="513" uniqueCount="373">
  <si>
    <t>source  http://en.wikipedia.org/wiki/Oil_sands</t>
  </si>
  <si>
    <t>January</t>
  </si>
  <si>
    <t>http://www.forestecologynetwork.org/climate_change/sequestration_facts.html</t>
  </si>
  <si>
    <t>(tonnes/m^2)</t>
  </si>
  <si>
    <t>carbon in northern forest (tonnes/acre)</t>
  </si>
  <si>
    <t>Carbon in the forest (billions of tonnes)</t>
  </si>
  <si>
    <t>m/s</t>
  </si>
  <si>
    <t>mph</t>
  </si>
  <si>
    <t>http://www.iti.gov.nt.ca/publications/2013/energy/2012_WIND_ENERGY_RESOURCES_V2.pdf</t>
  </si>
  <si>
    <t>For example, here are the number of pounds of CO2 produced by a steam-electric generator for different fuels using that formula and the average heat rates for steam-electric generators in 2011:</t>
  </si>
  <si>
    <t>Fuel</t>
  </si>
  <si>
    <t>Heat Rate (Btu per kWh) </t>
  </si>
  <si>
    <t>Coal</t>
  </si>
  <si>
    <t>  Bituminous</t>
  </si>
  <si>
    <t>  Sub-bituminous</t>
  </si>
  <si>
    <t>  Lignite</t>
  </si>
  <si>
    <t>Natural gas</t>
  </si>
  <si>
    <t>Distillate Oil (No. 2)</t>
  </si>
  <si>
    <t>Residual Oil (No. 6)</t>
  </si>
  <si>
    <t>How much carbon dioxide (CO2) is produced per kilowatt-hour when generating electricity with fossil fuels?</t>
  </si>
  <si>
    <t>Lbs of CO2 per Million Btu</t>
  </si>
  <si>
    <t>Lbs CO2 per kWh</t>
  </si>
  <si>
    <t>http://www.scientificamerican.com/article.cfm?id=tar-sands-and-keystone-xl-pipeline-impact-on-global-warming</t>
  </si>
  <si>
    <t>http://www.epa.gov/cleanenergy/energy-resources/refs.html</t>
  </si>
  <si>
    <t>CO2 from burning oil (tonnes per barrel oil)</t>
  </si>
  <si>
    <t>CO2 from oil use (megatonnes/year)</t>
  </si>
  <si>
    <t>If edited please enter info on "edit history" worksheet</t>
  </si>
  <si>
    <r>
      <t xml:space="preserve">Enter data in </t>
    </r>
    <r>
      <rPr>
        <b/>
        <sz val="11"/>
        <color theme="1"/>
        <rFont val="Calibri"/>
        <family val="2"/>
        <scheme val="minor"/>
      </rPr>
      <t>BOLD,</t>
    </r>
    <r>
      <rPr>
        <sz val="11"/>
        <color theme="1"/>
        <rFont val="Calibri"/>
        <family val="2"/>
        <scheme val="minor"/>
      </rPr>
      <t xml:space="preserve"> calculated output in </t>
    </r>
    <r>
      <rPr>
        <b/>
        <sz val="11"/>
        <color rgb="FFFF0000"/>
        <rFont val="Calibri"/>
        <family val="2"/>
        <scheme val="minor"/>
      </rPr>
      <t>RED</t>
    </r>
  </si>
  <si>
    <t>Oil produced (million barrels per year)</t>
  </si>
  <si>
    <t>CO2 to produce the oil (megatonnes/year)</t>
  </si>
  <si>
    <t>CO2 from producing tar sands (tons per barrel of oil)</t>
  </si>
  <si>
    <t>Total CO2 per year from tar sands (megatonnes/year)</t>
  </si>
  <si>
    <t>CO2 saved by not burning coal to produce energy generated by wind (magatonnes/year)</t>
  </si>
  <si>
    <t>CO2 saved by not burning coal to produce energy generated by solar (magatonnes/year)</t>
  </si>
  <si>
    <t>Average</t>
  </si>
  <si>
    <t>Assumed cost of wind ($/W) in this location (include transmission)</t>
  </si>
  <si>
    <t>Nameplate (peak power) size of wind turbine (MW)</t>
  </si>
  <si>
    <t xml:space="preserve">cost per wind turbine installed </t>
  </si>
  <si>
    <t>number of wind turbines per year to be installed</t>
  </si>
  <si>
    <t>Wind energy: if all the money were spent on wind energy:</t>
  </si>
  <si>
    <t>year</t>
  </si>
  <si>
    <t>number of wind turbines purchased</t>
  </si>
  <si>
    <t>% of total wind turbines to be built</t>
  </si>
  <si>
    <t>cumulative carbon saved</t>
  </si>
  <si>
    <t>cumulative carbon burned (MT)</t>
  </si>
  <si>
    <t>cumulative ratio carbon saved/carbon burned</t>
  </si>
  <si>
    <t>millions barrels oil per year recovered from tar sands</t>
  </si>
  <si>
    <t>$ per barrell of oil to be invested on wind farm on site</t>
  </si>
  <si>
    <t>$/kWhr for reinvestment in purchasing more wind turbines</t>
  </si>
  <si>
    <t>total number of installed wind turbines</t>
  </si>
  <si>
    <t>Millions of autos equivelant</t>
  </si>
  <si>
    <t>Alex Slocum</t>
  </si>
  <si>
    <t>2013.06.27</t>
  </si>
  <si>
    <t>added development plan worksheet</t>
  </si>
  <si>
    <t>2013.09.13</t>
  </si>
  <si>
    <t>format columns review numbers</t>
  </si>
  <si>
    <t>Billions to be spent on wind turbine acquisition next year</t>
  </si>
  <si>
    <t>Annual amount to be spent (Billions)</t>
  </si>
  <si>
    <t>value of wind produced in previous year reinvested (million $)</t>
  </si>
  <si>
    <t>X%</t>
  </si>
  <si>
    <t>If price per barrel is 100, X% = 20/100 = 20%</t>
  </si>
  <si>
    <t>http://www.energy.alberta.ca/oilsands/791.asp</t>
  </si>
  <si>
    <t>Santiago Paiva</t>
  </si>
  <si>
    <t xml:space="preserve">Alberta tar sands land area (km^2) to 140,200 </t>
  </si>
  <si>
    <t>Wind Turbine Peak Power to 7 MW</t>
  </si>
  <si>
    <t>Wind Turbine Capacity Factor to 40.35%</t>
  </si>
  <si>
    <t>http://www.power-technology.com/features/featurethe-worlds-biggest-wind-turbines-4154395/</t>
  </si>
  <si>
    <t>http://cleantechnica.com/2012/07/27/wind-turbine-net-capacity-factor-50-the-new-normal/</t>
  </si>
  <si>
    <t>PV cell efficiency to 15%</t>
  </si>
  <si>
    <t>http://www.forbes.com/sites/peterdetwiler/2013/07/16/as-solar-panel-efficiencies-keep-improving-its-time-to-adopt-some-new-metrics/</t>
  </si>
  <si>
    <t>June</t>
  </si>
  <si>
    <t>http://www.cenovus.com/operations/docs/foster-creek/phase-j/appendix-3-2C.pdf</t>
  </si>
  <si>
    <t>Insolation values for Fort McMurray Area: 1388.89 in January and 6250 in June</t>
  </si>
  <si>
    <t>http://oilsands.alberta.ca/resource.html</t>
  </si>
  <si>
    <t xml:space="preserve">This is an estimated conversion </t>
  </si>
  <si>
    <t>Last updated: March 11, 2014</t>
  </si>
  <si>
    <t>http://oilprice.com/Energy/Energy-General/Keystone-XLs-Miniscule-CO2-Impact-and-the-Bigger-Picture.html</t>
  </si>
  <si>
    <t>Number of automobiles manufactured equivalent to 1 wind turbine</t>
  </si>
  <si>
    <t>Oil produced (million barrels per year) to 693.5</t>
  </si>
  <si>
    <t>2014.03.13</t>
  </si>
  <si>
    <t>Number of automobiles manufactured equivalent to 1 solar cell</t>
  </si>
  <si>
    <t>Billions to be spent on solar cells acquisition next year</t>
  </si>
  <si>
    <t>2014.03.17</t>
  </si>
  <si>
    <t>CO2 from producing tar sands (tons per barrel of oil) to 0.071</t>
  </si>
  <si>
    <t>Added Wind Graphs &amp; Solar graphs sheets</t>
  </si>
  <si>
    <t>CO2/MW saved by not burning coal to produce energy generated by wind (tonnes/year/MW)</t>
  </si>
  <si>
    <t>tonnes/km^2</t>
  </si>
  <si>
    <t>2014.03.21</t>
  </si>
  <si>
    <t>cost per solar "cell" of 38k too high… does not make sense….. Base it all on cost per Watt as I did originally.  INSTALLED (cell plus cabling plus inverter….) is about $4/watt (and coming down)</t>
  </si>
  <si>
    <t>David Taylor</t>
  </si>
  <si>
    <t>Gigawatt hour (GWh)**</t>
  </si>
  <si>
    <t>    Coal</t>
  </si>
  <si>
    <t>    Natural Gas</t>
  </si>
  <si>
    <t>    Hydro</t>
  </si>
  <si>
    <t>    Wind</t>
  </si>
  <si>
    <t>    Biomass</t>
  </si>
  <si>
    <t>    Others*</t>
  </si>
  <si>
    <t>    Total</t>
  </si>
  <si>
    <t>Generation in 2012</t>
  </si>
  <si>
    <t>Source</t>
  </si>
  <si>
    <t>http://www.energy.alberta.ca/Electricity/682.asp</t>
  </si>
  <si>
    <t>http://www.epa.gov/cleanenergy/energy-and-you/affect/air-emissions.html</t>
  </si>
  <si>
    <t>By Source Type (US Country Avg.s from EPA)</t>
  </si>
  <si>
    <t>Nat Gas</t>
  </si>
  <si>
    <t>lbs/MWh</t>
  </si>
  <si>
    <t>Oil</t>
  </si>
  <si>
    <t>kg/kWh</t>
  </si>
  <si>
    <t>Conversion Factors</t>
  </si>
  <si>
    <t>1lbs=?kgs</t>
  </si>
  <si>
    <t>See Carbon sheet</t>
  </si>
  <si>
    <t>Biomass</t>
  </si>
  <si>
    <t>debatable, but EPA site gives no #</t>
  </si>
  <si>
    <t>Direct CO2 EmissionRate (kg/kWh)</t>
  </si>
  <si>
    <t>Direct CO2 Emissions Total (kg CO2)</t>
  </si>
  <si>
    <t>Therefore Province Wide Average CO2/kWh</t>
  </si>
  <si>
    <t>Added Data for Alberta Electricty profile</t>
  </si>
  <si>
    <t>2014.03.22</t>
  </si>
  <si>
    <t>http://www.energy.alberta.ca/Org/pdfs/Alberta_Energy_Overview.pdf</t>
  </si>
  <si>
    <t xml:space="preserve">Maps From </t>
  </si>
  <si>
    <t>Dave's Alberta CO2 Average (kg/kWh) (see sheet Alberta Electricity)</t>
  </si>
  <si>
    <t xml:space="preserve">Decomissioned Turbines </t>
  </si>
  <si>
    <t>https://www.irena.org/DocumentDownloads/Publications/RE_Technologies_Cost_Analysis-WIND_POWER.pdf</t>
  </si>
  <si>
    <t>Wind Turbine Peak Power back to 5 MW</t>
  </si>
  <si>
    <t>Added solar insolation graph in the Solar tab</t>
  </si>
  <si>
    <t>Added peak power for solar cells 1.3 kW in Alberta in Summary tab</t>
  </si>
  <si>
    <t>Added number of solar pannels to be built for land area in Summary tab</t>
  </si>
  <si>
    <t>Added land area per solar pannel (The general dimension is 1600mm x 1020mm = 0.0016 km^2) in Summary Tab</t>
  </si>
  <si>
    <t>Previous value Carbon from coal to make electricity (kg/kWh)</t>
  </si>
  <si>
    <t>2014.03.23</t>
  </si>
  <si>
    <t>Hided development plan (wind) tab and kept Dave's DT Adjusted Dev Plan (wind) tab</t>
  </si>
  <si>
    <t>Updated Wind Graphs tab with new percentage values</t>
  </si>
  <si>
    <t>http://www.seia.org/policy/environment/pv-recycling</t>
  </si>
  <si>
    <t>Added life expectancy of solar pv cell (around 25 years) in development plan (solar) tab</t>
  </si>
  <si>
    <t>Removed solar cell price of 38K to $4/Watt</t>
  </si>
  <si>
    <t>http://www.skyfireenergy.com/solar-residential/grid-tied-electric-systems/1-41-kw-grid-tie-edmonton-alberta/</t>
  </si>
  <si>
    <t>Modified peak power of solar panel to 1.41 kW (Edmonton value)</t>
  </si>
  <si>
    <t>Modified land area per solar panel to 8.3 acres per MW</t>
  </si>
  <si>
    <t>Updated Solar Graphs tab with new percentages values</t>
  </si>
  <si>
    <t>2014.03.24</t>
  </si>
  <si>
    <t>Updated Solar Graphs tab</t>
  </si>
  <si>
    <t>Updated Wind Graphs tab</t>
  </si>
  <si>
    <t>2014.03.25</t>
  </si>
  <si>
    <t>Added nominal power of the solar cell in Summary tab</t>
  </si>
  <si>
    <t>Added average 24/7 solar insolation April (Wh/m^2/day) in Summary tab</t>
  </si>
  <si>
    <t>2014.03.27</t>
  </si>
  <si>
    <t>Removed nomial powerin Summary tab</t>
  </si>
  <si>
    <t>Changed percent land area covered by PV cells to 15% (formerly 10%)</t>
  </si>
  <si>
    <t>Used Offsets to make life expectancy math dynamic</t>
  </si>
  <si>
    <t>2014.03.31</t>
  </si>
  <si>
    <t xml:space="preserve"> Cumulative Carbon from oil sands (vs. conventional) (MT)</t>
  </si>
  <si>
    <t>Cumulative Carbon from oil end use (MT)</t>
  </si>
  <si>
    <t>See bottom half of spreadsheet for derivation</t>
  </si>
  <si>
    <t>Marginal carbon offset ratio</t>
  </si>
  <si>
    <t>Major revision of wind tab. Decomissioning now works dynamically!</t>
  </si>
  <si>
    <t>$ to be spent on wind turbine acquisition next year</t>
  </si>
  <si>
    <t>Decomissioning in Solar now works too!</t>
  </si>
  <si>
    <t>Percentage of System in Wind</t>
  </si>
  <si>
    <t>Total Installed Capacity (MW)</t>
  </si>
  <si>
    <t>Capacity</t>
  </si>
  <si>
    <t>Generating Capacity</t>
  </si>
  <si>
    <t>Megawatt (MW)</t>
  </si>
  <si>
    <t>    Gas</t>
  </si>
  <si>
    <t>    Waste Heat* </t>
  </si>
  <si>
    <t>    Fuel Oil</t>
  </si>
  <si>
    <t>    Subtotal</t>
  </si>
  <si>
    <t>Interconnections Capacity</t>
  </si>
  <si>
    <t>    British Columbia</t>
  </si>
  <si>
    <t>    Saskatchewan</t>
  </si>
  <si>
    <t>Grand Total</t>
  </si>
  <si>
    <t>Power Generated (MW)</t>
  </si>
  <si>
    <t>Calculated % of electricity supply in wind</t>
  </si>
  <si>
    <t>2014.04.01</t>
  </si>
  <si>
    <t>2014.04.05</t>
  </si>
  <si>
    <t>Added "average 24/7 solar insolation April (kWh/m^2/year)" in Summary tab</t>
  </si>
  <si>
    <t>Changed name of "peak power of solar cell (MW)" to "Nominal Power" in Summary tab</t>
  </si>
  <si>
    <t>Other Losses</t>
  </si>
  <si>
    <t>-</t>
  </si>
  <si>
    <t>Losses due to dust, snow... (2%)</t>
  </si>
  <si>
    <t>Losses weak irradiation 3% yo 7%</t>
  </si>
  <si>
    <t>Shadings  0 % to 40% (depends of site)</t>
  </si>
  <si>
    <t>AC cables losses (1 to 3 %)</t>
  </si>
  <si>
    <t>DC cables losses (1 to 3 %)</t>
  </si>
  <si>
    <t>Température losses (5% to 15%)</t>
  </si>
  <si>
    <t>Inverter losses (6% to 15 %)</t>
  </si>
  <si>
    <t>Losses details (depend of site, technology, and sizing of the system)</t>
  </si>
  <si>
    <t>kWp</t>
  </si>
  <si>
    <t>Total power of the system</t>
  </si>
  <si>
    <t>PR = Performance ratio, coefficient for losses  (range between 0.9 and 0.5, default value =  0.75)</t>
  </si>
  <si>
    <t>kWh/m².an</t>
  </si>
  <si>
    <t>H = Annual average irradiation on tilted panels (shadings not included)*</t>
  </si>
  <si>
    <t>r = solar panel yield (%)</t>
  </si>
  <si>
    <t>m²</t>
  </si>
  <si>
    <t>A = Total solar panel Area  (m²)</t>
  </si>
  <si>
    <t>kWh/an</t>
  </si>
  <si>
    <t>E = A * r * H * PR</t>
  </si>
  <si>
    <t>Global formula :</t>
  </si>
  <si>
    <t>White cell = calculated value (do not change the value)</t>
  </si>
  <si>
    <t>Yelow cell = enter your own data</t>
  </si>
  <si>
    <t>Calculation of the solar PV energy ouput of a photovoltaic system</t>
  </si>
  <si>
    <t>Added "PV Output" tab to calculate "Nominal Power" in Summary tab</t>
  </si>
  <si>
    <t>Name</t>
  </si>
  <si>
    <t>Date</t>
  </si>
  <si>
    <t>Modification</t>
  </si>
  <si>
    <t xml:space="preserve">     Edit History</t>
  </si>
  <si>
    <t>Wind Development Plan</t>
  </si>
  <si>
    <t xml:space="preserve">  Development Plan Solar</t>
  </si>
  <si>
    <t xml:space="preserve">  Summary</t>
  </si>
  <si>
    <t>Additional Solar Graphs</t>
  </si>
  <si>
    <t>Additional Wind Graphs</t>
  </si>
  <si>
    <t>Source:  http://www.cenovus.com/operations/docs/foster-creek/phase-j/appendix-3-2C.pdf</t>
  </si>
  <si>
    <t>Carbon from coal to make electricity (kg/kWh)</t>
  </si>
  <si>
    <t>CO2 Values</t>
  </si>
  <si>
    <t>Motivation</t>
  </si>
  <si>
    <t>Date Started: June 2013</t>
  </si>
  <si>
    <t xml:space="preserve">Written by Prof. Alexander H Slocum, Massachusetts Institute of Technology </t>
  </si>
  <si>
    <t>CO2 Saved from Electricity by Wind Power Installed on Oil Sands Land</t>
  </si>
  <si>
    <t>CO2 Saved from Electricity by Solar PV Cells Installed on Oil Sands Land</t>
  </si>
  <si>
    <t>Turbine size, peak power (MW)</t>
  </si>
  <si>
    <t>Capacity factor</t>
  </si>
  <si>
    <t>Land area per turbine (km^2)</t>
  </si>
  <si>
    <t>Percent land area for wind turbines</t>
  </si>
  <si>
    <t>Area of wind farm (km^2)</t>
  </si>
  <si>
    <t xml:space="preserve"> (Square Miles)</t>
  </si>
  <si>
    <t>Square Size (Miles x Miles)</t>
  </si>
  <si>
    <t>Number of turbines to be built for land area</t>
  </si>
  <si>
    <t>Average power generated (GW)</t>
  </si>
  <si>
    <t>Average annual energy produced (TWhr)</t>
  </si>
  <si>
    <t>Percent land area assumed covered by PV fields</t>
  </si>
  <si>
    <t>Area of PV farm (km^2)</t>
  </si>
  <si>
    <t>Density of coverage on land designated for PV fields</t>
  </si>
  <si>
    <t>Average power (assumes 24/7 operation made possible with storage technology) (GW)</t>
  </si>
  <si>
    <t xml:space="preserve">You can calculate the amount of CO2 produced per kWh for specific fuels and specific types of generators by multiplying the CO2 emissions factor for the fuel (in pounds of CO2 per million Btu) </t>
  </si>
  <si>
    <t>by the heat rate of a generator (in Btu per kWh generated), and dividing the result by 1,000,000. </t>
  </si>
  <si>
    <t>Added some formatting to some tabs to look better!</t>
  </si>
  <si>
    <t>Alberta Electricity Profile</t>
  </si>
  <si>
    <t>Year</t>
  </si>
  <si>
    <t>Total number of installed wind turbines</t>
  </si>
  <si>
    <t>Cumulative ratio carbon saved/carbon burned</t>
  </si>
  <si>
    <t>Number of wind turbines purchased</t>
  </si>
  <si>
    <t>Cumulative carbon saved (MT)</t>
  </si>
  <si>
    <t>Cumulative carbon burned (MT)</t>
  </si>
  <si>
    <t>Value of wind produced in previous year reinvested $</t>
  </si>
  <si>
    <t>Number of wind turbines per year to be installed</t>
  </si>
  <si>
    <t xml:space="preserve">Cost per wind turbine installed </t>
  </si>
  <si>
    <t xml:space="preserve">   Wind energy: if all the money were spent on wind energy:</t>
  </si>
  <si>
    <t xml:space="preserve">  $/kWhr for reinvestment in purchasing more wind turbines</t>
  </si>
  <si>
    <t xml:space="preserve">  Annual amount to be spent </t>
  </si>
  <si>
    <t xml:space="preserve">   $ per barrell of oil to be invested on wind farm on site</t>
  </si>
  <si>
    <t xml:space="preserve">  Millions barrels oil per year recovered from tar sands</t>
  </si>
  <si>
    <t xml:space="preserve">  Life expectancy of a Wind Turbine (yrs)</t>
  </si>
  <si>
    <t>Cumulative carbon saved</t>
  </si>
  <si>
    <t xml:space="preserve">   Life expectancy of a solar cell (yrs)</t>
  </si>
  <si>
    <t xml:space="preserve">   Annual amount to be spent (Billions)</t>
  </si>
  <si>
    <t xml:space="preserve">   $/kWhr for reinvestment in purchasing more solar cells</t>
  </si>
  <si>
    <t>Forest CO2 Summary</t>
  </si>
  <si>
    <t>Wind Speed Information</t>
  </si>
  <si>
    <t>Email: slocum@mit.edu</t>
  </si>
  <si>
    <t>Yelow cell = Enter your own data</t>
  </si>
  <si>
    <t>White cell = Calculated value (do not change the value)</t>
  </si>
  <si>
    <t xml:space="preserve">   $ per barrell of oil to be invested on solar farm on site</t>
  </si>
  <si>
    <t xml:space="preserve">   Millions barrels oil per year recovered from oil sands</t>
  </si>
  <si>
    <t xml:space="preserve">   Solar energy: if all the money were spent on solar energy:</t>
  </si>
  <si>
    <t xml:space="preserve">    Technical Assumptions:</t>
  </si>
  <si>
    <t xml:space="preserve">   Technical Assumptions: </t>
  </si>
  <si>
    <t>CO2 Offset with different investments and $0.05/kWh reinvestment</t>
  </si>
  <si>
    <t>$10/bbl Investment</t>
  </si>
  <si>
    <t>$15/bbl Investment</t>
  </si>
  <si>
    <t>$20/bbl Investment</t>
  </si>
  <si>
    <t>$25/bbl Investment</t>
  </si>
  <si>
    <t>$30/bbl Investment</t>
  </si>
  <si>
    <t>CO2 Offset with different investments and $0.07/kWh reinvestment</t>
  </si>
  <si>
    <t>2014.04.06</t>
  </si>
  <si>
    <t>Added different graphs in "Wind Graphs" tab</t>
  </si>
  <si>
    <t>Deleted "Land Area Per Solar Panel" in Summary Tab</t>
  </si>
  <si>
    <t>Source: https://weatherspark.com/averages/28151/Fort-McMurray-Alberta-Canada</t>
  </si>
  <si>
    <t>Daily Hours of Daylight and Twilight</t>
  </si>
  <si>
    <t xml:space="preserve">   Average Number of Daily hours with 100% Full Sun Level </t>
  </si>
  <si>
    <t>https://weatherspark.com/averages/28151/Fort-McMurray-Alberta-Canada</t>
  </si>
  <si>
    <t>Added graph of daily sun hours in the "Solar" tab</t>
  </si>
  <si>
    <t>Added calculation for number of panels to build in the "Summary" tab</t>
  </si>
  <si>
    <t>Modifed Solar Graphs in "Solar Graphs" tab</t>
  </si>
  <si>
    <t>CO2 from Oil sands production and oil use</t>
  </si>
  <si>
    <t>Alberta Oil Sands</t>
  </si>
  <si>
    <t>Alberta Oil sands land area (km^2)</t>
  </si>
  <si>
    <t>Can wind turbines or PV cells on reclaimed tar sands land offset the CO2 created by mining and using the oil sands oil?</t>
  </si>
  <si>
    <t>Percentage addition to Canada's electricity generation</t>
  </si>
  <si>
    <t>Generation Potential (MW)</t>
  </si>
  <si>
    <t>% addition to canada</t>
  </si>
  <si>
    <t>Carbon burned this year</t>
  </si>
  <si>
    <t>Carbon saved this year</t>
  </si>
  <si>
    <t>MT/GW</t>
  </si>
  <si>
    <t>Savings (T/turbune)</t>
  </si>
  <si>
    <t>2014.4.7</t>
  </si>
  <si>
    <t>carbon burned this year (MT)</t>
  </si>
  <si>
    <t>carbon saved this year (MT)</t>
  </si>
  <si>
    <t xml:space="preserve">Canada Generation Capaticy </t>
  </si>
  <si>
    <t>http://en.wikipedia.org/wiki/Electricity_sector_in_Canada#Nameplate_capacity</t>
  </si>
  <si>
    <t>Type</t>
  </si>
  <si>
    <t>Canada</t>
  </si>
  <si>
    <t>NL</t>
  </si>
  <si>
    <t>PE</t>
  </si>
  <si>
    <t>NS</t>
  </si>
  <si>
    <t>NB</t>
  </si>
  <si>
    <t>QC</t>
  </si>
  <si>
    <t>ON</t>
  </si>
  <si>
    <t>MB</t>
  </si>
  <si>
    <t>SK</t>
  </si>
  <si>
    <t>AB</t>
  </si>
  <si>
    <t>BC</t>
  </si>
  <si>
    <t>YT</t>
  </si>
  <si>
    <t>NT</t>
  </si>
  <si>
    <t>NU</t>
  </si>
  <si>
    <t>MW</t>
  </si>
  <si>
    <t>Hydro</t>
  </si>
  <si>
    <t>Wind</t>
  </si>
  <si>
    <t>Tidal</t>
  </si>
  <si>
    <t>Solar</t>
  </si>
  <si>
    <t>Thermal</t>
  </si>
  <si>
    <t>Conventional Steam</t>
  </si>
  <si>
    <t>Nuclear</t>
  </si>
  <si>
    <t>0[a]</t>
  </si>
  <si>
    <t>675[b]</t>
  </si>
  <si>
    <t>Combustion turbine</t>
  </si>
  <si>
    <t>Internal combustion</t>
  </si>
  <si>
    <t>Total installed capacity</t>
  </si>
  <si>
    <t>These cells check the self consistency of the spreadsheet</t>
  </si>
  <si>
    <t>Added % addition to Canada's electricity generation to both wind and solar</t>
  </si>
  <si>
    <t>Fixed solar column J to be 365 days/year</t>
  </si>
  <si>
    <t>Watts/ cell</t>
  </si>
  <si>
    <t>Fixed inconsistency between solar summary and solar development plan, by moving to a $ -&gt; panels -&gt; MW -&gt; savings logic. ATTN! Still need to figure out what W it is for the cost of $4/W...</t>
  </si>
  <si>
    <t>Savings per panel (T)</t>
  </si>
  <si>
    <t>This was the old value--I think wrong because units wrong!  Forgot to divide by days per year, and also kW to GW conversion</t>
  </si>
  <si>
    <t>HOW ARE THESE UNITS CORRECT???  WHAT is kWp?  This cell is area*panel efficiency</t>
  </si>
  <si>
    <t>Avg 24/7/365 power</t>
  </si>
  <si>
    <t>GW</t>
  </si>
  <si>
    <t>I think this is the number you want</t>
  </si>
  <si>
    <t>PR = Performance ratio, coefficient for losses</t>
  </si>
  <si>
    <t>Net PV cell efficiency</t>
  </si>
  <si>
    <t>formulas for C58 and C57 had been reversed, and formula for cell 57 did not match units</t>
  </si>
  <si>
    <t>Average 24/7 solar insolation (kWh/m^2/year)</t>
  </si>
  <si>
    <t>E = Energy   (kWh/year)</t>
  </si>
  <si>
    <t xml:space="preserve">   Average Nominal Power (GWh/Year)</t>
  </si>
  <si>
    <t xml:space="preserve">   Average Nominal Power (GWh/Day)</t>
  </si>
  <si>
    <t xml:space="preserve">   Average Nominal Power (GW) per daylight hour</t>
  </si>
  <si>
    <t>note per daylight hour</t>
  </si>
  <si>
    <t>Average Solar Energy Insoluation (MJ/m^2/day)</t>
  </si>
  <si>
    <t>Average Solar Energy Insoluation (kWh/m^2/year)</t>
  </si>
  <si>
    <t>These are the numbers we had before and they dio NOT jive with the plots in the workbook tab "Solar", so I instead used the more conservative values from the plot</t>
  </si>
  <si>
    <t>Number of solar pannels to be installed for land area</t>
  </si>
  <si>
    <t>Solar panels are usually rated just as peak output (Watts) NOT Watts per hour BASED on a maximum solar insolation (typically 1000W/m^2)</t>
  </si>
  <si>
    <t>Average 24/7 solar insolation (W/m^2)</t>
  </si>
  <si>
    <t>Solar insolation at which panel power is rated (W/m^2)</t>
  </si>
  <si>
    <r>
      <t xml:space="preserve">  </t>
    </r>
    <r>
      <rPr>
        <sz val="11"/>
        <color theme="1"/>
        <rFont val="Calibri"/>
        <family val="2"/>
        <scheme val="minor"/>
      </rPr>
      <t xml:space="preserve"> Total average annual power of the system - Nominal Power (GW)</t>
    </r>
  </si>
  <si>
    <t xml:space="preserve">   Average Nominal Power (GW)</t>
  </si>
  <si>
    <t>Note per day (so would assume storage, or for opurposes of powering heaters</t>
  </si>
  <si>
    <t>Square size (km x km)</t>
  </si>
  <si>
    <t>PV efficiency</t>
  </si>
  <si>
    <t xml:space="preserve">Cost per solar panel installed </t>
  </si>
  <si>
    <t>Number of solar panels per year to be installed</t>
  </si>
  <si>
    <t>Assumed installed cost of solar ($/W) based on peak performance of panel</t>
  </si>
  <si>
    <t>Solar panel peak output (W)</t>
  </si>
  <si>
    <t>Solar panel 24/7 average power for panels installed in Alberta (W)</t>
  </si>
  <si>
    <t>(MW)</t>
  </si>
  <si>
    <t>Total number of installed solar panels</t>
  </si>
  <si>
    <t>Number of solar panels purchased</t>
  </si>
  <si>
    <t>Solar Panel effective 24/7 power (W)</t>
  </si>
  <si>
    <t>Solar Panel power (peak W)</t>
  </si>
  <si>
    <t>% of total solar panels to be built</t>
  </si>
  <si>
    <t>Value of solar energy produced in previous year reinvested (million $)</t>
  </si>
  <si>
    <t>Area of solar panel (m^2)</t>
  </si>
  <si>
    <t>Area to be covered by solar panels (m^2)</t>
  </si>
  <si>
    <t>Ideal power potential calculations</t>
  </si>
  <si>
    <t xml:space="preserve">Decomissioned Panels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</si>
</sst>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0.00_);_(&quot;$&quot;* \(#,##0.00\);_(&quot;$&quot;* &quot;-&quot;??_);_(@_)"/>
    <numFmt numFmtId="43" formatCode="_(* #,##0.00_);_(* \(#,##0.00\);_(* &quot;-&quot;??_);_(@_)"/>
    <numFmt numFmtId="164" formatCode="_-* #,##0.00_-;\-* #,##0.00_-;_-* &quot;-&quot;??_-;_-@_-"/>
    <numFmt numFmtId="165" formatCode="0.0"/>
    <numFmt numFmtId="166" formatCode="_(* #,##0_);_(* \(#,##0\);_(* &quot;-&quot;??_);_(@_)"/>
    <numFmt numFmtId="167" formatCode="_(&quot;$&quot;* #,##0_);_(&quot;$&quot;* \(#,##0\);_(&quot;$&quot;* &quot;-&quot;??_);_(@_)"/>
    <numFmt numFmtId="168" formatCode="0.0%"/>
    <numFmt numFmtId="169" formatCode="0.00000"/>
    <numFmt numFmtId="170" formatCode="0.0000000"/>
    <numFmt numFmtId="171" formatCode="_(* #,##0.00000000000000000_);_(* \(#,##0.00000000000000000\);_(* &quot;-&quot;??_);_(@_)"/>
    <numFmt numFmtId="172" formatCode="_-* #,##0_-;\-* #,##0_-;_-* &quot;-&quot;??_-;_-@_-"/>
    <numFmt numFmtId="173" formatCode="&quot;$&quot;#,##0.00"/>
  </numFmts>
  <fonts count="2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FF0000"/>
      <name val="Calibri"/>
      <family val="2"/>
      <scheme val="minor"/>
    </font>
    <font>
      <sz val="11"/>
      <color rgb="FFFF0000"/>
      <name val="Calibri"/>
      <family val="2"/>
      <scheme val="minor"/>
    </font>
    <font>
      <b/>
      <sz val="11"/>
      <name val="Calibri"/>
      <family val="2"/>
      <scheme val="minor"/>
    </font>
    <font>
      <i/>
      <sz val="11"/>
      <color theme="1"/>
      <name val="Calibri"/>
      <family val="2"/>
      <scheme val="minor"/>
    </font>
    <font>
      <u/>
      <sz val="11"/>
      <color theme="11"/>
      <name val="Calibri"/>
      <family val="2"/>
      <scheme val="minor"/>
    </font>
    <font>
      <sz val="11"/>
      <name val="Calibri"/>
      <family val="2"/>
      <scheme val="minor"/>
    </font>
    <font>
      <b/>
      <sz val="11"/>
      <color theme="0"/>
      <name val="Calibri"/>
      <family val="2"/>
      <scheme val="minor"/>
    </font>
    <font>
      <sz val="11"/>
      <color theme="0"/>
      <name val="Calibri"/>
      <family val="2"/>
      <scheme val="minor"/>
    </font>
    <font>
      <sz val="10"/>
      <name val="Arial"/>
      <family val="2"/>
    </font>
    <font>
      <u/>
      <sz val="10"/>
      <color indexed="12"/>
      <name val="Arial"/>
      <family val="2"/>
    </font>
    <font>
      <b/>
      <sz val="10"/>
      <name val="Arial"/>
      <family val="2"/>
    </font>
    <font>
      <b/>
      <sz val="12"/>
      <name val="Arial"/>
      <family val="2"/>
    </font>
    <font>
      <sz val="10"/>
      <color indexed="11"/>
      <name val="Arial"/>
      <family val="2"/>
    </font>
    <font>
      <b/>
      <sz val="10"/>
      <color rgb="FFFF0000"/>
      <name val="Arial"/>
      <family val="2"/>
    </font>
    <font>
      <b/>
      <sz val="16"/>
      <color theme="0"/>
      <name val="Arial"/>
      <family val="2"/>
    </font>
    <font>
      <sz val="11"/>
      <color theme="0" tint="-0.499984740745262"/>
      <name val="Calibri"/>
      <family val="2"/>
      <scheme val="minor"/>
    </font>
    <font>
      <sz val="16"/>
      <color theme="0"/>
      <name val="Arial"/>
      <family val="2"/>
    </font>
    <font>
      <b/>
      <sz val="11"/>
      <color theme="0"/>
      <name val="Arial"/>
      <family val="2"/>
    </font>
    <font>
      <b/>
      <sz val="10"/>
      <color theme="0"/>
      <name val="Arial"/>
      <family val="2"/>
    </font>
    <font>
      <b/>
      <sz val="11"/>
      <color rgb="FF001E3C"/>
      <name val="Verdana"/>
      <family val="2"/>
    </font>
    <font>
      <sz val="9"/>
      <color rgb="FF4F4F4F"/>
      <name val="Arial"/>
      <family val="2"/>
    </font>
    <font>
      <b/>
      <i/>
      <sz val="11"/>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indexed="22"/>
        <bgColor indexed="64"/>
      </patternFill>
    </fill>
    <fill>
      <patternFill patternType="solid">
        <fgColor indexed="13"/>
        <bgColor indexed="64"/>
      </patternFill>
    </fill>
    <fill>
      <patternFill patternType="solid">
        <fgColor indexed="8"/>
        <bgColor indexed="64"/>
      </patternFill>
    </fill>
    <fill>
      <patternFill patternType="solid">
        <fgColor theme="1"/>
        <bgColor indexed="64"/>
      </patternFill>
    </fill>
    <fill>
      <patternFill patternType="solid">
        <fgColor theme="0" tint="-0.249977111117893"/>
        <bgColor indexed="64"/>
      </patternFill>
    </fill>
    <fill>
      <patternFill patternType="solid">
        <fgColor theme="0"/>
        <bgColor indexed="64"/>
      </patternFill>
    </fill>
    <fill>
      <patternFill patternType="solid">
        <fgColor rgb="FF92D050"/>
        <bgColor indexed="64"/>
      </patternFill>
    </fill>
    <fill>
      <patternFill patternType="solid">
        <fgColor rgb="FFFF6600"/>
        <bgColor indexed="64"/>
      </patternFill>
    </fill>
  </fills>
  <borders count="4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bottom style="medium">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diagonal/>
    </border>
    <border>
      <left style="medium">
        <color auto="1"/>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medium">
        <color rgb="FF000000"/>
      </bottom>
      <diagonal/>
    </border>
    <border>
      <left style="medium">
        <color auto="1"/>
      </left>
      <right/>
      <top style="medium">
        <color auto="1"/>
      </top>
      <bottom style="thin">
        <color auto="1"/>
      </bottom>
      <diagonal/>
    </border>
    <border>
      <left style="thin">
        <color auto="1"/>
      </left>
      <right style="thin">
        <color auto="1"/>
      </right>
      <top/>
      <bottom/>
      <diagonal/>
    </border>
    <border>
      <left/>
      <right/>
      <top/>
      <bottom style="thin">
        <color auto="1"/>
      </bottom>
      <diagonal/>
    </border>
    <border>
      <left/>
      <right style="thin">
        <color auto="1"/>
      </right>
      <top/>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44"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2" fillId="0" borderId="0"/>
    <xf numFmtId="0" fontId="13" fillId="0" borderId="0" applyNumberFormat="0" applyFill="0" applyBorder="0" applyAlignment="0" applyProtection="0">
      <alignment vertical="top"/>
      <protection locked="0"/>
    </xf>
    <xf numFmtId="43" fontId="1" fillId="0" borderId="0" applyFont="0" applyFill="0" applyBorder="0" applyAlignment="0" applyProtection="0"/>
    <xf numFmtId="44" fontId="1" fillId="0" borderId="0" applyFont="0" applyFill="0" applyBorder="0" applyAlignment="0" applyProtection="0"/>
  </cellStyleXfs>
  <cellXfs count="347">
    <xf numFmtId="0" fontId="0" fillId="0" borderId="0" xfId="0"/>
    <xf numFmtId="0" fontId="2" fillId="0" borderId="1" xfId="0" applyFont="1" applyBorder="1"/>
    <xf numFmtId="0" fontId="0" fillId="0" borderId="1" xfId="0" applyBorder="1"/>
    <xf numFmtId="0" fontId="4" fillId="0" borderId="1" xfId="0" applyFont="1" applyBorder="1"/>
    <xf numFmtId="0" fontId="0" fillId="0" borderId="1" xfId="0" applyBorder="1" applyAlignment="1">
      <alignment wrapText="1"/>
    </xf>
    <xf numFmtId="0" fontId="2" fillId="0" borderId="1" xfId="0" applyNumberFormat="1" applyFont="1" applyBorder="1"/>
    <xf numFmtId="0" fontId="4" fillId="0" borderId="1" xfId="0" applyNumberFormat="1" applyFont="1" applyBorder="1"/>
    <xf numFmtId="44" fontId="2" fillId="0" borderId="1" xfId="4" applyFont="1" applyBorder="1"/>
    <xf numFmtId="0" fontId="2" fillId="0" borderId="1" xfId="4" applyNumberFormat="1" applyFont="1" applyBorder="1"/>
    <xf numFmtId="167" fontId="2" fillId="0" borderId="1" xfId="4" applyNumberFormat="1" applyFont="1" applyBorder="1"/>
    <xf numFmtId="0" fontId="0" fillId="0" borderId="1" xfId="0" applyBorder="1" applyAlignment="1">
      <alignment horizontal="left" wrapText="1" indent="1"/>
    </xf>
    <xf numFmtId="44" fontId="2" fillId="0" borderId="1" xfId="0" applyNumberFormat="1" applyFont="1" applyBorder="1"/>
    <xf numFmtId="167" fontId="4" fillId="0" borderId="1" xfId="4" applyNumberFormat="1" applyFont="1" applyBorder="1"/>
    <xf numFmtId="0" fontId="4" fillId="0" borderId="1" xfId="4" applyNumberFormat="1" applyFont="1" applyBorder="1"/>
    <xf numFmtId="0" fontId="6" fillId="0" borderId="1" xfId="0" applyFont="1" applyBorder="1"/>
    <xf numFmtId="0" fontId="0" fillId="0" borderId="1" xfId="0" applyBorder="1" applyAlignment="1">
      <alignment horizontal="right" wrapText="1"/>
    </xf>
    <xf numFmtId="0" fontId="0" fillId="0" borderId="1" xfId="0" applyFont="1" applyBorder="1" applyAlignment="1">
      <alignment wrapText="1"/>
    </xf>
    <xf numFmtId="0" fontId="0" fillId="0" borderId="1" xfId="0" applyNumberFormat="1" applyBorder="1" applyAlignment="1">
      <alignment wrapText="1"/>
    </xf>
    <xf numFmtId="9" fontId="5" fillId="0" borderId="1" xfId="2" applyNumberFormat="1" applyFont="1" applyBorder="1"/>
    <xf numFmtId="0" fontId="5" fillId="0" borderId="1" xfId="0" applyFont="1" applyBorder="1"/>
    <xf numFmtId="2" fontId="5" fillId="0" borderId="1" xfId="0" applyNumberFormat="1" applyFont="1" applyBorder="1"/>
    <xf numFmtId="168" fontId="5" fillId="0" borderId="1" xfId="2" applyNumberFormat="1" applyFont="1" applyBorder="1"/>
    <xf numFmtId="1" fontId="5" fillId="0" borderId="1" xfId="2" applyNumberFormat="1" applyFont="1" applyBorder="1"/>
    <xf numFmtId="167" fontId="5" fillId="0" borderId="1" xfId="0" applyNumberFormat="1" applyFont="1" applyBorder="1"/>
    <xf numFmtId="0" fontId="0" fillId="2" borderId="1" xfId="0" applyFill="1" applyBorder="1"/>
    <xf numFmtId="0" fontId="4" fillId="2" borderId="1" xfId="0" applyFont="1" applyFill="1" applyBorder="1"/>
    <xf numFmtId="9" fontId="5" fillId="2" borderId="1" xfId="2" applyNumberFormat="1" applyFont="1" applyFill="1" applyBorder="1"/>
    <xf numFmtId="0" fontId="5" fillId="2" borderId="1" xfId="0" applyFont="1" applyFill="1" applyBorder="1"/>
    <xf numFmtId="2" fontId="5" fillId="2" borderId="1" xfId="0" applyNumberFormat="1" applyFont="1" applyFill="1" applyBorder="1"/>
    <xf numFmtId="168" fontId="5" fillId="2" borderId="1" xfId="2" applyNumberFormat="1" applyFont="1" applyFill="1" applyBorder="1"/>
    <xf numFmtId="1" fontId="5" fillId="2" borderId="1" xfId="2" applyNumberFormat="1" applyFont="1" applyFill="1" applyBorder="1"/>
    <xf numFmtId="0" fontId="0" fillId="0" borderId="1" xfId="0" applyFill="1" applyBorder="1"/>
    <xf numFmtId="0" fontId="4" fillId="0" borderId="1" xfId="0" applyFont="1" applyFill="1" applyBorder="1"/>
    <xf numFmtId="9" fontId="5" fillId="0" borderId="1" xfId="2" applyNumberFormat="1" applyFont="1" applyFill="1" applyBorder="1"/>
    <xf numFmtId="0" fontId="5" fillId="0" borderId="1" xfId="0" applyFont="1" applyFill="1" applyBorder="1"/>
    <xf numFmtId="2" fontId="5" fillId="0" borderId="1" xfId="0" applyNumberFormat="1" applyFont="1" applyFill="1" applyBorder="1"/>
    <xf numFmtId="168" fontId="5" fillId="0" borderId="1" xfId="2" applyNumberFormat="1" applyFont="1" applyFill="1" applyBorder="1"/>
    <xf numFmtId="1" fontId="5" fillId="0" borderId="1" xfId="2" applyNumberFormat="1" applyFont="1" applyFill="1" applyBorder="1"/>
    <xf numFmtId="0" fontId="12" fillId="0" borderId="0" xfId="7"/>
    <xf numFmtId="0" fontId="12" fillId="3" borderId="0" xfId="7" applyFill="1"/>
    <xf numFmtId="0" fontId="12" fillId="0" borderId="0" xfId="7" applyAlignment="1">
      <alignment horizontal="left" indent="1"/>
    </xf>
    <xf numFmtId="0" fontId="12" fillId="0" borderId="0" xfId="7" quotePrefix="1" applyAlignment="1">
      <alignment horizontal="right"/>
    </xf>
    <xf numFmtId="0" fontId="14" fillId="0" borderId="0" xfId="7" applyFont="1" applyAlignment="1"/>
    <xf numFmtId="0" fontId="12" fillId="0" borderId="0" xfId="7" applyAlignment="1">
      <alignment horizontal="right" indent="1"/>
    </xf>
    <xf numFmtId="0" fontId="12" fillId="0" borderId="0" xfId="7" applyAlignment="1">
      <alignment vertical="center"/>
    </xf>
    <xf numFmtId="0" fontId="12" fillId="3" borderId="0" xfId="7" applyFill="1" applyAlignment="1">
      <alignment vertical="center"/>
    </xf>
    <xf numFmtId="0" fontId="15" fillId="0" borderId="0" xfId="7" applyFont="1"/>
    <xf numFmtId="1" fontId="12" fillId="0" borderId="1" xfId="7" applyNumberFormat="1" applyFill="1" applyBorder="1"/>
    <xf numFmtId="0" fontId="12" fillId="4" borderId="1" xfId="7" applyFill="1" applyBorder="1"/>
    <xf numFmtId="0" fontId="16" fillId="5" borderId="0" xfId="7" applyFont="1" applyFill="1"/>
    <xf numFmtId="1" fontId="17" fillId="0" borderId="1" xfId="7" applyNumberFormat="1" applyFont="1" applyFill="1" applyBorder="1" applyAlignment="1">
      <alignment vertical="center"/>
    </xf>
    <xf numFmtId="9" fontId="14" fillId="4" borderId="1" xfId="7" applyNumberFormat="1" applyFont="1" applyFill="1" applyBorder="1"/>
    <xf numFmtId="0" fontId="18" fillId="5" borderId="0" xfId="7" applyFont="1" applyFill="1"/>
    <xf numFmtId="0" fontId="0" fillId="0" borderId="7" xfId="0" applyFill="1" applyBorder="1"/>
    <xf numFmtId="0" fontId="0" fillId="0" borderId="0" xfId="0" applyFill="1" applyBorder="1"/>
    <xf numFmtId="0" fontId="10" fillId="6" borderId="13" xfId="0" applyFont="1" applyFill="1" applyBorder="1"/>
    <xf numFmtId="0" fontId="11" fillId="6" borderId="14" xfId="0" applyFont="1" applyFill="1" applyBorder="1"/>
    <xf numFmtId="0" fontId="10" fillId="6" borderId="10" xfId="0" applyFont="1" applyFill="1" applyBorder="1" applyAlignment="1">
      <alignment horizontal="left"/>
    </xf>
    <xf numFmtId="0" fontId="10" fillId="6" borderId="7" xfId="0" applyFont="1" applyFill="1" applyBorder="1"/>
    <xf numFmtId="0" fontId="10" fillId="6" borderId="10" xfId="0" applyFont="1" applyFill="1" applyBorder="1"/>
    <xf numFmtId="2" fontId="11" fillId="6" borderId="7" xfId="0" applyNumberFormat="1" applyFont="1" applyFill="1" applyBorder="1"/>
    <xf numFmtId="0" fontId="0" fillId="0" borderId="21" xfId="0" applyFill="1" applyBorder="1" applyAlignment="1">
      <alignment horizontal="left" indent="1"/>
    </xf>
    <xf numFmtId="1" fontId="4" fillId="0" borderId="22" xfId="0" applyNumberFormat="1" applyFont="1" applyFill="1" applyBorder="1"/>
    <xf numFmtId="0" fontId="0" fillId="7" borderId="0" xfId="0" applyFill="1" applyBorder="1"/>
    <xf numFmtId="0" fontId="2" fillId="7" borderId="0" xfId="0" applyFont="1" applyFill="1" applyBorder="1"/>
    <xf numFmtId="0" fontId="3" fillId="7" borderId="0" xfId="3" applyFill="1" applyBorder="1"/>
    <xf numFmtId="0" fontId="0" fillId="7" borderId="7" xfId="0" applyFill="1" applyBorder="1"/>
    <xf numFmtId="0" fontId="0" fillId="7" borderId="23" xfId="0" applyFill="1" applyBorder="1" applyAlignment="1">
      <alignment horizontal="left" indent="1"/>
    </xf>
    <xf numFmtId="2" fontId="4" fillId="7" borderId="23" xfId="0" applyNumberFormat="1" applyFont="1" applyFill="1" applyBorder="1"/>
    <xf numFmtId="1" fontId="4" fillId="7" borderId="23" xfId="0" applyNumberFormat="1" applyFont="1" applyFill="1" applyBorder="1"/>
    <xf numFmtId="0" fontId="2" fillId="0" borderId="0" xfId="0" applyFont="1" applyFill="1" applyBorder="1"/>
    <xf numFmtId="0" fontId="2" fillId="0" borderId="10" xfId="0" applyFont="1" applyFill="1" applyBorder="1"/>
    <xf numFmtId="0" fontId="0" fillId="0" borderId="16" xfId="0" applyFill="1" applyBorder="1" applyAlignment="1">
      <alignment horizontal="left" indent="1"/>
    </xf>
    <xf numFmtId="0" fontId="2" fillId="0" borderId="18" xfId="0" applyFont="1" applyFill="1" applyBorder="1"/>
    <xf numFmtId="0" fontId="0" fillId="0" borderId="20" xfId="0" applyFill="1" applyBorder="1" applyAlignment="1">
      <alignment horizontal="left" indent="1"/>
    </xf>
    <xf numFmtId="2" fontId="4" fillId="0" borderId="17" xfId="0" applyNumberFormat="1" applyFont="1" applyFill="1" applyBorder="1"/>
    <xf numFmtId="9" fontId="2" fillId="0" borderId="18" xfId="2" applyFont="1" applyFill="1" applyBorder="1"/>
    <xf numFmtId="1" fontId="4" fillId="0" borderId="18" xfId="2" applyNumberFormat="1" applyFont="1" applyFill="1" applyBorder="1"/>
    <xf numFmtId="0" fontId="0" fillId="0" borderId="16" xfId="0" applyFill="1" applyBorder="1" applyAlignment="1">
      <alignment horizontal="right" indent="1"/>
    </xf>
    <xf numFmtId="166" fontId="4" fillId="0" borderId="18" xfId="1" applyNumberFormat="1" applyFont="1" applyFill="1" applyBorder="1"/>
    <xf numFmtId="1" fontId="4" fillId="0" borderId="18" xfId="0" applyNumberFormat="1" applyFont="1" applyFill="1" applyBorder="1"/>
    <xf numFmtId="0" fontId="2" fillId="8" borderId="16" xfId="0" applyFont="1" applyFill="1" applyBorder="1"/>
    <xf numFmtId="2" fontId="4" fillId="8" borderId="18" xfId="0" applyNumberFormat="1" applyFont="1" applyFill="1" applyBorder="1"/>
    <xf numFmtId="0" fontId="0" fillId="8" borderId="16" xfId="0" applyFont="1" applyFill="1" applyBorder="1"/>
    <xf numFmtId="0" fontId="0" fillId="8" borderId="16" xfId="0" applyFill="1" applyBorder="1" applyAlignment="1">
      <alignment horizontal="left" indent="1"/>
    </xf>
    <xf numFmtId="9" fontId="2" fillId="8" borderId="18" xfId="2" applyFont="1" applyFill="1" applyBorder="1"/>
    <xf numFmtId="1" fontId="4" fillId="8" borderId="18" xfId="2" applyNumberFormat="1" applyFont="1" applyFill="1" applyBorder="1"/>
    <xf numFmtId="0" fontId="0" fillId="8" borderId="16" xfId="0" applyFill="1" applyBorder="1" applyAlignment="1">
      <alignment horizontal="right" indent="1"/>
    </xf>
    <xf numFmtId="166" fontId="4" fillId="8" borderId="18" xfId="1" applyNumberFormat="1" applyFont="1" applyFill="1" applyBorder="1"/>
    <xf numFmtId="0" fontId="2" fillId="8" borderId="18" xfId="0" applyFont="1" applyFill="1" applyBorder="1"/>
    <xf numFmtId="1" fontId="4" fillId="8" borderId="18" xfId="0" applyNumberFormat="1" applyFont="1" applyFill="1" applyBorder="1"/>
    <xf numFmtId="0" fontId="0" fillId="8" borderId="11" xfId="0" applyFill="1" applyBorder="1"/>
    <xf numFmtId="0" fontId="0" fillId="8" borderId="19" xfId="0" applyFill="1" applyBorder="1"/>
    <xf numFmtId="0" fontId="3" fillId="8" borderId="0" xfId="3" applyFill="1" applyBorder="1"/>
    <xf numFmtId="0" fontId="0" fillId="8" borderId="0" xfId="0" applyFill="1" applyBorder="1"/>
    <xf numFmtId="0" fontId="3" fillId="8" borderId="0" xfId="3" applyFill="1" applyBorder="1" applyAlignment="1">
      <alignment vertical="center"/>
    </xf>
    <xf numFmtId="43" fontId="0" fillId="8" borderId="0" xfId="0" applyNumberFormat="1" applyFill="1" applyBorder="1"/>
    <xf numFmtId="0" fontId="7" fillId="8" borderId="0" xfId="0" applyFont="1" applyFill="1" applyBorder="1"/>
    <xf numFmtId="0" fontId="0" fillId="7" borderId="0" xfId="0" applyFill="1"/>
    <xf numFmtId="0" fontId="0" fillId="7" borderId="0" xfId="0" applyFill="1" applyAlignment="1">
      <alignment vertical="center"/>
    </xf>
    <xf numFmtId="0" fontId="0" fillId="8" borderId="0" xfId="0" applyFill="1"/>
    <xf numFmtId="0" fontId="4" fillId="8" borderId="0" xfId="0" applyFont="1" applyFill="1"/>
    <xf numFmtId="0" fontId="3" fillId="8" borderId="0" xfId="3" applyFill="1"/>
    <xf numFmtId="0" fontId="0" fillId="8" borderId="7" xfId="0" applyFill="1" applyBorder="1"/>
    <xf numFmtId="3" fontId="0" fillId="8" borderId="0" xfId="0" applyNumberFormat="1" applyFill="1"/>
    <xf numFmtId="0" fontId="2" fillId="8" borderId="0" xfId="0" applyFont="1" applyFill="1"/>
    <xf numFmtId="0" fontId="2" fillId="8" borderId="26" xfId="0" applyFont="1" applyFill="1" applyBorder="1"/>
    <xf numFmtId="0" fontId="2" fillId="8" borderId="12" xfId="0" applyFont="1" applyFill="1" applyBorder="1"/>
    <xf numFmtId="0" fontId="0" fillId="8" borderId="12" xfId="0" applyFill="1" applyBorder="1"/>
    <xf numFmtId="0" fontId="0" fillId="8" borderId="28" xfId="0" applyFill="1" applyBorder="1"/>
    <xf numFmtId="0" fontId="0" fillId="8" borderId="24" xfId="0" applyFill="1" applyBorder="1"/>
    <xf numFmtId="0" fontId="0" fillId="8" borderId="8" xfId="0" applyFill="1" applyBorder="1"/>
    <xf numFmtId="0" fontId="0" fillId="8" borderId="9" xfId="0" applyFill="1" applyBorder="1"/>
    <xf numFmtId="0" fontId="2" fillId="8" borderId="27" xfId="0" applyFont="1" applyFill="1" applyBorder="1"/>
    <xf numFmtId="3" fontId="0" fillId="8" borderId="28" xfId="0" applyNumberFormat="1" applyFill="1" applyBorder="1"/>
    <xf numFmtId="3" fontId="0" fillId="8" borderId="24" xfId="0" applyNumberFormat="1" applyFill="1" applyBorder="1"/>
    <xf numFmtId="0" fontId="0" fillId="8" borderId="29" xfId="0" applyFill="1" applyBorder="1"/>
    <xf numFmtId="0" fontId="4" fillId="8" borderId="29" xfId="0" applyFont="1" applyFill="1" applyBorder="1"/>
    <xf numFmtId="0" fontId="0" fillId="8" borderId="28" xfId="0" applyFont="1" applyFill="1" applyBorder="1"/>
    <xf numFmtId="0" fontId="5" fillId="8" borderId="28" xfId="0" applyFont="1" applyFill="1" applyBorder="1"/>
    <xf numFmtId="0" fontId="19" fillId="7" borderId="0" xfId="0" applyFont="1" applyFill="1"/>
    <xf numFmtId="0" fontId="0" fillId="8" borderId="10" xfId="0" applyFill="1" applyBorder="1"/>
    <xf numFmtId="0" fontId="0" fillId="8" borderId="0" xfId="0" applyFont="1" applyFill="1" applyBorder="1"/>
    <xf numFmtId="0" fontId="14" fillId="8" borderId="27" xfId="7" applyFont="1" applyFill="1" applyBorder="1"/>
    <xf numFmtId="0" fontId="14" fillId="8" borderId="12" xfId="7" applyFont="1" applyFill="1" applyBorder="1"/>
    <xf numFmtId="0" fontId="14" fillId="8" borderId="25" xfId="7" applyFont="1" applyFill="1" applyBorder="1"/>
    <xf numFmtId="0" fontId="12" fillId="8" borderId="25" xfId="7" applyFill="1" applyBorder="1"/>
    <xf numFmtId="0" fontId="0" fillId="8" borderId="25" xfId="0" applyFill="1" applyBorder="1"/>
    <xf numFmtId="0" fontId="0" fillId="8" borderId="26" xfId="0" applyFill="1" applyBorder="1"/>
    <xf numFmtId="0" fontId="0" fillId="7" borderId="0" xfId="0" applyFill="1" applyAlignment="1">
      <alignment wrapText="1"/>
    </xf>
    <xf numFmtId="0" fontId="0" fillId="0" borderId="0" xfId="0" applyFill="1"/>
    <xf numFmtId="0" fontId="2" fillId="0" borderId="0" xfId="0" applyFont="1" applyFill="1"/>
    <xf numFmtId="0" fontId="5" fillId="0" borderId="0" xfId="0" applyFont="1" applyFill="1"/>
    <xf numFmtId="0" fontId="2" fillId="0" borderId="30" xfId="0" applyFont="1" applyFill="1" applyBorder="1" applyAlignment="1">
      <alignment vertical="center" wrapText="1"/>
    </xf>
    <xf numFmtId="0" fontId="2" fillId="0" borderId="30" xfId="0" applyFont="1" applyFill="1" applyBorder="1" applyAlignment="1">
      <alignment wrapText="1"/>
    </xf>
    <xf numFmtId="0" fontId="0" fillId="0" borderId="15" xfId="0" applyFill="1" applyBorder="1" applyAlignment="1">
      <alignment vertical="center" wrapText="1"/>
    </xf>
    <xf numFmtId="3" fontId="0" fillId="0" borderId="15" xfId="0" applyNumberFormat="1" applyFill="1" applyBorder="1" applyAlignment="1">
      <alignment horizontal="right" vertical="center" wrapText="1"/>
    </xf>
    <xf numFmtId="0" fontId="5" fillId="0" borderId="15" xfId="0" applyFont="1" applyFill="1" applyBorder="1"/>
    <xf numFmtId="0" fontId="9" fillId="0" borderId="15" xfId="0" applyFont="1" applyFill="1" applyBorder="1"/>
    <xf numFmtId="0" fontId="0" fillId="0" borderId="15" xfId="0" applyFill="1" applyBorder="1" applyAlignment="1">
      <alignment horizontal="right" vertical="center" wrapText="1"/>
    </xf>
    <xf numFmtId="0" fontId="2" fillId="0" borderId="15" xfId="0" applyFont="1" applyFill="1" applyBorder="1" applyAlignment="1">
      <alignment vertical="center" wrapText="1"/>
    </xf>
    <xf numFmtId="3" fontId="2" fillId="0" borderId="15" xfId="0" applyNumberFormat="1" applyFont="1" applyFill="1" applyBorder="1" applyAlignment="1">
      <alignment horizontal="right" vertical="center" wrapText="1"/>
    </xf>
    <xf numFmtId="0" fontId="0" fillId="0" borderId="31" xfId="0" applyFill="1" applyBorder="1" applyAlignment="1">
      <alignment vertical="center" wrapText="1"/>
    </xf>
    <xf numFmtId="0" fontId="3" fillId="0" borderId="31" xfId="3" applyFill="1" applyBorder="1" applyAlignment="1">
      <alignment wrapText="1"/>
    </xf>
    <xf numFmtId="0" fontId="6" fillId="0" borderId="31" xfId="0" applyFont="1" applyFill="1" applyBorder="1"/>
    <xf numFmtId="0" fontId="0" fillId="0" borderId="31" xfId="0" applyFill="1" applyBorder="1"/>
    <xf numFmtId="0" fontId="2" fillId="0" borderId="32" xfId="0" applyFont="1" applyFill="1" applyBorder="1" applyAlignment="1">
      <alignment vertical="center" wrapText="1"/>
    </xf>
    <xf numFmtId="0" fontId="0" fillId="0" borderId="33" xfId="0" applyFill="1" applyBorder="1" applyAlignment="1">
      <alignment vertical="center" wrapText="1"/>
    </xf>
    <xf numFmtId="3" fontId="0" fillId="0" borderId="33" xfId="0" applyNumberFormat="1" applyFill="1" applyBorder="1" applyAlignment="1">
      <alignment horizontal="right" vertical="center" wrapText="1"/>
    </xf>
    <xf numFmtId="0" fontId="0" fillId="0" borderId="33" xfId="0" applyFill="1" applyBorder="1" applyAlignment="1">
      <alignment horizontal="right" vertical="center" wrapText="1"/>
    </xf>
    <xf numFmtId="0" fontId="2" fillId="0" borderId="33" xfId="0" applyFont="1" applyFill="1" applyBorder="1" applyAlignment="1">
      <alignment vertical="center" wrapText="1"/>
    </xf>
    <xf numFmtId="3" fontId="2" fillId="0" borderId="33" xfId="0" applyNumberFormat="1" applyFont="1" applyFill="1" applyBorder="1" applyAlignment="1">
      <alignment horizontal="right" vertical="center" wrapText="1"/>
    </xf>
    <xf numFmtId="0" fontId="2" fillId="0" borderId="34" xfId="0" applyFont="1" applyFill="1" applyBorder="1" applyAlignment="1">
      <alignment vertical="center" wrapText="1"/>
    </xf>
    <xf numFmtId="0" fontId="0" fillId="0" borderId="34" xfId="0" applyFill="1" applyBorder="1" applyAlignment="1">
      <alignment vertical="center" wrapText="1"/>
    </xf>
    <xf numFmtId="0" fontId="2" fillId="0" borderId="35" xfId="0" applyFont="1" applyFill="1" applyBorder="1" applyAlignment="1">
      <alignment vertical="center" wrapText="1"/>
    </xf>
    <xf numFmtId="0" fontId="0" fillId="0" borderId="35" xfId="0" applyFill="1" applyBorder="1" applyAlignment="1">
      <alignment vertical="center" wrapText="1"/>
    </xf>
    <xf numFmtId="0" fontId="2" fillId="0" borderId="33" xfId="0" applyFont="1" applyFill="1" applyBorder="1" applyAlignment="1">
      <alignment horizontal="right" vertical="center" wrapText="1"/>
    </xf>
    <xf numFmtId="0" fontId="2" fillId="0" borderId="36" xfId="0" applyFont="1" applyFill="1" applyBorder="1" applyAlignment="1">
      <alignment vertical="center" wrapText="1"/>
    </xf>
    <xf numFmtId="3" fontId="2" fillId="0" borderId="36" xfId="0" applyNumberFormat="1" applyFont="1" applyFill="1" applyBorder="1" applyAlignment="1">
      <alignment horizontal="right" vertical="center" wrapText="1"/>
    </xf>
    <xf numFmtId="0" fontId="18" fillId="7" borderId="0" xfId="0" applyFont="1" applyFill="1" applyBorder="1" applyAlignment="1">
      <alignment vertical="center" wrapText="1"/>
    </xf>
    <xf numFmtId="0" fontId="18" fillId="7" borderId="0" xfId="0" applyFont="1" applyFill="1" applyBorder="1" applyAlignment="1">
      <alignment horizontal="left" vertical="center" wrapText="1"/>
    </xf>
    <xf numFmtId="0" fontId="18" fillId="7" borderId="0" xfId="0" applyFont="1" applyFill="1" applyBorder="1" applyAlignment="1">
      <alignment horizontal="left" vertical="center"/>
    </xf>
    <xf numFmtId="0" fontId="2" fillId="7" borderId="0" xfId="0" applyNumberFormat="1" applyFont="1" applyFill="1" applyBorder="1"/>
    <xf numFmtId="0" fontId="0" fillId="7" borderId="0" xfId="0" applyFill="1" applyBorder="1" applyAlignment="1"/>
    <xf numFmtId="0" fontId="4" fillId="7" borderId="0" xfId="0" applyFont="1" applyFill="1" applyBorder="1"/>
    <xf numFmtId="0" fontId="4" fillId="7" borderId="0" xfId="0" applyNumberFormat="1" applyFont="1" applyFill="1" applyBorder="1"/>
    <xf numFmtId="44" fontId="2" fillId="7" borderId="0" xfId="4" applyFont="1" applyFill="1" applyBorder="1"/>
    <xf numFmtId="0" fontId="2" fillId="7" borderId="0" xfId="4" applyNumberFormat="1" applyFont="1" applyFill="1" applyBorder="1"/>
    <xf numFmtId="167" fontId="4" fillId="7" borderId="0" xfId="4" applyNumberFormat="1" applyFont="1" applyFill="1" applyBorder="1"/>
    <xf numFmtId="167" fontId="2" fillId="7" borderId="0" xfId="4" applyNumberFormat="1" applyFont="1" applyFill="1" applyBorder="1"/>
    <xf numFmtId="0" fontId="2" fillId="7" borderId="0" xfId="0" applyFont="1" applyFill="1" applyBorder="1" applyAlignment="1">
      <alignment horizontal="left" wrapText="1" indent="1"/>
    </xf>
    <xf numFmtId="44" fontId="2" fillId="7" borderId="0" xfId="0" applyNumberFormat="1" applyFont="1" applyFill="1" applyBorder="1"/>
    <xf numFmtId="0" fontId="4" fillId="7" borderId="0" xfId="4" applyNumberFormat="1" applyFont="1" applyFill="1" applyBorder="1"/>
    <xf numFmtId="0" fontId="6" fillId="7" borderId="0" xfId="0" applyFont="1" applyFill="1" applyBorder="1"/>
    <xf numFmtId="0" fontId="0" fillId="7" borderId="0" xfId="0" applyFill="1" applyBorder="1" applyAlignment="1">
      <alignment wrapText="1"/>
    </xf>
    <xf numFmtId="9" fontId="5" fillId="7" borderId="0" xfId="2" applyNumberFormat="1" applyFont="1" applyFill="1" applyBorder="1"/>
    <xf numFmtId="0" fontId="5" fillId="7" borderId="0" xfId="0" applyFont="1" applyFill="1" applyBorder="1"/>
    <xf numFmtId="2" fontId="5" fillId="7" borderId="0" xfId="0" applyNumberFormat="1" applyFont="1" applyFill="1" applyBorder="1"/>
    <xf numFmtId="168" fontId="5" fillId="7" borderId="0" xfId="2" applyNumberFormat="1" applyFont="1" applyFill="1" applyBorder="1"/>
    <xf numFmtId="1" fontId="5" fillId="7" borderId="0" xfId="2" applyNumberFormat="1" applyFont="1" applyFill="1" applyBorder="1"/>
    <xf numFmtId="167" fontId="5" fillId="7" borderId="0" xfId="0" applyNumberFormat="1" applyFont="1" applyFill="1" applyBorder="1"/>
    <xf numFmtId="0" fontId="4" fillId="8" borderId="28" xfId="0" applyFont="1" applyFill="1" applyBorder="1"/>
    <xf numFmtId="0" fontId="2" fillId="8" borderId="12" xfId="0" applyFont="1" applyFill="1" applyBorder="1" applyAlignment="1">
      <alignment horizontal="center" vertical="center" wrapText="1"/>
    </xf>
    <xf numFmtId="0" fontId="2" fillId="8" borderId="12" xfId="0" applyNumberFormat="1" applyFont="1" applyFill="1" applyBorder="1" applyAlignment="1">
      <alignment horizontal="center" vertical="center" wrapText="1"/>
    </xf>
    <xf numFmtId="0" fontId="4" fillId="8" borderId="28" xfId="0" applyFont="1" applyFill="1" applyBorder="1" applyAlignment="1">
      <alignment horizontal="center" vertical="center"/>
    </xf>
    <xf numFmtId="0" fontId="4" fillId="8" borderId="24" xfId="0" applyFont="1" applyFill="1" applyBorder="1" applyAlignment="1">
      <alignment horizontal="center" vertical="center"/>
    </xf>
    <xf numFmtId="0" fontId="18" fillId="7" borderId="0" xfId="0" applyFont="1" applyFill="1" applyBorder="1" applyAlignment="1">
      <alignment horizontal="center" vertical="center" wrapText="1"/>
    </xf>
    <xf numFmtId="0" fontId="2" fillId="8" borderId="30" xfId="0" applyFont="1" applyFill="1" applyBorder="1"/>
    <xf numFmtId="0" fontId="4" fillId="8" borderId="15" xfId="0" applyFont="1" applyFill="1" applyBorder="1"/>
    <xf numFmtId="167" fontId="4" fillId="8" borderId="15" xfId="4" applyNumberFormat="1" applyFont="1" applyFill="1" applyBorder="1"/>
    <xf numFmtId="0" fontId="2" fillId="8" borderId="15" xfId="0" applyFont="1" applyFill="1" applyBorder="1"/>
    <xf numFmtId="0" fontId="6" fillId="8" borderId="31" xfId="0" applyFont="1" applyFill="1" applyBorder="1"/>
    <xf numFmtId="0" fontId="2" fillId="8" borderId="28" xfId="0" applyFont="1" applyFill="1" applyBorder="1" applyAlignment="1">
      <alignment horizontal="center" vertical="center"/>
    </xf>
    <xf numFmtId="0" fontId="6" fillId="8" borderId="28" xfId="0" applyFont="1" applyFill="1" applyBorder="1" applyAlignment="1">
      <alignment horizontal="center" vertical="center"/>
    </xf>
    <xf numFmtId="0" fontId="2" fillId="8" borderId="24" xfId="0" applyFont="1" applyFill="1" applyBorder="1" applyAlignment="1">
      <alignment horizontal="center" vertical="center"/>
    </xf>
    <xf numFmtId="9" fontId="4" fillId="8" borderId="28" xfId="2" applyNumberFormat="1" applyFont="1" applyFill="1" applyBorder="1" applyAlignment="1">
      <alignment horizontal="center" vertical="center"/>
    </xf>
    <xf numFmtId="2" fontId="4" fillId="8" borderId="28" xfId="0" applyNumberFormat="1" applyFont="1" applyFill="1" applyBorder="1" applyAlignment="1">
      <alignment horizontal="center" vertical="center"/>
    </xf>
    <xf numFmtId="168" fontId="4" fillId="8" borderId="28" xfId="2" applyNumberFormat="1" applyFont="1" applyFill="1" applyBorder="1" applyAlignment="1">
      <alignment horizontal="center" vertical="center"/>
    </xf>
    <xf numFmtId="1" fontId="4" fillId="8" borderId="28" xfId="2" applyNumberFormat="1" applyFont="1" applyFill="1" applyBorder="1" applyAlignment="1">
      <alignment horizontal="center" vertical="center"/>
    </xf>
    <xf numFmtId="1" fontId="4" fillId="8" borderId="28" xfId="0" applyNumberFormat="1" applyFont="1" applyFill="1" applyBorder="1" applyAlignment="1">
      <alignment horizontal="center" vertical="center"/>
    </xf>
    <xf numFmtId="167" fontId="4" fillId="8" borderId="28" xfId="0" applyNumberFormat="1" applyFont="1" applyFill="1" applyBorder="1" applyAlignment="1">
      <alignment horizontal="center" vertical="center"/>
    </xf>
    <xf numFmtId="9" fontId="4" fillId="8" borderId="28" xfId="2" applyFont="1" applyFill="1" applyBorder="1" applyAlignment="1">
      <alignment horizontal="center" vertical="center"/>
    </xf>
    <xf numFmtId="9" fontId="4" fillId="8" borderId="24" xfId="2" applyNumberFormat="1" applyFont="1" applyFill="1" applyBorder="1" applyAlignment="1">
      <alignment horizontal="center" vertical="center"/>
    </xf>
    <xf numFmtId="2" fontId="4" fillId="8" borderId="24" xfId="0" applyNumberFormat="1" applyFont="1" applyFill="1" applyBorder="1" applyAlignment="1">
      <alignment horizontal="center" vertical="center"/>
    </xf>
    <xf numFmtId="168" fontId="4" fillId="8" borderId="24" xfId="2" applyNumberFormat="1" applyFont="1" applyFill="1" applyBorder="1" applyAlignment="1">
      <alignment horizontal="center" vertical="center"/>
    </xf>
    <xf numFmtId="1" fontId="4" fillId="8" borderId="24" xfId="2" applyNumberFormat="1" applyFont="1" applyFill="1" applyBorder="1" applyAlignment="1">
      <alignment horizontal="center" vertical="center"/>
    </xf>
    <xf numFmtId="1" fontId="4" fillId="8" borderId="24" xfId="0" applyNumberFormat="1" applyFont="1" applyFill="1" applyBorder="1" applyAlignment="1">
      <alignment horizontal="center" vertical="center"/>
    </xf>
    <xf numFmtId="167" fontId="4" fillId="8" borderId="24" xfId="0" applyNumberFormat="1" applyFont="1" applyFill="1" applyBorder="1" applyAlignment="1">
      <alignment horizontal="center" vertical="center"/>
    </xf>
    <xf numFmtId="9" fontId="4" fillId="8" borderId="24" xfId="2" applyFont="1" applyFill="1" applyBorder="1" applyAlignment="1">
      <alignment horizontal="center" vertical="center"/>
    </xf>
    <xf numFmtId="0" fontId="0" fillId="7" borderId="0" xfId="0" applyFont="1" applyFill="1" applyBorder="1" applyAlignment="1">
      <alignment horizontal="left" wrapText="1" indent="1"/>
    </xf>
    <xf numFmtId="0" fontId="4" fillId="8" borderId="0" xfId="0" applyFont="1" applyFill="1" applyBorder="1" applyAlignment="1">
      <alignment horizontal="center" vertical="center"/>
    </xf>
    <xf numFmtId="0" fontId="2" fillId="8" borderId="0" xfId="0" applyFont="1" applyFill="1" applyBorder="1" applyAlignment="1">
      <alignment horizontal="center" vertical="center"/>
    </xf>
    <xf numFmtId="9" fontId="4" fillId="8" borderId="0" xfId="2" applyNumberFormat="1" applyFont="1" applyFill="1" applyBorder="1" applyAlignment="1">
      <alignment horizontal="center" vertical="center"/>
    </xf>
    <xf numFmtId="2" fontId="4" fillId="8" borderId="0" xfId="0" applyNumberFormat="1" applyFont="1" applyFill="1" applyBorder="1" applyAlignment="1">
      <alignment horizontal="center" vertical="center"/>
    </xf>
    <xf numFmtId="168" fontId="4" fillId="8" borderId="0" xfId="2" applyNumberFormat="1" applyFont="1" applyFill="1" applyBorder="1" applyAlignment="1">
      <alignment horizontal="center" vertical="center"/>
    </xf>
    <xf numFmtId="1" fontId="4" fillId="8" borderId="0" xfId="2" applyNumberFormat="1" applyFont="1" applyFill="1" applyBorder="1" applyAlignment="1">
      <alignment horizontal="center" vertical="center"/>
    </xf>
    <xf numFmtId="167" fontId="4" fillId="8" borderId="0" xfId="0" applyNumberFormat="1" applyFont="1" applyFill="1" applyBorder="1" applyAlignment="1">
      <alignment horizontal="center" vertical="center"/>
    </xf>
    <xf numFmtId="0" fontId="0" fillId="8" borderId="30" xfId="0" applyFont="1" applyFill="1" applyBorder="1" applyAlignment="1">
      <alignment wrapText="1"/>
    </xf>
    <xf numFmtId="0" fontId="0" fillId="8" borderId="15" xfId="0" applyFont="1" applyFill="1" applyBorder="1" applyAlignment="1">
      <alignment wrapText="1"/>
    </xf>
    <xf numFmtId="167" fontId="2" fillId="8" borderId="15" xfId="4" applyNumberFormat="1" applyFont="1" applyFill="1" applyBorder="1"/>
    <xf numFmtId="0" fontId="0" fillId="8" borderId="15" xfId="0" applyFont="1" applyFill="1" applyBorder="1" applyAlignment="1">
      <alignment horizontal="left" wrapText="1" indent="1"/>
    </xf>
    <xf numFmtId="0" fontId="0" fillId="8" borderId="31" xfId="0" applyFont="1" applyFill="1" applyBorder="1" applyAlignment="1">
      <alignment horizontal="left" wrapText="1" indent="1"/>
    </xf>
    <xf numFmtId="0" fontId="0" fillId="8" borderId="28" xfId="0" applyFill="1" applyBorder="1" applyAlignment="1">
      <alignment horizontal="right"/>
    </xf>
    <xf numFmtId="0" fontId="0" fillId="8" borderId="24" xfId="0" applyFill="1" applyBorder="1" applyAlignment="1">
      <alignment horizontal="right"/>
    </xf>
    <xf numFmtId="165" fontId="4" fillId="8" borderId="24" xfId="0" applyNumberFormat="1" applyFont="1" applyFill="1" applyBorder="1"/>
    <xf numFmtId="0" fontId="3" fillId="0" borderId="0" xfId="3" applyFill="1"/>
    <xf numFmtId="0" fontId="0" fillId="0" borderId="3" xfId="0" applyFill="1" applyBorder="1"/>
    <xf numFmtId="0" fontId="2" fillId="0" borderId="2" xfId="0" applyFont="1" applyFill="1" applyBorder="1"/>
    <xf numFmtId="165" fontId="2" fillId="0" borderId="2" xfId="0" applyNumberFormat="1" applyFont="1" applyFill="1" applyBorder="1"/>
    <xf numFmtId="0" fontId="2" fillId="0" borderId="38" xfId="0" applyFont="1" applyFill="1" applyBorder="1"/>
    <xf numFmtId="165" fontId="2" fillId="0" borderId="38" xfId="0" applyNumberFormat="1" applyFont="1" applyFill="1" applyBorder="1"/>
    <xf numFmtId="2" fontId="4" fillId="7" borderId="0" xfId="0" applyNumberFormat="1" applyFont="1" applyFill="1" applyBorder="1"/>
    <xf numFmtId="1" fontId="4" fillId="7" borderId="0" xfId="0" applyNumberFormat="1" applyFont="1" applyFill="1" applyBorder="1"/>
    <xf numFmtId="0" fontId="11" fillId="7" borderId="0" xfId="0" applyFont="1" applyFill="1" applyBorder="1"/>
    <xf numFmtId="0" fontId="10" fillId="7" borderId="0" xfId="0" applyFont="1" applyFill="1" applyBorder="1"/>
    <xf numFmtId="9" fontId="2" fillId="7" borderId="0" xfId="2" applyFont="1" applyFill="1" applyBorder="1"/>
    <xf numFmtId="1" fontId="4" fillId="7" borderId="0" xfId="2" applyNumberFormat="1" applyFont="1" applyFill="1" applyBorder="1"/>
    <xf numFmtId="166" fontId="4" fillId="7" borderId="0" xfId="1" applyNumberFormat="1" applyFont="1" applyFill="1" applyBorder="1"/>
    <xf numFmtId="2" fontId="11" fillId="7" borderId="0" xfId="0" applyNumberFormat="1" applyFont="1" applyFill="1" applyBorder="1"/>
    <xf numFmtId="169" fontId="2" fillId="7" borderId="0" xfId="0" applyNumberFormat="1" applyFont="1" applyFill="1" applyBorder="1"/>
    <xf numFmtId="0" fontId="0" fillId="2" borderId="15" xfId="0" applyFont="1" applyFill="1" applyBorder="1" applyAlignment="1">
      <alignment wrapText="1"/>
    </xf>
    <xf numFmtId="44" fontId="2" fillId="2" borderId="15" xfId="4" applyFont="1" applyFill="1" applyBorder="1"/>
    <xf numFmtId="0" fontId="0" fillId="8" borderId="37" xfId="0" applyFont="1" applyFill="1" applyBorder="1" applyAlignment="1">
      <alignment wrapText="1"/>
    </xf>
    <xf numFmtId="0" fontId="0" fillId="8" borderId="16" xfId="0" applyFont="1" applyFill="1" applyBorder="1" applyAlignment="1">
      <alignment wrapText="1"/>
    </xf>
    <xf numFmtId="0" fontId="0" fillId="2" borderId="16" xfId="0" applyFont="1" applyFill="1" applyBorder="1" applyAlignment="1">
      <alignment wrapText="1"/>
    </xf>
    <xf numFmtId="0" fontId="0" fillId="8" borderId="16" xfId="0" applyFont="1" applyFill="1" applyBorder="1" applyAlignment="1">
      <alignment horizontal="left" wrapText="1" indent="1"/>
    </xf>
    <xf numFmtId="0" fontId="0" fillId="8" borderId="21" xfId="0" applyFont="1" applyFill="1" applyBorder="1" applyAlignment="1">
      <alignment horizontal="left" wrapText="1" indent="1"/>
    </xf>
    <xf numFmtId="1" fontId="12" fillId="7" borderId="39" xfId="7" applyNumberFormat="1" applyFill="1" applyBorder="1"/>
    <xf numFmtId="0" fontId="12" fillId="7" borderId="0" xfId="7" applyFill="1"/>
    <xf numFmtId="0" fontId="12" fillId="0" borderId="0" xfId="7" applyBorder="1"/>
    <xf numFmtId="1" fontId="12" fillId="0" borderId="0" xfId="7" applyNumberFormat="1" applyFill="1" applyBorder="1"/>
    <xf numFmtId="0" fontId="12" fillId="2" borderId="0" xfId="7" applyFill="1" applyBorder="1"/>
    <xf numFmtId="0" fontId="12" fillId="2" borderId="0" xfId="7" applyFont="1" applyFill="1" applyBorder="1"/>
    <xf numFmtId="1" fontId="12" fillId="7" borderId="0" xfId="7" applyNumberFormat="1" applyFill="1" applyBorder="1"/>
    <xf numFmtId="0" fontId="12" fillId="7" borderId="0" xfId="7" applyFill="1" applyBorder="1"/>
    <xf numFmtId="0" fontId="0" fillId="7" borderId="0" xfId="0" applyFill="1" applyBorder="1" applyAlignment="1">
      <alignment vertical="center"/>
    </xf>
    <xf numFmtId="0" fontId="2" fillId="8" borderId="28" xfId="0" applyFont="1" applyFill="1" applyBorder="1" applyAlignment="1">
      <alignment horizontal="center"/>
    </xf>
    <xf numFmtId="0" fontId="2" fillId="8" borderId="24" xfId="0" applyFont="1" applyFill="1" applyBorder="1" applyAlignment="1">
      <alignment horizontal="center"/>
    </xf>
    <xf numFmtId="0" fontId="18" fillId="7" borderId="0" xfId="0" applyFont="1" applyFill="1" applyAlignment="1">
      <alignment vertical="center"/>
    </xf>
    <xf numFmtId="2" fontId="0" fillId="7" borderId="0" xfId="0" applyNumberFormat="1" applyFill="1"/>
    <xf numFmtId="0" fontId="24" fillId="7" borderId="0" xfId="0" applyFont="1" applyFill="1"/>
    <xf numFmtId="0" fontId="0" fillId="8" borderId="16" xfId="0" applyFont="1" applyFill="1" applyBorder="1" applyAlignment="1">
      <alignment horizontal="right"/>
    </xf>
    <xf numFmtId="166" fontId="4" fillId="8" borderId="18" xfId="1" applyNumberFormat="1" applyFont="1" applyFill="1" applyBorder="1" applyAlignment="1">
      <alignment horizontal="right"/>
    </xf>
    <xf numFmtId="0" fontId="6" fillId="8" borderId="24" xfId="0" applyFont="1" applyFill="1" applyBorder="1" applyAlignment="1">
      <alignment horizontal="center"/>
    </xf>
    <xf numFmtId="9" fontId="4" fillId="8" borderId="24" xfId="0" applyNumberFormat="1" applyFont="1" applyFill="1" applyBorder="1" applyAlignment="1">
      <alignment horizontal="center" vertical="center"/>
    </xf>
    <xf numFmtId="9" fontId="4" fillId="8" borderId="24" xfId="2" applyNumberFormat="1" applyFont="1" applyFill="1" applyBorder="1" applyAlignment="1">
      <alignment horizontal="center"/>
    </xf>
    <xf numFmtId="0" fontId="2" fillId="8" borderId="29" xfId="0" applyFont="1" applyFill="1" applyBorder="1" applyAlignment="1">
      <alignment horizontal="center" vertical="center"/>
    </xf>
    <xf numFmtId="0" fontId="2" fillId="8" borderId="12" xfId="0" applyFont="1" applyFill="1" applyBorder="1" applyAlignment="1">
      <alignment horizontal="center" wrapText="1"/>
    </xf>
    <xf numFmtId="0" fontId="0" fillId="9" borderId="20" xfId="0" applyFill="1" applyBorder="1" applyAlignment="1">
      <alignment horizontal="left" indent="1"/>
    </xf>
    <xf numFmtId="1" fontId="4" fillId="9" borderId="17" xfId="0" applyNumberFormat="1" applyFont="1" applyFill="1" applyBorder="1"/>
    <xf numFmtId="0" fontId="0" fillId="9" borderId="16" xfId="0" applyFont="1" applyFill="1" applyBorder="1" applyAlignment="1">
      <alignment horizontal="left" indent="1"/>
    </xf>
    <xf numFmtId="1" fontId="4" fillId="9" borderId="18" xfId="0" applyNumberFormat="1" applyFont="1" applyFill="1" applyBorder="1"/>
    <xf numFmtId="9" fontId="0" fillId="7" borderId="0" xfId="2" applyFont="1" applyFill="1" applyBorder="1"/>
    <xf numFmtId="1" fontId="0" fillId="7" borderId="0" xfId="0" applyNumberFormat="1" applyFill="1" applyBorder="1"/>
    <xf numFmtId="170" fontId="4" fillId="7" borderId="0" xfId="0" applyNumberFormat="1" applyFont="1" applyFill="1" applyBorder="1"/>
    <xf numFmtId="43" fontId="0" fillId="7" borderId="0" xfId="0" applyNumberFormat="1" applyFill="1" applyBorder="1"/>
    <xf numFmtId="171" fontId="0" fillId="7" borderId="0" xfId="0" applyNumberFormat="1" applyFill="1" applyBorder="1"/>
    <xf numFmtId="0" fontId="2" fillId="0" borderId="0" xfId="0" applyFont="1" applyAlignment="1">
      <alignment horizontal="center" vertical="center" wrapText="1"/>
    </xf>
    <xf numFmtId="0" fontId="0" fillId="0" borderId="0" xfId="0" applyAlignment="1">
      <alignment vertical="center" wrapText="1"/>
    </xf>
    <xf numFmtId="0" fontId="0" fillId="0" borderId="0" xfId="0" applyAlignment="1">
      <alignment horizontal="left" vertical="center" wrapText="1"/>
    </xf>
    <xf numFmtId="3" fontId="0" fillId="0" borderId="0" xfId="0" applyNumberFormat="1" applyAlignment="1">
      <alignment vertical="center" wrapText="1"/>
    </xf>
    <xf numFmtId="0" fontId="3" fillId="0" borderId="0" xfId="3" applyAlignment="1">
      <alignment vertical="center" wrapText="1"/>
    </xf>
    <xf numFmtId="3" fontId="2" fillId="0" borderId="0" xfId="0" applyNumberFormat="1" applyFont="1" applyAlignment="1">
      <alignment vertical="center" wrapText="1"/>
    </xf>
    <xf numFmtId="0" fontId="2" fillId="0" borderId="0" xfId="0" applyFont="1" applyAlignment="1">
      <alignment vertical="center" wrapText="1"/>
    </xf>
    <xf numFmtId="0" fontId="17" fillId="4" borderId="1" xfId="7" applyFont="1" applyFill="1" applyBorder="1" applyAlignment="1">
      <alignment vertical="center"/>
    </xf>
    <xf numFmtId="1" fontId="17" fillId="4" borderId="1" xfId="7" applyNumberFormat="1" applyFont="1" applyFill="1" applyBorder="1" applyAlignment="1">
      <alignment vertical="center"/>
    </xf>
    <xf numFmtId="0" fontId="0" fillId="2" borderId="0" xfId="0" applyFill="1" applyBorder="1"/>
    <xf numFmtId="1" fontId="17" fillId="0" borderId="1" xfId="7" applyNumberFormat="1" applyFont="1" applyBorder="1"/>
    <xf numFmtId="1" fontId="12" fillId="10" borderId="1" xfId="7" applyNumberFormat="1" applyFill="1" applyBorder="1"/>
    <xf numFmtId="0" fontId="12" fillId="10" borderId="0" xfId="7" applyFill="1"/>
    <xf numFmtId="0" fontId="0" fillId="10" borderId="16" xfId="0" applyFill="1" applyBorder="1" applyAlignment="1">
      <alignment horizontal="right" indent="1"/>
    </xf>
    <xf numFmtId="172" fontId="4" fillId="10" borderId="18" xfId="0" applyNumberFormat="1" applyFont="1" applyFill="1" applyBorder="1" applyAlignment="1">
      <alignment horizontal="right" vertical="center"/>
    </xf>
    <xf numFmtId="164" fontId="4" fillId="10" borderId="0" xfId="0" applyNumberFormat="1" applyFont="1" applyFill="1" applyBorder="1" applyAlignment="1">
      <alignment horizontal="right" vertical="center"/>
    </xf>
    <xf numFmtId="1" fontId="0" fillId="10" borderId="0" xfId="0" applyNumberFormat="1" applyFill="1" applyBorder="1"/>
    <xf numFmtId="0" fontId="0" fillId="10" borderId="0" xfId="0" applyFill="1" applyBorder="1"/>
    <xf numFmtId="1" fontId="4" fillId="10" borderId="18" xfId="0" applyNumberFormat="1" applyFont="1" applyFill="1" applyBorder="1"/>
    <xf numFmtId="1" fontId="4" fillId="10" borderId="0" xfId="0" applyNumberFormat="1" applyFont="1" applyFill="1" applyBorder="1"/>
    <xf numFmtId="2" fontId="17" fillId="2" borderId="1" xfId="7" applyNumberFormat="1" applyFont="1" applyFill="1" applyBorder="1" applyAlignment="1">
      <alignment vertical="center"/>
    </xf>
    <xf numFmtId="0" fontId="0" fillId="10" borderId="1" xfId="0" applyFill="1" applyBorder="1" applyAlignment="1">
      <alignment horizontal="left" indent="1"/>
    </xf>
    <xf numFmtId="0" fontId="0" fillId="10" borderId="16" xfId="0" applyFill="1" applyBorder="1" applyAlignment="1">
      <alignment horizontal="left" indent="1"/>
    </xf>
    <xf numFmtId="9" fontId="2" fillId="10" borderId="18" xfId="2" applyFont="1" applyFill="1" applyBorder="1"/>
    <xf numFmtId="9" fontId="4" fillId="10" borderId="1" xfId="2" applyFont="1" applyFill="1" applyBorder="1"/>
    <xf numFmtId="9" fontId="17" fillId="4" borderId="1" xfId="7" applyNumberFormat="1" applyFont="1" applyFill="1" applyBorder="1" applyAlignment="1">
      <alignment vertical="center"/>
    </xf>
    <xf numFmtId="169" fontId="4" fillId="8" borderId="18" xfId="0" applyNumberFormat="1" applyFont="1" applyFill="1" applyBorder="1"/>
    <xf numFmtId="0" fontId="0" fillId="10" borderId="16" xfId="0" applyFont="1" applyFill="1" applyBorder="1"/>
    <xf numFmtId="0" fontId="0" fillId="8" borderId="1" xfId="0" applyFill="1" applyBorder="1"/>
    <xf numFmtId="0" fontId="0" fillId="8" borderId="1" xfId="0" applyFill="1" applyBorder="1" applyAlignment="1">
      <alignment horizontal="right"/>
    </xf>
    <xf numFmtId="0" fontId="2" fillId="10" borderId="18" xfId="0" applyFont="1" applyFill="1" applyBorder="1"/>
    <xf numFmtId="0" fontId="2" fillId="10" borderId="0" xfId="0" applyFont="1" applyFill="1" applyBorder="1"/>
    <xf numFmtId="0" fontId="3" fillId="10" borderId="0" xfId="3" applyFill="1" applyBorder="1"/>
    <xf numFmtId="1" fontId="4" fillId="8" borderId="1" xfId="0" applyNumberFormat="1" applyFont="1" applyFill="1" applyBorder="1"/>
    <xf numFmtId="0" fontId="2" fillId="8" borderId="1" xfId="0" applyFont="1" applyFill="1" applyBorder="1"/>
    <xf numFmtId="1" fontId="2" fillId="8" borderId="18" xfId="0" applyNumberFormat="1" applyFont="1" applyFill="1" applyBorder="1"/>
    <xf numFmtId="165" fontId="6" fillId="8" borderId="18" xfId="0" applyNumberFormat="1" applyFont="1" applyFill="1" applyBorder="1"/>
    <xf numFmtId="1" fontId="6" fillId="8" borderId="18" xfId="0" applyNumberFormat="1" applyFont="1" applyFill="1" applyBorder="1"/>
    <xf numFmtId="0" fontId="0" fillId="8" borderId="16" xfId="0" applyFont="1" applyFill="1" applyBorder="1" applyAlignment="1">
      <alignment horizontal="left" indent="1"/>
    </xf>
    <xf numFmtId="0" fontId="0" fillId="10" borderId="16" xfId="0" applyFont="1" applyFill="1" applyBorder="1" applyAlignment="1">
      <alignment horizontal="left" indent="1"/>
    </xf>
    <xf numFmtId="0" fontId="2" fillId="10" borderId="0" xfId="0" applyFont="1" applyFill="1" applyBorder="1" applyAlignment="1">
      <alignment horizontal="left"/>
    </xf>
    <xf numFmtId="173" fontId="2" fillId="8" borderId="15" xfId="0" applyNumberFormat="1" applyFont="1" applyFill="1" applyBorder="1"/>
    <xf numFmtId="3" fontId="4" fillId="8" borderId="15" xfId="0" applyNumberFormat="1" applyFont="1" applyFill="1" applyBorder="1"/>
    <xf numFmtId="1" fontId="4" fillId="8" borderId="15" xfId="0" applyNumberFormat="1" applyFont="1" applyFill="1" applyBorder="1"/>
    <xf numFmtId="0" fontId="18" fillId="6" borderId="0" xfId="0" applyFont="1" applyFill="1" applyAlignment="1">
      <alignment horizontal="center" vertical="center"/>
    </xf>
    <xf numFmtId="0" fontId="18" fillId="6" borderId="0" xfId="0" applyFont="1" applyFill="1" applyBorder="1" applyAlignment="1">
      <alignment horizontal="center" vertical="center"/>
    </xf>
    <xf numFmtId="0" fontId="0" fillId="10" borderId="0" xfId="0" applyFill="1" applyBorder="1" applyAlignment="1">
      <alignment horizontal="center" vertical="center" wrapText="1"/>
    </xf>
    <xf numFmtId="0" fontId="3" fillId="10" borderId="0" xfId="3" applyFill="1" applyAlignment="1">
      <alignment horizontal="center" vertical="center" wrapText="1"/>
    </xf>
    <xf numFmtId="0" fontId="2" fillId="10" borderId="0" xfId="0" applyFont="1" applyFill="1" applyAlignment="1">
      <alignment horizontal="center" vertical="center" wrapText="1"/>
    </xf>
    <xf numFmtId="0" fontId="0" fillId="10" borderId="40" xfId="0" applyFill="1" applyBorder="1" applyAlignment="1">
      <alignment horizontal="center"/>
    </xf>
    <xf numFmtId="0" fontId="2" fillId="10" borderId="0" xfId="0" applyFont="1" applyFill="1" applyBorder="1" applyAlignment="1">
      <alignment horizontal="left"/>
    </xf>
    <xf numFmtId="0" fontId="23" fillId="0" borderId="0" xfId="0" applyFont="1" applyAlignment="1">
      <alignment horizontal="center" vertical="center" wrapText="1"/>
    </xf>
    <xf numFmtId="0" fontId="18" fillId="6" borderId="0" xfId="7" applyFont="1" applyFill="1" applyAlignment="1">
      <alignment horizontal="center"/>
    </xf>
    <xf numFmtId="0" fontId="18" fillId="6" borderId="0" xfId="0" applyFont="1" applyFill="1" applyBorder="1" applyAlignment="1">
      <alignment horizontal="center" vertical="center" wrapText="1"/>
    </xf>
    <xf numFmtId="1" fontId="22" fillId="6" borderId="8" xfId="7" applyNumberFormat="1" applyFont="1" applyFill="1" applyBorder="1" applyAlignment="1">
      <alignment horizontal="left" vertical="center"/>
    </xf>
    <xf numFmtId="0" fontId="0" fillId="7" borderId="0" xfId="0" applyFill="1" applyBorder="1" applyAlignment="1">
      <alignment horizontal="center" wrapText="1"/>
    </xf>
    <xf numFmtId="0" fontId="21" fillId="6" borderId="8" xfId="0" applyFont="1" applyFill="1" applyBorder="1" applyAlignment="1">
      <alignment horizontal="center" vertical="center"/>
    </xf>
    <xf numFmtId="0" fontId="21" fillId="6" borderId="0" xfId="0" applyFont="1" applyFill="1" applyAlignment="1">
      <alignment horizontal="center"/>
    </xf>
    <xf numFmtId="0" fontId="20" fillId="6" borderId="0" xfId="0" applyFont="1" applyFill="1" applyAlignment="1">
      <alignment horizontal="center" vertical="center"/>
    </xf>
    <xf numFmtId="0" fontId="2" fillId="0" borderId="0" xfId="0" applyFont="1" applyAlignment="1">
      <alignment horizontal="center" vertical="center" wrapText="1"/>
    </xf>
    <xf numFmtId="0" fontId="0" fillId="0" borderId="0" xfId="0" applyAlignment="1">
      <alignment vertical="center" wrapText="1"/>
    </xf>
    <xf numFmtId="0" fontId="25" fillId="0" borderId="0" xfId="0" applyFont="1" applyAlignment="1">
      <alignment horizontal="center" vertical="center" wrapText="1"/>
    </xf>
    <xf numFmtId="0" fontId="0" fillId="0" borderId="0" xfId="0" applyAlignment="1">
      <alignment horizontal="left" vertical="center" wrapText="1"/>
    </xf>
    <xf numFmtId="0" fontId="2" fillId="0" borderId="0" xfId="0" applyFont="1" applyAlignment="1">
      <alignment horizontal="left" vertical="center" wrapText="1"/>
    </xf>
    <xf numFmtId="0" fontId="12" fillId="10" borderId="0" xfId="7" applyFill="1" applyAlignment="1">
      <alignment horizontal="center"/>
    </xf>
    <xf numFmtId="0" fontId="12" fillId="0" borderId="6" xfId="7" applyBorder="1" applyAlignment="1">
      <alignment horizontal="left" vertical="center"/>
    </xf>
    <xf numFmtId="0" fontId="12" fillId="0" borderId="5" xfId="7" applyBorder="1" applyAlignment="1">
      <alignment horizontal="left" vertical="center"/>
    </xf>
    <xf numFmtId="0" fontId="12" fillId="0" borderId="4" xfId="7" applyBorder="1" applyAlignment="1">
      <alignment horizontal="left" vertical="center"/>
    </xf>
    <xf numFmtId="0" fontId="0" fillId="8" borderId="16" xfId="0" applyFont="1" applyFill="1" applyBorder="1" applyAlignment="1">
      <alignment horizontal="right" indent="1"/>
    </xf>
    <xf numFmtId="0" fontId="2" fillId="8" borderId="16" xfId="0" applyFont="1" applyFill="1" applyBorder="1" applyAlignment="1">
      <alignment horizontal="left"/>
    </xf>
  </cellXfs>
  <cellStyles count="11">
    <cellStyle name="Comma" xfId="1" builtinId="3"/>
    <cellStyle name="Comma 2" xfId="9"/>
    <cellStyle name="Currency" xfId="4" builtinId="4"/>
    <cellStyle name="Currency 2" xfId="10"/>
    <cellStyle name="Followed Hyperlink" xfId="5" builtinId="9" hidden="1"/>
    <cellStyle name="Followed Hyperlink" xfId="6" builtinId="9" hidden="1"/>
    <cellStyle name="Hyperlink" xfId="3" builtinId="8"/>
    <cellStyle name="Hyperlink 2" xfId="8"/>
    <cellStyle name="Normal" xfId="0" builtinId="0"/>
    <cellStyle name="Normal 2" xfId="7"/>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overlay val="0"/>
    </c:title>
    <c:autoTitleDeleted val="0"/>
    <c:plotArea>
      <c:layout>
        <c:manualLayout>
          <c:layoutTarget val="inner"/>
          <c:xMode val="edge"/>
          <c:yMode val="edge"/>
          <c:x val="0.164346311130519"/>
          <c:y val="0.152584646853334"/>
          <c:w val="0.717443014597179"/>
          <c:h val="0.657644366599841"/>
        </c:manualLayout>
      </c:layout>
      <c:lineChart>
        <c:grouping val="standard"/>
        <c:varyColors val="0"/>
        <c:ser>
          <c:idx val="2"/>
          <c:order val="0"/>
          <c:tx>
            <c:strRef>
              <c:f>'development plan (Wind)'!$C$13</c:f>
              <c:strCache>
                <c:ptCount val="1"/>
                <c:pt idx="0">
                  <c:v>cumulative ratio carbon saved/carbon burned</c:v>
                </c:pt>
              </c:strCache>
            </c:strRef>
          </c:tx>
          <c:marker>
            <c:symbol val="none"/>
          </c:marker>
          <c:dPt>
            <c:idx val="47"/>
            <c:bubble3D val="0"/>
            <c:spPr>
              <a:ln w="44450"/>
            </c:spPr>
          </c:dPt>
          <c:cat>
            <c:numRef>
              <c:f>'development plan (Wind)'!$A$14:$A$67</c:f>
              <c:numCache>
                <c:formatCode>General</c:formatCode>
                <c:ptCount val="54"/>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numCache>
            </c:numRef>
          </c:cat>
          <c:val>
            <c:numRef>
              <c:f>'development plan (Wind)'!$C$14:$C$67</c:f>
              <c:numCache>
                <c:formatCode>0%</c:formatCode>
                <c:ptCount val="54"/>
                <c:pt idx="0">
                  <c:v>0.0</c:v>
                </c:pt>
                <c:pt idx="1">
                  <c:v>0.012707035291178</c:v>
                </c:pt>
                <c:pt idx="2">
                  <c:v>0.0257866392690956</c:v>
                </c:pt>
                <c:pt idx="3">
                  <c:v>0.0392617157464622</c:v>
                </c:pt>
                <c:pt idx="4">
                  <c:v>0.0531441747058869</c:v>
                </c:pt>
                <c:pt idx="5">
                  <c:v>0.0674440938249616</c:v>
                </c:pt>
                <c:pt idx="6">
                  <c:v>0.0821814975799409</c:v>
                </c:pt>
                <c:pt idx="7">
                  <c:v>0.0973663982089521</c:v>
                </c:pt>
                <c:pt idx="8">
                  <c:v>0.113016573433289</c:v>
                </c:pt>
                <c:pt idx="9">
                  <c:v>0.129150019105794</c:v>
                </c:pt>
                <c:pt idx="10">
                  <c:v>0.145781518596489</c:v>
                </c:pt>
                <c:pt idx="11">
                  <c:v>0.162927035168777</c:v>
                </c:pt>
                <c:pt idx="12">
                  <c:v>0.180606077105092</c:v>
                </c:pt>
                <c:pt idx="13">
                  <c:v>0.198835196471483</c:v>
                </c:pt>
                <c:pt idx="14">
                  <c:v>0.217633860669784</c:v>
                </c:pt>
                <c:pt idx="15">
                  <c:v>0.237021251013914</c:v>
                </c:pt>
                <c:pt idx="16">
                  <c:v>0.257018502526341</c:v>
                </c:pt>
                <c:pt idx="17">
                  <c:v>0.277648161241261</c:v>
                </c:pt>
                <c:pt idx="18">
                  <c:v>0.298931884143602</c:v>
                </c:pt>
                <c:pt idx="19">
                  <c:v>0.320892493736358</c:v>
                </c:pt>
                <c:pt idx="20">
                  <c:v>0.343551955483886</c:v>
                </c:pt>
                <c:pt idx="21">
                  <c:v>0.366934904057087</c:v>
                </c:pt>
                <c:pt idx="22">
                  <c:v>0.391068063071111</c:v>
                </c:pt>
                <c:pt idx="23">
                  <c:v>0.415976756046945</c:v>
                </c:pt>
                <c:pt idx="24">
                  <c:v>0.441688118118268</c:v>
                </c:pt>
                <c:pt idx="25">
                  <c:v>0.468230747644404</c:v>
                </c:pt>
                <c:pt idx="26">
                  <c:v>0.4956344352426</c:v>
                </c:pt>
                <c:pt idx="27">
                  <c:v>0.523929950884832</c:v>
                </c:pt>
                <c:pt idx="28">
                  <c:v>0.553148875043539</c:v>
                </c:pt>
                <c:pt idx="29">
                  <c:v>0.583323463608213</c:v>
                </c:pt>
                <c:pt idx="30">
                  <c:v>0.614487721079432</c:v>
                </c:pt>
                <c:pt idx="31">
                  <c:v>0.64667712734838</c:v>
                </c:pt>
                <c:pt idx="32">
                  <c:v>0.679927303664928</c:v>
                </c:pt>
                <c:pt idx="33">
                  <c:v>0.714276147502547</c:v>
                </c:pt>
                <c:pt idx="34">
                  <c:v>0.749763507383513</c:v>
                </c:pt>
                <c:pt idx="35">
                  <c:v>0.786429893952675</c:v>
                </c:pt>
                <c:pt idx="36">
                  <c:v>0.824318371371718</c:v>
                </c:pt>
                <c:pt idx="37">
                  <c:v>0.86347229258798</c:v>
                </c:pt>
                <c:pt idx="38">
                  <c:v>0.903937141597855</c:v>
                </c:pt>
                <c:pt idx="39">
                  <c:v>0.945760267065652</c:v>
                </c:pt>
                <c:pt idx="40">
                  <c:v>0.988990654925076</c:v>
                </c:pt>
                <c:pt idx="41">
                  <c:v>1.033679605992398</c:v>
                </c:pt>
                <c:pt idx="42">
                  <c:v>1.079879614559176</c:v>
                </c:pt>
                <c:pt idx="43">
                  <c:v>1.127645898501892</c:v>
                </c:pt>
                <c:pt idx="44">
                  <c:v>1.177035282303626</c:v>
                </c:pt>
                <c:pt idx="45">
                  <c:v>1.228106819077254</c:v>
                </c:pt>
                <c:pt idx="46">
                  <c:v>1.280921553477174</c:v>
                </c:pt>
                <c:pt idx="47">
                  <c:v>1.335543077707485</c:v>
                </c:pt>
                <c:pt idx="48">
                  <c:v>1.392037271567942</c:v>
                </c:pt>
                <c:pt idx="49">
                  <c:v>1.450472806616391</c:v>
                </c:pt>
                <c:pt idx="50">
                  <c:v>1.510920872466997</c:v>
                </c:pt>
                <c:pt idx="51">
                  <c:v>1.573455639402145</c:v>
                </c:pt>
                <c:pt idx="52">
                  <c:v>1.638153285741468</c:v>
                </c:pt>
                <c:pt idx="53">
                  <c:v>1.705093847806934</c:v>
                </c:pt>
              </c:numCache>
            </c:numRef>
          </c:val>
          <c:smooth val="0"/>
        </c:ser>
        <c:dLbls>
          <c:showLegendKey val="0"/>
          <c:showVal val="0"/>
          <c:showCatName val="0"/>
          <c:showSerName val="0"/>
          <c:showPercent val="0"/>
          <c:showBubbleSize val="0"/>
        </c:dLbls>
        <c:hiLowLines/>
        <c:marker val="1"/>
        <c:smooth val="0"/>
        <c:axId val="465925816"/>
        <c:axId val="465911704"/>
      </c:lineChart>
      <c:catAx>
        <c:axId val="465925816"/>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502502128997602"/>
              <c:y val="0.897451216926575"/>
            </c:manualLayout>
          </c:layout>
          <c:overlay val="0"/>
        </c:title>
        <c:numFmt formatCode="General" sourceLinked="0"/>
        <c:majorTickMark val="in"/>
        <c:minorTickMark val="none"/>
        <c:tickLblPos val="nextTo"/>
        <c:crossAx val="465911704"/>
        <c:crosses val="autoZero"/>
        <c:auto val="0"/>
        <c:lblAlgn val="ctr"/>
        <c:lblOffset val="100"/>
        <c:tickLblSkip val="5"/>
        <c:tickMarkSkip val="5"/>
        <c:noMultiLvlLbl val="0"/>
      </c:catAx>
      <c:valAx>
        <c:axId val="465911704"/>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0.0397253920630969"/>
              <c:y val="0.146731296470949"/>
            </c:manualLayout>
          </c:layout>
          <c:overlay val="0"/>
        </c:title>
        <c:numFmt formatCode="0%" sourceLinked="1"/>
        <c:majorTickMark val="out"/>
        <c:minorTickMark val="none"/>
        <c:tickLblPos val="nextTo"/>
        <c:crossAx val="465925816"/>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layout/>
      <c:overlay val="0"/>
    </c:title>
    <c:autoTitleDeleted val="0"/>
    <c:plotArea>
      <c:layout>
        <c:manualLayout>
          <c:layoutTarget val="inner"/>
          <c:xMode val="edge"/>
          <c:yMode val="edge"/>
          <c:x val="0.164346311130519"/>
          <c:y val="0.152584646853334"/>
          <c:w val="0.717443014597179"/>
          <c:h val="0.657644366599841"/>
        </c:manualLayout>
      </c:layout>
      <c:lineChart>
        <c:grouping val="standard"/>
        <c:varyColors val="0"/>
        <c:ser>
          <c:idx val="2"/>
          <c:order val="0"/>
          <c:tx>
            <c:strRef>
              <c:f>'Dev Plan (Wind)'!$D$20</c:f>
              <c:strCache>
                <c:ptCount val="1"/>
                <c:pt idx="0">
                  <c:v>Cumulative ratio carbon saved/carbon burned</c:v>
                </c:pt>
              </c:strCache>
            </c:strRef>
          </c:tx>
          <c:marker>
            <c:symbol val="none"/>
          </c:marker>
          <c:dPt>
            <c:idx val="47"/>
            <c:bubble3D val="0"/>
            <c:spPr>
              <a:ln w="44450"/>
            </c:spPr>
          </c:dPt>
          <c:cat>
            <c:numRef>
              <c:f>'Dev Plan (Wind)'!$B$21:$B$74</c:f>
              <c:numCache>
                <c:formatCode>General</c:formatCode>
                <c:ptCount val="54"/>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numCache>
            </c:numRef>
          </c:cat>
          <c:val>
            <c:numRef>
              <c:f>'Dev Plan (Wind)'!$D$21:$D$74</c:f>
              <c:numCache>
                <c:formatCode>0%</c:formatCode>
                <c:ptCount val="54"/>
                <c:pt idx="0">
                  <c:v>0.0</c:v>
                </c:pt>
                <c:pt idx="1">
                  <c:v>0.012707035291178</c:v>
                </c:pt>
                <c:pt idx="2">
                  <c:v>0.0257866392690956</c:v>
                </c:pt>
                <c:pt idx="3">
                  <c:v>0.0392617157464622</c:v>
                </c:pt>
                <c:pt idx="4">
                  <c:v>0.0531441747058869</c:v>
                </c:pt>
                <c:pt idx="5">
                  <c:v>0.0674440938249616</c:v>
                </c:pt>
                <c:pt idx="6">
                  <c:v>0.0821814975799409</c:v>
                </c:pt>
                <c:pt idx="7">
                  <c:v>0.0973663982089521</c:v>
                </c:pt>
                <c:pt idx="8">
                  <c:v>0.113016573433289</c:v>
                </c:pt>
                <c:pt idx="9">
                  <c:v>0.129150019105794</c:v>
                </c:pt>
                <c:pt idx="10">
                  <c:v>0.145781518596488</c:v>
                </c:pt>
                <c:pt idx="11">
                  <c:v>0.162927035168777</c:v>
                </c:pt>
                <c:pt idx="12">
                  <c:v>0.180606077105092</c:v>
                </c:pt>
                <c:pt idx="13">
                  <c:v>0.198835196471483</c:v>
                </c:pt>
                <c:pt idx="14">
                  <c:v>0.217633860669784</c:v>
                </c:pt>
                <c:pt idx="15">
                  <c:v>0.237021251013914</c:v>
                </c:pt>
                <c:pt idx="16">
                  <c:v>0.257018502526341</c:v>
                </c:pt>
                <c:pt idx="17">
                  <c:v>0.277648161241261</c:v>
                </c:pt>
                <c:pt idx="18">
                  <c:v>0.298931884143603</c:v>
                </c:pt>
                <c:pt idx="19">
                  <c:v>0.320892493736358</c:v>
                </c:pt>
                <c:pt idx="20">
                  <c:v>0.343551955483886</c:v>
                </c:pt>
                <c:pt idx="21">
                  <c:v>0.3657788861647</c:v>
                </c:pt>
                <c:pt idx="22">
                  <c:v>0.387652009196401</c:v>
                </c:pt>
                <c:pt idx="23">
                  <c:v>0.409233873585296</c:v>
                </c:pt>
                <c:pt idx="24">
                  <c:v>0.430575554652669</c:v>
                </c:pt>
                <c:pt idx="25">
                  <c:v>0.451720269978068</c:v>
                </c:pt>
                <c:pt idx="26">
                  <c:v>0.472700762747737</c:v>
                </c:pt>
                <c:pt idx="27">
                  <c:v>0.493545098549887</c:v>
                </c:pt>
                <c:pt idx="28">
                  <c:v>0.514274944539847</c:v>
                </c:pt>
                <c:pt idx="29">
                  <c:v>0.534906635845548</c:v>
                </c:pt>
                <c:pt idx="30">
                  <c:v>0.555454399836476</c:v>
                </c:pt>
                <c:pt idx="31">
                  <c:v>0.575927249889029</c:v>
                </c:pt>
                <c:pt idx="32">
                  <c:v>0.59633088587335</c:v>
                </c:pt>
                <c:pt idx="33">
                  <c:v>0.616668181433666</c:v>
                </c:pt>
                <c:pt idx="34">
                  <c:v>0.636938540703405</c:v>
                </c:pt>
                <c:pt idx="35">
                  <c:v>0.657139398128931</c:v>
                </c:pt>
                <c:pt idx="36">
                  <c:v>0.677265494208323</c:v>
                </c:pt>
                <c:pt idx="37">
                  <c:v>0.697308265587196</c:v>
                </c:pt>
                <c:pt idx="38">
                  <c:v>0.717258147916726</c:v>
                </c:pt>
                <c:pt idx="39">
                  <c:v>0.737102868672938</c:v>
                </c:pt>
                <c:pt idx="40">
                  <c:v>0.756828671229294</c:v>
                </c:pt>
                <c:pt idx="41">
                  <c:v>0.776417873956971</c:v>
                </c:pt>
                <c:pt idx="42">
                  <c:v>0.795878302606793</c:v>
                </c:pt>
                <c:pt idx="43">
                  <c:v>0.815215405765856</c:v>
                </c:pt>
                <c:pt idx="44">
                  <c:v>0.834434147702403</c:v>
                </c:pt>
                <c:pt idx="45">
                  <c:v>0.853538264354822</c:v>
                </c:pt>
                <c:pt idx="46">
                  <c:v>0.872531173709298</c:v>
                </c:pt>
                <c:pt idx="47">
                  <c:v>0.891415245459412</c:v>
                </c:pt>
                <c:pt idx="48">
                  <c:v>0.910192655854368</c:v>
                </c:pt>
                <c:pt idx="49">
                  <c:v>0.928863941199423</c:v>
                </c:pt>
                <c:pt idx="50">
                  <c:v>0.947429595736675</c:v>
                </c:pt>
                <c:pt idx="51">
                  <c:v>0.9658900756896</c:v>
                </c:pt>
                <c:pt idx="52">
                  <c:v>0.984245111413857</c:v>
                </c:pt>
                <c:pt idx="53">
                  <c:v>1.002495131870248</c:v>
                </c:pt>
              </c:numCache>
            </c:numRef>
          </c:val>
          <c:smooth val="0"/>
        </c:ser>
        <c:dLbls>
          <c:showLegendKey val="0"/>
          <c:showVal val="0"/>
          <c:showCatName val="0"/>
          <c:showSerName val="0"/>
          <c:showPercent val="0"/>
          <c:showBubbleSize val="0"/>
        </c:dLbls>
        <c:hiLowLines/>
        <c:marker val="1"/>
        <c:smooth val="0"/>
        <c:axId val="466086328"/>
        <c:axId val="466091912"/>
      </c:lineChart>
      <c:catAx>
        <c:axId val="466086328"/>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479585465879265"/>
              <c:y val="0.904984207482539"/>
            </c:manualLayout>
          </c:layout>
          <c:overlay val="0"/>
        </c:title>
        <c:numFmt formatCode="General" sourceLinked="0"/>
        <c:majorTickMark val="in"/>
        <c:minorTickMark val="none"/>
        <c:tickLblPos val="nextTo"/>
        <c:crossAx val="466091912"/>
        <c:crosses val="autoZero"/>
        <c:auto val="0"/>
        <c:lblAlgn val="ctr"/>
        <c:lblOffset val="100"/>
        <c:tickLblSkip val="5"/>
        <c:tickMarkSkip val="5"/>
        <c:noMultiLvlLbl val="0"/>
      </c:catAx>
      <c:valAx>
        <c:axId val="466091912"/>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0.0404976037168019"/>
              <c:y val="0.109066536174504"/>
            </c:manualLayout>
          </c:layout>
          <c:overlay val="0"/>
        </c:title>
        <c:numFmt formatCode="0%" sourceLinked="1"/>
        <c:majorTickMark val="out"/>
        <c:minorTickMark val="none"/>
        <c:tickLblPos val="nextTo"/>
        <c:crossAx val="466086328"/>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Offsetting</a:t>
            </a:r>
            <a:r>
              <a:rPr lang="en-US" baseline="0">
                <a:latin typeface="Arial" panose="020B0604020202020204" pitchFamily="34" charset="0"/>
                <a:cs typeface="Arial" panose="020B0604020202020204" pitchFamily="34" charset="0"/>
              </a:rPr>
              <a:t> Oil Sands CO2 Production</a:t>
            </a:r>
          </a:p>
        </c:rich>
      </c:tx>
      <c:layout/>
      <c:overlay val="0"/>
    </c:title>
    <c:autoTitleDeleted val="0"/>
    <c:plotArea>
      <c:layout>
        <c:manualLayout>
          <c:layoutTarget val="inner"/>
          <c:xMode val="edge"/>
          <c:yMode val="edge"/>
          <c:x val="0.164346311130519"/>
          <c:y val="0.152584646853334"/>
          <c:w val="0.717443014597179"/>
          <c:h val="0.657644366599841"/>
        </c:manualLayout>
      </c:layout>
      <c:lineChart>
        <c:grouping val="standard"/>
        <c:varyColors val="0"/>
        <c:ser>
          <c:idx val="2"/>
          <c:order val="0"/>
          <c:tx>
            <c:strRef>
              <c:f>'Dev Plan (Wind)'!$O$20</c:f>
              <c:strCache>
                <c:ptCount val="1"/>
                <c:pt idx="0">
                  <c:v>Marginal carbon offset ratio</c:v>
                </c:pt>
              </c:strCache>
            </c:strRef>
          </c:tx>
          <c:marker>
            <c:symbol val="none"/>
          </c:marker>
          <c:dPt>
            <c:idx val="47"/>
            <c:bubble3D val="0"/>
            <c:spPr>
              <a:ln w="44450"/>
            </c:spPr>
          </c:dPt>
          <c:cat>
            <c:numRef>
              <c:f>'Dev Plan (Wind)'!$B$21:$B$74</c:f>
              <c:numCache>
                <c:formatCode>General</c:formatCode>
                <c:ptCount val="54"/>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numCache>
            </c:numRef>
          </c:cat>
          <c:val>
            <c:numRef>
              <c:f>'Dev Plan (Wind)'!$O$21:$O$80</c:f>
              <c:numCache>
                <c:formatCode>0%</c:formatCode>
                <c:ptCount val="60"/>
                <c:pt idx="0">
                  <c:v>0.0</c:v>
                </c:pt>
                <c:pt idx="1">
                  <c:v>0.0889249660790906</c:v>
                </c:pt>
                <c:pt idx="2">
                  <c:v>0.180457201050671</c:v>
                </c:pt>
                <c:pt idx="3">
                  <c:v>0.274756987838459</c:v>
                </c:pt>
                <c:pt idx="4">
                  <c:v>0.371907673562789</c:v>
                </c:pt>
                <c:pt idx="5">
                  <c:v>0.471979782710098</c:v>
                </c:pt>
                <c:pt idx="6">
                  <c:v>0.575113448350835</c:v>
                </c:pt>
                <c:pt idx="7">
                  <c:v>0.681378737020227</c:v>
                </c:pt>
                <c:pt idx="8">
                  <c:v>0.79090005879716</c:v>
                </c:pt>
                <c:pt idx="9">
                  <c:v>0.903803350264557</c:v>
                </c:pt>
                <c:pt idx="10">
                  <c:v>1.020192066764088</c:v>
                </c:pt>
                <c:pt idx="11">
                  <c:v>1.14017792063653</c:v>
                </c:pt>
                <c:pt idx="12">
                  <c:v>1.263897432581943</c:v>
                </c:pt>
                <c:pt idx="13">
                  <c:v>1.391466435434512</c:v>
                </c:pt>
                <c:pt idx="14">
                  <c:v>1.523021163808228</c:v>
                </c:pt>
                <c:pt idx="15">
                  <c:v>1.658695850248328</c:v>
                </c:pt>
                <c:pt idx="16">
                  <c:v>1.798638399526692</c:v>
                </c:pt>
                <c:pt idx="17">
                  <c:v>1.943006590801105</c:v>
                </c:pt>
                <c:pt idx="18">
                  <c:v>2.091951981583287</c:v>
                </c:pt>
                <c:pt idx="19">
                  <c:v>2.245634285784307</c:v>
                </c:pt>
                <c:pt idx="20">
                  <c:v>2.404207219682455</c:v>
                </c:pt>
                <c:pt idx="21">
                  <c:v>2.559753262606087</c:v>
                </c:pt>
                <c:pt idx="22">
                  <c:v>2.7128233280515</c:v>
                </c:pt>
                <c:pt idx="23">
                  <c:v>2.863855139542448</c:v>
                </c:pt>
                <c:pt idx="24">
                  <c:v>3.013206126731764</c:v>
                </c:pt>
                <c:pt idx="25">
                  <c:v>3.161178730094922</c:v>
                </c:pt>
                <c:pt idx="26">
                  <c:v>3.308002089369036</c:v>
                </c:pt>
                <c:pt idx="27">
                  <c:v>3.453872610043061</c:v>
                </c:pt>
                <c:pt idx="28">
                  <c:v>3.5989419208021</c:v>
                </c:pt>
                <c:pt idx="29">
                  <c:v>3.743324336328044</c:v>
                </c:pt>
                <c:pt idx="30">
                  <c:v>3.88711942102125</c:v>
                </c:pt>
                <c:pt idx="31">
                  <c:v>4.030390251293474</c:v>
                </c:pt>
                <c:pt idx="32">
                  <c:v>4.173176715344261</c:v>
                </c:pt>
                <c:pt idx="33">
                  <c:v>4.315498923192154</c:v>
                </c:pt>
                <c:pt idx="34">
                  <c:v>4.457352704909754</c:v>
                </c:pt>
                <c:pt idx="35">
                  <c:v>4.598720106523926</c:v>
                </c:pt>
                <c:pt idx="36">
                  <c:v>4.739564321571237</c:v>
                </c:pt>
                <c:pt idx="37">
                  <c:v>4.87982542293409</c:v>
                </c:pt>
                <c:pt idx="38">
                  <c:v>5.019436478446541</c:v>
                </c:pt>
                <c:pt idx="39">
                  <c:v>5.158311603891446</c:v>
                </c:pt>
                <c:pt idx="40">
                  <c:v>5.296354529169583</c:v>
                </c:pt>
                <c:pt idx="41">
                  <c:v>5.433441516665757</c:v>
                </c:pt>
                <c:pt idx="42">
                  <c:v>5.56962733168206</c:v>
                </c:pt>
                <c:pt idx="43">
                  <c:v>5.704950103916853</c:v>
                </c:pt>
                <c:pt idx="44">
                  <c:v>5.839444573761972</c:v>
                </c:pt>
                <c:pt idx="45">
                  <c:v>5.973136885647403</c:v>
                </c:pt>
                <c:pt idx="46">
                  <c:v>6.106050958945258</c:v>
                </c:pt>
                <c:pt idx="47">
                  <c:v>6.238203376982517</c:v>
                </c:pt>
                <c:pt idx="48">
                  <c:v>6.369609369345183</c:v>
                </c:pt>
                <c:pt idx="49">
                  <c:v>6.500272689145258</c:v>
                </c:pt>
                <c:pt idx="50">
                  <c:v>6.63019679513302</c:v>
                </c:pt>
                <c:pt idx="51">
                  <c:v>6.759384880001035</c:v>
                </c:pt>
                <c:pt idx="52">
                  <c:v>6.887835056754164</c:v>
                </c:pt>
                <c:pt idx="53">
                  <c:v>7.015550327298352</c:v>
                </c:pt>
                <c:pt idx="54">
                  <c:v>7.142528812443151</c:v>
                </c:pt>
                <c:pt idx="55">
                  <c:v>7.268764187713891</c:v>
                </c:pt>
                <c:pt idx="56">
                  <c:v>7.394255071628482</c:v>
                </c:pt>
                <c:pt idx="57">
                  <c:v>7.519000177979455</c:v>
                </c:pt>
                <c:pt idx="58">
                  <c:v>7.64299396110429</c:v>
                </c:pt>
                <c:pt idx="59">
                  <c:v>7.766235519262602</c:v>
                </c:pt>
              </c:numCache>
            </c:numRef>
          </c:val>
          <c:smooth val="0"/>
        </c:ser>
        <c:dLbls>
          <c:showLegendKey val="0"/>
          <c:showVal val="0"/>
          <c:showCatName val="0"/>
          <c:showSerName val="0"/>
          <c:showPercent val="0"/>
          <c:showBubbleSize val="0"/>
        </c:dLbls>
        <c:hiLowLines/>
        <c:marker val="1"/>
        <c:smooth val="0"/>
        <c:axId val="466126824"/>
        <c:axId val="466132408"/>
      </c:lineChart>
      <c:catAx>
        <c:axId val="466126824"/>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502502128997602"/>
              <c:y val="0.897451216926575"/>
            </c:manualLayout>
          </c:layout>
          <c:overlay val="0"/>
        </c:title>
        <c:numFmt formatCode="General" sourceLinked="0"/>
        <c:majorTickMark val="in"/>
        <c:minorTickMark val="none"/>
        <c:tickLblPos val="nextTo"/>
        <c:crossAx val="466132408"/>
        <c:crosses val="autoZero"/>
        <c:auto val="0"/>
        <c:lblAlgn val="ctr"/>
        <c:lblOffset val="100"/>
        <c:tickLblSkip val="5"/>
        <c:tickMarkSkip val="5"/>
        <c:noMultiLvlLbl val="0"/>
      </c:catAx>
      <c:valAx>
        <c:axId val="466132408"/>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0.0397253920630969"/>
              <c:y val="0.146731296470949"/>
            </c:manualLayout>
          </c:layout>
          <c:overlay val="0"/>
        </c:title>
        <c:numFmt formatCode="0%" sourceLinked="1"/>
        <c:majorTickMark val="out"/>
        <c:minorTickMark val="none"/>
        <c:tickLblPos val="nextTo"/>
        <c:crossAx val="466126824"/>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Cumulative Ratio Carbon Saved vs Carbon Burned</a:t>
            </a:r>
          </a:p>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Using $0.05/kWh Reinvestment Policy</a:t>
            </a:r>
            <a:endParaRPr lang="en-CA">
              <a:effectLst/>
            </a:endParaRPr>
          </a:p>
        </c:rich>
      </c:tx>
      <c:overlay val="1"/>
    </c:title>
    <c:autoTitleDeleted val="0"/>
    <c:plotArea>
      <c:layout>
        <c:manualLayout>
          <c:layoutTarget val="inner"/>
          <c:xMode val="edge"/>
          <c:yMode val="edge"/>
          <c:x val="0.187341734053901"/>
          <c:y val="0.199271068839167"/>
          <c:w val="0.604663358022623"/>
          <c:h val="0.648399729736753"/>
        </c:manualLayout>
      </c:layout>
      <c:scatterChart>
        <c:scatterStyle val="smoothMarker"/>
        <c:varyColors val="0"/>
        <c:ser>
          <c:idx val="0"/>
          <c:order val="0"/>
          <c:tx>
            <c:v>$10/bbl</c:v>
          </c:tx>
          <c:marker>
            <c:symbol val="none"/>
          </c:marker>
          <c:xVal>
            <c:numRef>
              <c:f>'Wind Graphs'!$B$5:$B$64</c:f>
              <c:numCache>
                <c:formatCode>General</c:formatCode>
                <c:ptCount val="6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numCache>
            </c:numRef>
          </c:xVal>
          <c:yVal>
            <c:numRef>
              <c:f>'Wind Graphs'!$C$5:$C$64</c:f>
              <c:numCache>
                <c:formatCode>0%</c:formatCode>
                <c:ptCount val="60"/>
                <c:pt idx="0">
                  <c:v>0.0</c:v>
                </c:pt>
                <c:pt idx="1">
                  <c:v>0.00635351764558898</c:v>
                </c:pt>
                <c:pt idx="2">
                  <c:v>0.0128933196345478</c:v>
                </c:pt>
                <c:pt idx="3">
                  <c:v>0.0196262771106892</c:v>
                </c:pt>
                <c:pt idx="4">
                  <c:v>0.0265610935228429</c:v>
                </c:pt>
                <c:pt idx="5">
                  <c:v>0.0337067777040079</c:v>
                </c:pt>
                <c:pt idx="6">
                  <c:v>0.0410724257398029</c:v>
                </c:pt>
                <c:pt idx="7">
                  <c:v>0.0486625856730376</c:v>
                </c:pt>
                <c:pt idx="8">
                  <c:v>0.0564838559830876</c:v>
                </c:pt>
                <c:pt idx="9">
                  <c:v>0.064543860367612</c:v>
                </c:pt>
                <c:pt idx="10">
                  <c:v>0.0728541131979092</c:v>
                </c:pt>
                <c:pt idx="11">
                  <c:v>0.0814222907215115</c:v>
                </c:pt>
                <c:pt idx="12">
                  <c:v>0.0902565261944286</c:v>
                </c:pt>
                <c:pt idx="13">
                  <c:v>0.0993652466638343</c:v>
                </c:pt>
                <c:pt idx="14">
                  <c:v>0.108759518111034</c:v>
                </c:pt>
                <c:pt idx="15">
                  <c:v>0.118447640022006</c:v>
                </c:pt>
                <c:pt idx="16">
                  <c:v>0.128440270368422</c:v>
                </c:pt>
                <c:pt idx="17">
                  <c:v>0.138747734578266</c:v>
                </c:pt>
                <c:pt idx="18">
                  <c:v>0.149382041789455</c:v>
                </c:pt>
                <c:pt idx="19">
                  <c:v>0.160354631617341</c:v>
                </c:pt>
                <c:pt idx="20">
                  <c:v>0.171676509755319</c:v>
                </c:pt>
                <c:pt idx="21">
                  <c:v>0.183360012325289</c:v>
                </c:pt>
                <c:pt idx="22">
                  <c:v>0.195418516654065</c:v>
                </c:pt>
                <c:pt idx="23">
                  <c:v>0.207864697434841</c:v>
                </c:pt>
                <c:pt idx="24">
                  <c:v>0.220712133097928</c:v>
                </c:pt>
                <c:pt idx="25">
                  <c:v>0.233975132015151</c:v>
                </c:pt>
                <c:pt idx="26">
                  <c:v>0.247668597325497</c:v>
                </c:pt>
                <c:pt idx="27">
                  <c:v>0.261807920726695</c:v>
                </c:pt>
                <c:pt idx="28">
                  <c:v>0.276408898240946</c:v>
                </c:pt>
                <c:pt idx="29">
                  <c:v>0.291487662827515</c:v>
                </c:pt>
                <c:pt idx="30">
                  <c:v>0.307060630038041</c:v>
                </c:pt>
                <c:pt idx="31">
                  <c:v>0.323145599052113</c:v>
                </c:pt>
                <c:pt idx="32">
                  <c:v>0.339760432548788</c:v>
                </c:pt>
                <c:pt idx="33">
                  <c:v>0.356924125194905</c:v>
                </c:pt>
                <c:pt idx="34">
                  <c:v>0.374656641932555</c:v>
                </c:pt>
                <c:pt idx="35">
                  <c:v>0.392978783218623</c:v>
                </c:pt>
                <c:pt idx="36">
                  <c:v>0.411911081682239</c:v>
                </c:pt>
                <c:pt idx="37">
                  <c:v>0.431475766107399</c:v>
                </c:pt>
                <c:pt idx="38">
                  <c:v>0.451695604333611</c:v>
                </c:pt>
                <c:pt idx="39">
                  <c:v>0.472593835873958</c:v>
                </c:pt>
                <c:pt idx="40">
                  <c:v>0.494195008201255</c:v>
                </c:pt>
                <c:pt idx="41">
                  <c:v>0.516524821038557</c:v>
                </c:pt>
                <c:pt idx="42">
                  <c:v>0.539609992376572</c:v>
                </c:pt>
                <c:pt idx="43">
                  <c:v>0.563477309895513</c:v>
                </c:pt>
                <c:pt idx="44">
                  <c:v>0.588155251937389</c:v>
                </c:pt>
                <c:pt idx="45">
                  <c:v>0.613673803738417</c:v>
                </c:pt>
                <c:pt idx="46">
                  <c:v>0.640063517416869</c:v>
                </c:pt>
                <c:pt idx="47">
                  <c:v>0.667356216383279</c:v>
                </c:pt>
                <c:pt idx="48">
                  <c:v>0.69558486561674</c:v>
                </c:pt>
                <c:pt idx="49">
                  <c:v>0.724783457508054</c:v>
                </c:pt>
                <c:pt idx="50">
                  <c:v>0.754987629684077</c:v>
                </c:pt>
                <c:pt idx="51">
                  <c:v>0.786234506811947</c:v>
                </c:pt>
                <c:pt idx="52">
                  <c:v>0.81856256031226</c:v>
                </c:pt>
                <c:pt idx="53">
                  <c:v>0.852011483659683</c:v>
                </c:pt>
                <c:pt idx="54">
                  <c:v>0.886622081287122</c:v>
                </c:pt>
                <c:pt idx="55">
                  <c:v>0.922437478182327</c:v>
                </c:pt>
                <c:pt idx="56">
                  <c:v>0.959502273416403</c:v>
                </c:pt>
                <c:pt idx="57">
                  <c:v>0.997862413067659</c:v>
                </c:pt>
                <c:pt idx="58">
                  <c:v>1.037566318309149</c:v>
                </c:pt>
                <c:pt idx="59">
                  <c:v>1.078663457614094</c:v>
                </c:pt>
              </c:numCache>
            </c:numRef>
          </c:yVal>
          <c:smooth val="1"/>
        </c:ser>
        <c:ser>
          <c:idx val="1"/>
          <c:order val="1"/>
          <c:tx>
            <c:v>$15/bbl</c:v>
          </c:tx>
          <c:marker>
            <c:symbol val="none"/>
          </c:marker>
          <c:xVal>
            <c:numRef>
              <c:f>'Wind Graphs'!$B$5:$B$64</c:f>
              <c:numCache>
                <c:formatCode>General</c:formatCode>
                <c:ptCount val="6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numCache>
            </c:numRef>
          </c:xVal>
          <c:yVal>
            <c:numRef>
              <c:f>'Wind Graphs'!$D$5:$D$64</c:f>
              <c:numCache>
                <c:formatCode>0%</c:formatCode>
                <c:ptCount val="60"/>
                <c:pt idx="0">
                  <c:v>0.0</c:v>
                </c:pt>
                <c:pt idx="1">
                  <c:v>0.00953027646838347</c:v>
                </c:pt>
                <c:pt idx="2">
                  <c:v>0.0193399794518217</c:v>
                </c:pt>
                <c:pt idx="3">
                  <c:v>0.0294394156660339</c:v>
                </c:pt>
                <c:pt idx="4">
                  <c:v>0.0398453048942979</c:v>
                </c:pt>
                <c:pt idx="5">
                  <c:v>0.0505693280810956</c:v>
                </c:pt>
                <c:pt idx="6">
                  <c:v>0.0616217265026812</c:v>
                </c:pt>
                <c:pt idx="7">
                  <c:v>0.0730122015597239</c:v>
                </c:pt>
                <c:pt idx="8">
                  <c:v>0.0847502147081881</c:v>
                </c:pt>
                <c:pt idx="9">
                  <c:v>0.0968487720417195</c:v>
                </c:pt>
                <c:pt idx="10">
                  <c:v>0.109319481629032</c:v>
                </c:pt>
                <c:pt idx="11">
                  <c:v>0.122176189865992</c:v>
                </c:pt>
                <c:pt idx="12">
                  <c:v>0.135431301649761</c:v>
                </c:pt>
                <c:pt idx="13">
                  <c:v>0.149098912778361</c:v>
                </c:pt>
                <c:pt idx="14">
                  <c:v>0.163194246317053</c:v>
                </c:pt>
                <c:pt idx="15">
                  <c:v>0.177731009946054</c:v>
                </c:pt>
                <c:pt idx="16">
                  <c:v>0.19272615296794</c:v>
                </c:pt>
                <c:pt idx="17">
                  <c:v>0.208194894068069</c:v>
                </c:pt>
                <c:pt idx="18">
                  <c:v>0.224153105482283</c:v>
                </c:pt>
                <c:pt idx="19">
                  <c:v>0.240618981914308</c:v>
                </c:pt>
                <c:pt idx="20">
                  <c:v>0.257608997462412</c:v>
                </c:pt>
                <c:pt idx="21">
                  <c:v>0.275141628129771</c:v>
                </c:pt>
                <c:pt idx="22">
                  <c:v>0.293236916627747</c:v>
                </c:pt>
                <c:pt idx="23">
                  <c:v>0.311914619057504</c:v>
                </c:pt>
                <c:pt idx="24">
                  <c:v>0.331194262232045</c:v>
                </c:pt>
                <c:pt idx="25">
                  <c:v>0.351098006700886</c:v>
                </c:pt>
                <c:pt idx="26">
                  <c:v>0.371647444495122</c:v>
                </c:pt>
                <c:pt idx="27">
                  <c:v>0.39286500943787</c:v>
                </c:pt>
                <c:pt idx="28">
                  <c:v>0.414775095666346</c:v>
                </c:pt>
                <c:pt idx="29">
                  <c:v>0.437401287839491</c:v>
                </c:pt>
                <c:pt idx="30">
                  <c:v>0.460768855963526</c:v>
                </c:pt>
                <c:pt idx="31">
                  <c:v>0.484904492056434</c:v>
                </c:pt>
                <c:pt idx="32">
                  <c:v>0.509836094691635</c:v>
                </c:pt>
                <c:pt idx="33">
                  <c:v>0.535591513736883</c:v>
                </c:pt>
                <c:pt idx="34">
                  <c:v>0.562200651375091</c:v>
                </c:pt>
                <c:pt idx="35">
                  <c:v>0.589694159113334</c:v>
                </c:pt>
                <c:pt idx="36">
                  <c:v>0.61810333652282</c:v>
                </c:pt>
                <c:pt idx="37">
                  <c:v>0.647461974709421</c:v>
                </c:pt>
                <c:pt idx="38">
                  <c:v>0.677804157598955</c:v>
                </c:pt>
                <c:pt idx="39">
                  <c:v>0.709165141487196</c:v>
                </c:pt>
                <c:pt idx="40">
                  <c:v>0.741581212067937</c:v>
                </c:pt>
                <c:pt idx="41">
                  <c:v>0.775090434411798</c:v>
                </c:pt>
                <c:pt idx="42">
                  <c:v>0.809732446061947</c:v>
                </c:pt>
                <c:pt idx="43">
                  <c:v>0.845549111209952</c:v>
                </c:pt>
                <c:pt idx="44">
                  <c:v>0.882582644574837</c:v>
                </c:pt>
                <c:pt idx="45">
                  <c:v>0.920877166610977</c:v>
                </c:pt>
                <c:pt idx="46">
                  <c:v>0.96047928047456</c:v>
                </c:pt>
                <c:pt idx="47">
                  <c:v>1.001436286487968</c:v>
                </c:pt>
                <c:pt idx="48">
                  <c:v>1.043797606759565</c:v>
                </c:pt>
                <c:pt idx="49">
                  <c:v>1.087614573005098</c:v>
                </c:pt>
                <c:pt idx="50">
                  <c:v>1.132940957882278</c:v>
                </c:pt>
                <c:pt idx="51">
                  <c:v>1.17983203555212</c:v>
                </c:pt>
                <c:pt idx="52">
                  <c:v>1.22834513146354</c:v>
                </c:pt>
                <c:pt idx="53">
                  <c:v>1.278540111050786</c:v>
                </c:pt>
                <c:pt idx="54">
                  <c:v>1.330478482532943</c:v>
                </c:pt>
                <c:pt idx="55">
                  <c:v>1.384224559026009</c:v>
                </c:pt>
                <c:pt idx="56">
                  <c:v>1.439845212499313</c:v>
                </c:pt>
                <c:pt idx="57">
                  <c:v>1.497410285014023</c:v>
                </c:pt>
                <c:pt idx="58">
                  <c:v>1.556991715900104</c:v>
                </c:pt>
                <c:pt idx="59">
                  <c:v>1.618663977752256</c:v>
                </c:pt>
              </c:numCache>
            </c:numRef>
          </c:yVal>
          <c:smooth val="1"/>
        </c:ser>
        <c:ser>
          <c:idx val="2"/>
          <c:order val="2"/>
          <c:tx>
            <c:v>$20/bbl</c:v>
          </c:tx>
          <c:marker>
            <c:symbol val="none"/>
          </c:marker>
          <c:xVal>
            <c:numRef>
              <c:f>'Wind Graphs'!$B$5:$B$64</c:f>
              <c:numCache>
                <c:formatCode>General</c:formatCode>
                <c:ptCount val="6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numCache>
            </c:numRef>
          </c:xVal>
          <c:yVal>
            <c:numRef>
              <c:f>'Wind Graphs'!$E$5:$E$64</c:f>
              <c:numCache>
                <c:formatCode>0%</c:formatCode>
                <c:ptCount val="60"/>
                <c:pt idx="0">
                  <c:v>0.0</c:v>
                </c:pt>
                <c:pt idx="1">
                  <c:v>0.012707035291178</c:v>
                </c:pt>
                <c:pt idx="2">
                  <c:v>0.0257866392690956</c:v>
                </c:pt>
                <c:pt idx="3">
                  <c:v>0.0392617157464622</c:v>
                </c:pt>
                <c:pt idx="4">
                  <c:v>0.0531441747058869</c:v>
                </c:pt>
                <c:pt idx="5">
                  <c:v>0.0674440938249616</c:v>
                </c:pt>
                <c:pt idx="6">
                  <c:v>0.0821814975799409</c:v>
                </c:pt>
                <c:pt idx="7">
                  <c:v>0.0973663982089521</c:v>
                </c:pt>
                <c:pt idx="8">
                  <c:v>0.113016573433289</c:v>
                </c:pt>
                <c:pt idx="9">
                  <c:v>0.129150019105794</c:v>
                </c:pt>
                <c:pt idx="10">
                  <c:v>0.145781518596489</c:v>
                </c:pt>
                <c:pt idx="11">
                  <c:v>0.162927035168777</c:v>
                </c:pt>
                <c:pt idx="12">
                  <c:v>0.180606077105092</c:v>
                </c:pt>
                <c:pt idx="13">
                  <c:v>0.198835196471483</c:v>
                </c:pt>
                <c:pt idx="14">
                  <c:v>0.217633860669784</c:v>
                </c:pt>
                <c:pt idx="15">
                  <c:v>0.237021251013914</c:v>
                </c:pt>
                <c:pt idx="16">
                  <c:v>0.257018502526341</c:v>
                </c:pt>
                <c:pt idx="17">
                  <c:v>0.277648161241261</c:v>
                </c:pt>
                <c:pt idx="18">
                  <c:v>0.298931884143602</c:v>
                </c:pt>
                <c:pt idx="19">
                  <c:v>0.320892493736358</c:v>
                </c:pt>
                <c:pt idx="20">
                  <c:v>0.343551955483886</c:v>
                </c:pt>
                <c:pt idx="21">
                  <c:v>0.366934904057087</c:v>
                </c:pt>
                <c:pt idx="22">
                  <c:v>0.391068063071111</c:v>
                </c:pt>
                <c:pt idx="23">
                  <c:v>0.415976756046945</c:v>
                </c:pt>
                <c:pt idx="24">
                  <c:v>0.441688118118268</c:v>
                </c:pt>
                <c:pt idx="25">
                  <c:v>0.468230747644404</c:v>
                </c:pt>
                <c:pt idx="26">
                  <c:v>0.4956344352426</c:v>
                </c:pt>
                <c:pt idx="27">
                  <c:v>0.523929950884832</c:v>
                </c:pt>
                <c:pt idx="28">
                  <c:v>0.553148875043539</c:v>
                </c:pt>
                <c:pt idx="29">
                  <c:v>0.583323463608213</c:v>
                </c:pt>
                <c:pt idx="30">
                  <c:v>0.614487721079432</c:v>
                </c:pt>
                <c:pt idx="31">
                  <c:v>0.64667712734838</c:v>
                </c:pt>
                <c:pt idx="32">
                  <c:v>0.679927303664928</c:v>
                </c:pt>
                <c:pt idx="33">
                  <c:v>0.714276147502547</c:v>
                </c:pt>
                <c:pt idx="34">
                  <c:v>0.749763507383513</c:v>
                </c:pt>
                <c:pt idx="35">
                  <c:v>0.786429893952675</c:v>
                </c:pt>
                <c:pt idx="36">
                  <c:v>0.824318371371718</c:v>
                </c:pt>
                <c:pt idx="37">
                  <c:v>0.86347229258798</c:v>
                </c:pt>
                <c:pt idx="38">
                  <c:v>0.903937141597855</c:v>
                </c:pt>
                <c:pt idx="39">
                  <c:v>0.945760267065652</c:v>
                </c:pt>
                <c:pt idx="40">
                  <c:v>0.988990654925076</c:v>
                </c:pt>
                <c:pt idx="41">
                  <c:v>1.033679605992398</c:v>
                </c:pt>
                <c:pt idx="42">
                  <c:v>1.079879614559176</c:v>
                </c:pt>
                <c:pt idx="43">
                  <c:v>1.127645898501892</c:v>
                </c:pt>
                <c:pt idx="44">
                  <c:v>1.177035282303626</c:v>
                </c:pt>
                <c:pt idx="45">
                  <c:v>1.228106819077254</c:v>
                </c:pt>
                <c:pt idx="46">
                  <c:v>1.280921553477174</c:v>
                </c:pt>
                <c:pt idx="47">
                  <c:v>1.335543077707485</c:v>
                </c:pt>
                <c:pt idx="48">
                  <c:v>1.392037271567942</c:v>
                </c:pt>
                <c:pt idx="49">
                  <c:v>1.450472806616391</c:v>
                </c:pt>
                <c:pt idx="50">
                  <c:v>1.510920872466997</c:v>
                </c:pt>
                <c:pt idx="51">
                  <c:v>1.573455639402145</c:v>
                </c:pt>
                <c:pt idx="52">
                  <c:v>1.638153285741468</c:v>
                </c:pt>
                <c:pt idx="53">
                  <c:v>1.705093847806934</c:v>
                </c:pt>
                <c:pt idx="54">
                  <c:v>1.774359536609897</c:v>
                </c:pt>
                <c:pt idx="55">
                  <c:v>1.846036506866346</c:v>
                </c:pt>
                <c:pt idx="56">
                  <c:v>1.920213868143862</c:v>
                </c:pt>
                <c:pt idx="57">
                  <c:v>1.996984061962348</c:v>
                </c:pt>
                <c:pt idx="58">
                  <c:v>2.076443200545534</c:v>
                </c:pt>
                <c:pt idx="59">
                  <c:v>2.158690760928991</c:v>
                </c:pt>
              </c:numCache>
            </c:numRef>
          </c:yVal>
          <c:smooth val="1"/>
        </c:ser>
        <c:ser>
          <c:idx val="3"/>
          <c:order val="3"/>
          <c:tx>
            <c:v>$25/bbl</c:v>
          </c:tx>
          <c:marker>
            <c:symbol val="none"/>
          </c:marker>
          <c:xVal>
            <c:numRef>
              <c:f>'Wind Graphs'!$B$5:$B$64</c:f>
              <c:numCache>
                <c:formatCode>General</c:formatCode>
                <c:ptCount val="6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numCache>
            </c:numRef>
          </c:xVal>
          <c:yVal>
            <c:numRef>
              <c:f>'Wind Graphs'!$F$5:$F$64</c:f>
              <c:numCache>
                <c:formatCode>0%</c:formatCode>
                <c:ptCount val="60"/>
                <c:pt idx="0">
                  <c:v>0.0</c:v>
                </c:pt>
                <c:pt idx="1">
                  <c:v>0.0158837941139724</c:v>
                </c:pt>
                <c:pt idx="2">
                  <c:v>0.0322332990863695</c:v>
                </c:pt>
                <c:pt idx="3">
                  <c:v>0.0490748543018069</c:v>
                </c:pt>
                <c:pt idx="4">
                  <c:v>0.0664283860773418</c:v>
                </c:pt>
                <c:pt idx="5">
                  <c:v>0.0843066442020493</c:v>
                </c:pt>
                <c:pt idx="6">
                  <c:v>0.102730798342819</c:v>
                </c:pt>
                <c:pt idx="7">
                  <c:v>0.121716014095638</c:v>
                </c:pt>
                <c:pt idx="8">
                  <c:v>0.141282932158389</c:v>
                </c:pt>
                <c:pt idx="9">
                  <c:v>0.161451266169868</c:v>
                </c:pt>
                <c:pt idx="10">
                  <c:v>0.182243555563945</c:v>
                </c:pt>
                <c:pt idx="11">
                  <c:v>0.203677880471562</c:v>
                </c:pt>
                <c:pt idx="12">
                  <c:v>0.225778033629629</c:v>
                </c:pt>
                <c:pt idx="13">
                  <c:v>0.248566245007414</c:v>
                </c:pt>
                <c:pt idx="14">
                  <c:v>0.272066145802448</c:v>
                </c:pt>
                <c:pt idx="15">
                  <c:v>0.296302330556691</c:v>
                </c:pt>
                <c:pt idx="16">
                  <c:v>0.321302229472898</c:v>
                </c:pt>
                <c:pt idx="17">
                  <c:v>0.347091248942138</c:v>
                </c:pt>
                <c:pt idx="18">
                  <c:v>0.373697161610062</c:v>
                </c:pt>
                <c:pt idx="19">
                  <c:v>0.40114768250824</c:v>
                </c:pt>
                <c:pt idx="20">
                  <c:v>0.4294722278242</c:v>
                </c:pt>
                <c:pt idx="21">
                  <c:v>0.458701528275069</c:v>
                </c:pt>
                <c:pt idx="22">
                  <c:v>0.488867343340271</c:v>
                </c:pt>
                <c:pt idx="23">
                  <c:v>0.520003773856898</c:v>
                </c:pt>
                <c:pt idx="24">
                  <c:v>0.552143862060144</c:v>
                </c:pt>
                <c:pt idx="25">
                  <c:v>0.585324023556792</c:v>
                </c:pt>
                <c:pt idx="26">
                  <c:v>0.619580708100817</c:v>
                </c:pt>
                <c:pt idx="27">
                  <c:v>0.654951702284971</c:v>
                </c:pt>
                <c:pt idx="28">
                  <c:v>0.69147589905134</c:v>
                </c:pt>
                <c:pt idx="29">
                  <c:v>0.729194334836465</c:v>
                </c:pt>
                <c:pt idx="30">
                  <c:v>0.768149843846432</c:v>
                </c:pt>
                <c:pt idx="31">
                  <c:v>0.808386777155376</c:v>
                </c:pt>
                <c:pt idx="32">
                  <c:v>0.849950772876995</c:v>
                </c:pt>
                <c:pt idx="33">
                  <c:v>0.892888566894021</c:v>
                </c:pt>
                <c:pt idx="34">
                  <c:v>0.937249930096951</c:v>
                </c:pt>
                <c:pt idx="35">
                  <c:v>0.983085210960726</c:v>
                </c:pt>
                <c:pt idx="36">
                  <c:v>1.030448228798214</c:v>
                </c:pt>
                <c:pt idx="37">
                  <c:v>1.079392923957824</c:v>
                </c:pt>
                <c:pt idx="38">
                  <c:v>1.12997710088052</c:v>
                </c:pt>
                <c:pt idx="39">
                  <c:v>1.182259196630728</c:v>
                </c:pt>
                <c:pt idx="40">
                  <c:v>1.236300885169112</c:v>
                </c:pt>
                <c:pt idx="41">
                  <c:v>1.29216581948158</c:v>
                </c:pt>
                <c:pt idx="42">
                  <c:v>1.349920253694965</c:v>
                </c:pt>
                <c:pt idx="43">
                  <c:v>1.409632747492827</c:v>
                </c:pt>
                <c:pt idx="44">
                  <c:v>1.471373909942485</c:v>
                </c:pt>
                <c:pt idx="45">
                  <c:v>1.535217770044621</c:v>
                </c:pt>
                <c:pt idx="46">
                  <c:v>1.60124063320632</c:v>
                </c:pt>
                <c:pt idx="47">
                  <c:v>1.669522371036253</c:v>
                </c:pt>
                <c:pt idx="48">
                  <c:v>1.740145309566952</c:v>
                </c:pt>
                <c:pt idx="49">
                  <c:v>1.813195449656443</c:v>
                </c:pt>
                <c:pt idx="50">
                  <c:v>1.888761388160245</c:v>
                </c:pt>
                <c:pt idx="51">
                  <c:v>1.966935477781626</c:v>
                </c:pt>
                <c:pt idx="52">
                  <c:v>2.047813472746346</c:v>
                </c:pt>
                <c:pt idx="53">
                  <c:v>2.131494892478353</c:v>
                </c:pt>
                <c:pt idx="54">
                  <c:v>2.218083345601778</c:v>
                </c:pt>
                <c:pt idx="55">
                  <c:v>2.307686164833771</c:v>
                </c:pt>
                <c:pt idx="56">
                  <c:v>2.400414723223719</c:v>
                </c:pt>
                <c:pt idx="57">
                  <c:v>2.496384717678056</c:v>
                </c:pt>
                <c:pt idx="58">
                  <c:v>2.595715802531703</c:v>
                </c:pt>
                <c:pt idx="59">
                  <c:v>2.698532481299035</c:v>
                </c:pt>
              </c:numCache>
            </c:numRef>
          </c:yVal>
          <c:smooth val="1"/>
        </c:ser>
        <c:ser>
          <c:idx val="4"/>
          <c:order val="4"/>
          <c:tx>
            <c:v>$30/bbl</c:v>
          </c:tx>
          <c:marker>
            <c:symbol val="none"/>
          </c:marker>
          <c:xVal>
            <c:numRef>
              <c:f>'Wind Graphs'!$B$5:$B$64</c:f>
              <c:numCache>
                <c:formatCode>General</c:formatCode>
                <c:ptCount val="6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numCache>
            </c:numRef>
          </c:xVal>
          <c:yVal>
            <c:numRef>
              <c:f>'Wind Graphs'!$G$5:$G$64</c:f>
              <c:numCache>
                <c:formatCode>0%</c:formatCode>
                <c:ptCount val="60"/>
                <c:pt idx="0">
                  <c:v>0.0</c:v>
                </c:pt>
                <c:pt idx="1">
                  <c:v>0.0190605529367669</c:v>
                </c:pt>
                <c:pt idx="2">
                  <c:v>0.0386921742704217</c:v>
                </c:pt>
                <c:pt idx="3">
                  <c:v>0.058906315907319</c:v>
                </c:pt>
                <c:pt idx="4">
                  <c:v>0.0797345851089979</c:v>
                </c:pt>
                <c:pt idx="5">
                  <c:v>0.101193625312694</c:v>
                </c:pt>
                <c:pt idx="6">
                  <c:v>0.123306274891651</c:v>
                </c:pt>
                <c:pt idx="7">
                  <c:v>0.146093114557576</c:v>
                </c:pt>
                <c:pt idx="8">
                  <c:v>0.169577793405972</c:v>
                </c:pt>
                <c:pt idx="9">
                  <c:v>0.193785494724243</c:v>
                </c:pt>
                <c:pt idx="10">
                  <c:v>0.218738907168069</c:v>
                </c:pt>
                <c:pt idx="11">
                  <c:v>0.244465371874683</c:v>
                </c:pt>
                <c:pt idx="12">
                  <c:v>0.270989455185296</c:v>
                </c:pt>
                <c:pt idx="13">
                  <c:v>0.298339174800871</c:v>
                </c:pt>
                <c:pt idx="14">
                  <c:v>0.326544849328869</c:v>
                </c:pt>
                <c:pt idx="15">
                  <c:v>0.355636088868699</c:v>
                </c:pt>
                <c:pt idx="16">
                  <c:v>0.385642003396438</c:v>
                </c:pt>
                <c:pt idx="17">
                  <c:v>0.416595413476907</c:v>
                </c:pt>
                <c:pt idx="18">
                  <c:v>0.448528016308699</c:v>
                </c:pt>
                <c:pt idx="19">
                  <c:v>0.481474331175776</c:v>
                </c:pt>
                <c:pt idx="20">
                  <c:v>0.515471027522375</c:v>
                </c:pt>
                <c:pt idx="21">
                  <c:v>0.550554770548388</c:v>
                </c:pt>
                <c:pt idx="22">
                  <c:v>0.586763815440754</c:v>
                </c:pt>
                <c:pt idx="23">
                  <c:v>0.624136149205314</c:v>
                </c:pt>
                <c:pt idx="24">
                  <c:v>0.662713941835064</c:v>
                </c:pt>
                <c:pt idx="25">
                  <c:v>0.702538513493365</c:v>
                </c:pt>
                <c:pt idx="26">
                  <c:v>0.743654563678718</c:v>
                </c:pt>
                <c:pt idx="27">
                  <c:v>0.78610825898277</c:v>
                </c:pt>
                <c:pt idx="28">
                  <c:v>0.829946980143216</c:v>
                </c:pt>
                <c:pt idx="29">
                  <c:v>0.875219119686124</c:v>
                </c:pt>
                <c:pt idx="30">
                  <c:v>0.921976282998804</c:v>
                </c:pt>
                <c:pt idx="31">
                  <c:v>0.970270495938963</c:v>
                </c:pt>
                <c:pt idx="32">
                  <c:v>1.020157472590737</c:v>
                </c:pt>
                <c:pt idx="33">
                  <c:v>1.071693917225494</c:v>
                </c:pt>
                <c:pt idx="34">
                  <c:v>1.12493842987795</c:v>
                </c:pt>
                <c:pt idx="35">
                  <c:v>1.179952260992935</c:v>
                </c:pt>
                <c:pt idx="36">
                  <c:v>1.236798953261866</c:v>
                </c:pt>
                <c:pt idx="37">
                  <c:v>1.295544040011354</c:v>
                </c:pt>
                <c:pt idx="38">
                  <c:v>1.35625666928076</c:v>
                </c:pt>
                <c:pt idx="39">
                  <c:v>1.419007319678082</c:v>
                </c:pt>
                <c:pt idx="40">
                  <c:v>1.483869425730143</c:v>
                </c:pt>
                <c:pt idx="41">
                  <c:v>1.550919898513687</c:v>
                </c:pt>
                <c:pt idx="42">
                  <c:v>1.620237869170496</c:v>
                </c:pt>
                <c:pt idx="43">
                  <c:v>1.691905269493192</c:v>
                </c:pt>
                <c:pt idx="44">
                  <c:v>1.76600814945738</c:v>
                </c:pt>
                <c:pt idx="45">
                  <c:v>1.842634636284349</c:v>
                </c:pt>
                <c:pt idx="46">
                  <c:v>1.921877052570283</c:v>
                </c:pt>
                <c:pt idx="47">
                  <c:v>2.003830715807612</c:v>
                </c:pt>
                <c:pt idx="48">
                  <c:v>2.088594380662958</c:v>
                </c:pt>
                <c:pt idx="49">
                  <c:v>2.176271361103725</c:v>
                </c:pt>
                <c:pt idx="50">
                  <c:v>2.266968364856843</c:v>
                </c:pt>
                <c:pt idx="51">
                  <c:v>2.360795871818432</c:v>
                </c:pt>
                <c:pt idx="52">
                  <c:v>2.457869161060499</c:v>
                </c:pt>
                <c:pt idx="53">
                  <c:v>2.55830718783131</c:v>
                </c:pt>
                <c:pt idx="54">
                  <c:v>2.662234248235745</c:v>
                </c:pt>
                <c:pt idx="55">
                  <c:v>2.769778847978461</c:v>
                </c:pt>
                <c:pt idx="56">
                  <c:v>2.881074618928825</c:v>
                </c:pt>
                <c:pt idx="57">
                  <c:v>2.996260509039487</c:v>
                </c:pt>
                <c:pt idx="58">
                  <c:v>3.115480331830843</c:v>
                </c:pt>
                <c:pt idx="59">
                  <c:v>3.238883582463735</c:v>
                </c:pt>
              </c:numCache>
            </c:numRef>
          </c:yVal>
          <c:smooth val="1"/>
        </c:ser>
        <c:dLbls>
          <c:showLegendKey val="0"/>
          <c:showVal val="0"/>
          <c:showCatName val="0"/>
          <c:showSerName val="0"/>
          <c:showPercent val="0"/>
          <c:showBubbleSize val="0"/>
        </c:dLbls>
        <c:axId val="466196392"/>
        <c:axId val="466202232"/>
      </c:scatterChart>
      <c:valAx>
        <c:axId val="466196392"/>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CA" sz="1100">
                    <a:latin typeface="Arial" panose="020B0604020202020204" pitchFamily="34" charset="0"/>
                    <a:cs typeface="Arial" panose="020B0604020202020204" pitchFamily="34" charset="0"/>
                  </a:rPr>
                  <a:t>Years</a:t>
                </a:r>
              </a:p>
            </c:rich>
          </c:tx>
          <c:layout>
            <c:manualLayout>
              <c:xMode val="edge"/>
              <c:yMode val="edge"/>
              <c:x val="0.4145366396983"/>
              <c:y val="0.927049299560447"/>
            </c:manualLayout>
          </c:layout>
          <c:overlay val="0"/>
        </c:title>
        <c:numFmt formatCode="General" sourceLinked="1"/>
        <c:majorTickMark val="out"/>
        <c:minorTickMark val="none"/>
        <c:tickLblPos val="nextTo"/>
        <c:crossAx val="466202232"/>
        <c:crosses val="autoZero"/>
        <c:crossBetween val="midCat"/>
      </c:valAx>
      <c:valAx>
        <c:axId val="466202232"/>
        <c:scaling>
          <c:orientation val="minMax"/>
        </c:scaling>
        <c:delete val="0"/>
        <c:axPos val="l"/>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r>
                  <a:rPr lang="en-US" sz="1100" b="1" i="0" baseline="0">
                    <a:effectLst/>
                    <a:latin typeface="Arial" panose="020B0604020202020204" pitchFamily="34" charset="0"/>
                    <a:cs typeface="Arial" panose="020B0604020202020204" pitchFamily="34" charset="0"/>
                  </a:rPr>
                  <a:t>CO</a:t>
                </a:r>
                <a:r>
                  <a:rPr lang="en-US" sz="800" b="1" i="0" baseline="0">
                    <a:effectLst/>
                    <a:latin typeface="Arial" panose="020B0604020202020204" pitchFamily="34" charset="0"/>
                    <a:cs typeface="Arial" panose="020B0604020202020204" pitchFamily="34" charset="0"/>
                  </a:rPr>
                  <a:t>2</a:t>
                </a:r>
                <a:r>
                  <a:rPr lang="en-US" sz="1100" b="1" i="0" baseline="0">
                    <a:effectLst/>
                    <a:latin typeface="Arial" panose="020B0604020202020204" pitchFamily="34" charset="0"/>
                    <a:cs typeface="Arial" panose="020B0604020202020204" pitchFamily="34" charset="0"/>
                  </a:rPr>
                  <a:t> saved by wind energy/oil sands CO</a:t>
                </a:r>
                <a:r>
                  <a:rPr lang="en-US" sz="800" b="1" i="0" baseline="0">
                    <a:effectLst/>
                    <a:latin typeface="Arial" panose="020B0604020202020204" pitchFamily="34" charset="0"/>
                    <a:cs typeface="Arial" panose="020B0604020202020204" pitchFamily="34" charset="0"/>
                  </a:rPr>
                  <a:t>2</a:t>
                </a:r>
                <a:endParaRPr lang="en-CA" sz="800">
                  <a:effectLst/>
                  <a:latin typeface="Arial" panose="020B0604020202020204" pitchFamily="34" charset="0"/>
                  <a:cs typeface="Arial" panose="020B0604020202020204" pitchFamily="34" charset="0"/>
                </a:endParaRPr>
              </a:p>
            </c:rich>
          </c:tx>
          <c:layout>
            <c:manualLayout>
              <c:xMode val="edge"/>
              <c:yMode val="edge"/>
              <c:x val="0.0516680608853067"/>
              <c:y val="0.176039603960396"/>
            </c:manualLayout>
          </c:layout>
          <c:overlay val="0"/>
        </c:title>
        <c:numFmt formatCode="0%" sourceLinked="1"/>
        <c:majorTickMark val="out"/>
        <c:minorTickMark val="none"/>
        <c:tickLblPos val="nextTo"/>
        <c:crossAx val="466196392"/>
        <c:crosses val="autoZero"/>
        <c:crossBetween val="midCat"/>
      </c:valAx>
    </c:plotArea>
    <c:legend>
      <c:legendPos val="r"/>
      <c:layout>
        <c:manualLayout>
          <c:xMode val="edge"/>
          <c:yMode val="edge"/>
          <c:x val="0.823049419701039"/>
          <c:y val="0.367652404895171"/>
          <c:w val="0.138271035032047"/>
          <c:h val="0.298397910657207"/>
        </c:manualLayout>
      </c:layout>
      <c:overlay val="0"/>
    </c:legend>
    <c:plotVisOnly val="1"/>
    <c:dispBlanksAs val="gap"/>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en-US" sz="1800" b="1" i="0" baseline="0">
                <a:effectLst/>
              </a:rPr>
              <a:t>Cumulative Ratio Carbon Saved vs Carbon Burned Using $0.07/kWh Reinvestment Policy</a:t>
            </a:r>
            <a:endParaRPr lang="en-CA">
              <a:effectLst/>
            </a:endParaRPr>
          </a:p>
          <a:p>
            <a:pPr>
              <a:defRPr/>
            </a:pPr>
            <a:endParaRPr lang="en-CA"/>
          </a:p>
        </c:rich>
      </c:tx>
      <c:overlay val="1"/>
    </c:title>
    <c:autoTitleDeleted val="0"/>
    <c:plotArea>
      <c:layout>
        <c:manualLayout>
          <c:layoutTarget val="inner"/>
          <c:xMode val="edge"/>
          <c:yMode val="edge"/>
          <c:x val="0.164224162074552"/>
          <c:y val="0.19950212312645"/>
          <c:w val="0.591396260827776"/>
          <c:h val="0.634230603214564"/>
        </c:manualLayout>
      </c:layout>
      <c:scatterChart>
        <c:scatterStyle val="smoothMarker"/>
        <c:varyColors val="0"/>
        <c:ser>
          <c:idx val="0"/>
          <c:order val="0"/>
          <c:tx>
            <c:v>$10/bbl</c:v>
          </c:tx>
          <c:xVal>
            <c:numRef>
              <c:f>'Wind Graphs'!$I$5:$I$64</c:f>
              <c:numCache>
                <c:formatCode>General</c:formatCode>
                <c:ptCount val="6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numCache>
            </c:numRef>
          </c:xVal>
          <c:yVal>
            <c:numRef>
              <c:f>'Wind Graphs'!$J$5:$J$64</c:f>
              <c:numCache>
                <c:formatCode>0%</c:formatCode>
                <c:ptCount val="60"/>
                <c:pt idx="0">
                  <c:v>0.0</c:v>
                </c:pt>
                <c:pt idx="1">
                  <c:v>0.00635351764558898</c:v>
                </c:pt>
                <c:pt idx="2">
                  <c:v>0.0129666118352179</c:v>
                </c:pt>
                <c:pt idx="3">
                  <c:v>0.0198553152377833</c:v>
                </c:pt>
                <c:pt idx="4">
                  <c:v>0.0270374928271985</c:v>
                </c:pt>
                <c:pt idx="5">
                  <c:v>0.0345252072781573</c:v>
                </c:pt>
                <c:pt idx="6">
                  <c:v>0.0423340986227667</c:v>
                </c:pt>
                <c:pt idx="7">
                  <c:v>0.0504811484021643</c:v>
                </c:pt>
                <c:pt idx="8">
                  <c:v>0.058979862594797</c:v>
                </c:pt>
                <c:pt idx="9">
                  <c:v>0.0678493386178333</c:v>
                </c:pt>
                <c:pt idx="10">
                  <c:v>0.0771050608367748</c:v>
                </c:pt>
                <c:pt idx="11">
                  <c:v>0.0867665136870394</c:v>
                </c:pt>
                <c:pt idx="12">
                  <c:v>0.0968528242547373</c:v>
                </c:pt>
                <c:pt idx="13">
                  <c:v>0.107385507480019</c:v>
                </c:pt>
                <c:pt idx="14">
                  <c:v>0.118385227132373</c:v>
                </c:pt>
                <c:pt idx="15">
                  <c:v>0.129876642563999</c:v>
                </c:pt>
                <c:pt idx="16">
                  <c:v>0.141882922232502</c:v>
                </c:pt>
                <c:pt idx="17">
                  <c:v>0.15442819373274</c:v>
                </c:pt>
                <c:pt idx="18">
                  <c:v>0.16753922013441</c:v>
                </c:pt>
                <c:pt idx="19">
                  <c:v>0.181244741113336</c:v>
                </c:pt>
                <c:pt idx="20">
                  <c:v>0.195575002330961</c:v>
                </c:pt>
                <c:pt idx="21">
                  <c:v>0.209982154919826</c:v>
                </c:pt>
                <c:pt idx="22">
                  <c:v>0.224505163813477</c:v>
                </c:pt>
                <c:pt idx="23">
                  <c:v>0.239176881520081</c:v>
                </c:pt>
                <c:pt idx="24">
                  <c:v>0.254026369990514</c:v>
                </c:pt>
                <c:pt idx="25">
                  <c:v>0.269078220106284</c:v>
                </c:pt>
                <c:pt idx="26">
                  <c:v>0.284353379655343</c:v>
                </c:pt>
                <c:pt idx="27">
                  <c:v>0.299869803884509</c:v>
                </c:pt>
                <c:pt idx="28">
                  <c:v>0.31564423511346</c:v>
                </c:pt>
                <c:pt idx="29">
                  <c:v>0.33168996181591</c:v>
                </c:pt>
                <c:pt idx="30">
                  <c:v>0.34801973995607</c:v>
                </c:pt>
                <c:pt idx="31">
                  <c:v>0.364644731002626</c:v>
                </c:pt>
                <c:pt idx="32">
                  <c:v>0.381573633031078</c:v>
                </c:pt>
                <c:pt idx="33">
                  <c:v>0.398814120813927</c:v>
                </c:pt>
                <c:pt idx="34">
                  <c:v>0.416371944975379</c:v>
                </c:pt>
                <c:pt idx="35">
                  <c:v>0.434250181286932</c:v>
                </c:pt>
                <c:pt idx="36">
                  <c:v>0.452452563439389</c:v>
                </c:pt>
                <c:pt idx="37">
                  <c:v>0.470980503361347</c:v>
                </c:pt>
                <c:pt idx="38">
                  <c:v>0.489832449237417</c:v>
                </c:pt>
                <c:pt idx="39">
                  <c:v>0.509006088281244</c:v>
                </c:pt>
                <c:pt idx="40">
                  <c:v>0.528496651922186</c:v>
                </c:pt>
                <c:pt idx="41">
                  <c:v>0.548298080686793</c:v>
                </c:pt>
                <c:pt idx="42">
                  <c:v>0.568421071236498</c:v>
                </c:pt>
                <c:pt idx="43">
                  <c:v>0.588874514943056</c:v>
                </c:pt>
                <c:pt idx="44">
                  <c:v>0.609667327191848</c:v>
                </c:pt>
                <c:pt idx="45">
                  <c:v>0.630807648117352</c:v>
                </c:pt>
                <c:pt idx="46">
                  <c:v>0.652303704780907</c:v>
                </c:pt>
                <c:pt idx="47">
                  <c:v>0.674163802115832</c:v>
                </c:pt>
                <c:pt idx="48">
                  <c:v>0.696395567101703</c:v>
                </c:pt>
                <c:pt idx="49">
                  <c:v>0.719006016559733</c:v>
                </c:pt>
                <c:pt idx="50">
                  <c:v>0.742002335523199</c:v>
                </c:pt>
                <c:pt idx="51">
                  <c:v>0.765391156330515</c:v>
                </c:pt>
                <c:pt idx="52">
                  <c:v>0.789179302202106</c:v>
                </c:pt>
                <c:pt idx="53">
                  <c:v>0.813373090934661</c:v>
                </c:pt>
                <c:pt idx="54">
                  <c:v>0.83797904714148</c:v>
                </c:pt>
                <c:pt idx="55">
                  <c:v>0.863003883786706</c:v>
                </c:pt>
                <c:pt idx="56">
                  <c:v>0.888453842749277</c:v>
                </c:pt>
                <c:pt idx="57">
                  <c:v>0.914335999092355</c:v>
                </c:pt>
                <c:pt idx="58">
                  <c:v>0.940657569334148</c:v>
                </c:pt>
                <c:pt idx="59">
                  <c:v>0.967425899659987</c:v>
                </c:pt>
              </c:numCache>
            </c:numRef>
          </c:yVal>
          <c:smooth val="1"/>
        </c:ser>
        <c:ser>
          <c:idx val="1"/>
          <c:order val="1"/>
          <c:tx>
            <c:v>$15/bbl</c:v>
          </c:tx>
          <c:xVal>
            <c:numRef>
              <c:f>'Wind Graphs'!$I$5:$I$64</c:f>
              <c:numCache>
                <c:formatCode>General</c:formatCode>
                <c:ptCount val="6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numCache>
            </c:numRef>
          </c:xVal>
          <c:yVal>
            <c:numRef>
              <c:f>'Wind Graphs'!$K$5:$K$64</c:f>
              <c:numCache>
                <c:formatCode>0%</c:formatCode>
                <c:ptCount val="60"/>
                <c:pt idx="0">
                  <c:v>0.0</c:v>
                </c:pt>
                <c:pt idx="1">
                  <c:v>0.00953027646838347</c:v>
                </c:pt>
                <c:pt idx="2">
                  <c:v>0.0194499177528268</c:v>
                </c:pt>
                <c:pt idx="3">
                  <c:v>0.0297875536192168</c:v>
                </c:pt>
                <c:pt idx="4">
                  <c:v>0.0405635684608648</c:v>
                </c:pt>
                <c:pt idx="5">
                  <c:v>0.0517969724423197</c:v>
                </c:pt>
                <c:pt idx="6">
                  <c:v>0.0635116182485315</c:v>
                </c:pt>
                <c:pt idx="7">
                  <c:v>0.0757331745096012</c:v>
                </c:pt>
                <c:pt idx="8">
                  <c:v>0.0884840451534369</c:v>
                </c:pt>
                <c:pt idx="9">
                  <c:v>0.101788666366884</c:v>
                </c:pt>
                <c:pt idx="10">
                  <c:v>0.115672582841663</c:v>
                </c:pt>
                <c:pt idx="11">
                  <c:v>0.130165039739032</c:v>
                </c:pt>
                <c:pt idx="12">
                  <c:v>0.145294740501479</c:v>
                </c:pt>
                <c:pt idx="13">
                  <c:v>0.161095275480899</c:v>
                </c:pt>
                <c:pt idx="14">
                  <c:v>0.177598606822083</c:v>
                </c:pt>
                <c:pt idx="15">
                  <c:v>0.194837867658709</c:v>
                </c:pt>
                <c:pt idx="16">
                  <c:v>0.212849173357803</c:v>
                </c:pt>
                <c:pt idx="17">
                  <c:v>0.231670793121593</c:v>
                </c:pt>
                <c:pt idx="18">
                  <c:v>0.251342583188766</c:v>
                </c:pt>
                <c:pt idx="19">
                  <c:v>0.271905590075355</c:v>
                </c:pt>
                <c:pt idx="20">
                  <c:v>0.293405257280166</c:v>
                </c:pt>
                <c:pt idx="21">
                  <c:v>0.315020705736991</c:v>
                </c:pt>
                <c:pt idx="22">
                  <c:v>0.336811918216363</c:v>
                </c:pt>
                <c:pt idx="23">
                  <c:v>0.358827162574437</c:v>
                </c:pt>
                <c:pt idx="24">
                  <c:v>0.381108449654401</c:v>
                </c:pt>
                <c:pt idx="25">
                  <c:v>0.403692736558192</c:v>
                </c:pt>
                <c:pt idx="26">
                  <c:v>0.426611505261537</c:v>
                </c:pt>
                <c:pt idx="27">
                  <c:v>0.449891740315059</c:v>
                </c:pt>
                <c:pt idx="28">
                  <c:v>0.47355923157966</c:v>
                </c:pt>
                <c:pt idx="29">
                  <c:v>0.497635108731448</c:v>
                </c:pt>
                <c:pt idx="30">
                  <c:v>0.522137775036708</c:v>
                </c:pt>
                <c:pt idx="31">
                  <c:v>0.547083333353439</c:v>
                </c:pt>
                <c:pt idx="32">
                  <c:v>0.572485934678067</c:v>
                </c:pt>
                <c:pt idx="33">
                  <c:v>0.598354831704466</c:v>
                </c:pt>
                <c:pt idx="34">
                  <c:v>0.624699266707219</c:v>
                </c:pt>
                <c:pt idx="35">
                  <c:v>0.651525419147048</c:v>
                </c:pt>
                <c:pt idx="36">
                  <c:v>0.678837809999726</c:v>
                </c:pt>
                <c:pt idx="37">
                  <c:v>0.70663759123565</c:v>
                </c:pt>
                <c:pt idx="38">
                  <c:v>0.734923917387216</c:v>
                </c:pt>
                <c:pt idx="39">
                  <c:v>0.763693279076049</c:v>
                </c:pt>
                <c:pt idx="40">
                  <c:v>0.792938040265532</c:v>
                </c:pt>
                <c:pt idx="41">
                  <c:v>0.82264954710823</c:v>
                </c:pt>
                <c:pt idx="42">
                  <c:v>0.852842108872951</c:v>
                </c:pt>
                <c:pt idx="43">
                  <c:v>0.88353039971772</c:v>
                </c:pt>
                <c:pt idx="44">
                  <c:v>0.914727789430957</c:v>
                </c:pt>
                <c:pt idx="45">
                  <c:v>0.94644728186514</c:v>
                </c:pt>
                <c:pt idx="46">
                  <c:v>0.978701553866163</c:v>
                </c:pt>
                <c:pt idx="47">
                  <c:v>1.011502225876094</c:v>
                </c:pt>
                <c:pt idx="48">
                  <c:v>1.044859969729482</c:v>
                </c:pt>
                <c:pt idx="49">
                  <c:v>1.078786069358132</c:v>
                </c:pt>
                <c:pt idx="50">
                  <c:v>1.113290923679583</c:v>
                </c:pt>
                <c:pt idx="51">
                  <c:v>1.148384131694645</c:v>
                </c:pt>
                <c:pt idx="52">
                  <c:v>1.184075950822947</c:v>
                </c:pt>
                <c:pt idx="53">
                  <c:v>1.22037655730674</c:v>
                </c:pt>
                <c:pt idx="54">
                  <c:v>1.257295387297935</c:v>
                </c:pt>
                <c:pt idx="55">
                  <c:v>1.294842511726887</c:v>
                </c:pt>
                <c:pt idx="56">
                  <c:v>1.333027937706037</c:v>
                </c:pt>
                <c:pt idx="57">
                  <c:v>1.371861614031457</c:v>
                </c:pt>
                <c:pt idx="58">
                  <c:v>1.411354057245261</c:v>
                </c:pt>
                <c:pt idx="59">
                  <c:v>1.451516915091771</c:v>
                </c:pt>
              </c:numCache>
            </c:numRef>
          </c:yVal>
          <c:smooth val="1"/>
        </c:ser>
        <c:ser>
          <c:idx val="2"/>
          <c:order val="2"/>
          <c:tx>
            <c:v>$20/bbl</c:v>
          </c:tx>
          <c:xVal>
            <c:numRef>
              <c:f>'Wind Graphs'!$I$5:$I$64</c:f>
              <c:numCache>
                <c:formatCode>General</c:formatCode>
                <c:ptCount val="6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numCache>
            </c:numRef>
          </c:xVal>
          <c:yVal>
            <c:numRef>
              <c:f>'Wind Graphs'!$L$5:$L$64</c:f>
              <c:numCache>
                <c:formatCode>0%</c:formatCode>
                <c:ptCount val="60"/>
                <c:pt idx="0">
                  <c:v>0.0</c:v>
                </c:pt>
                <c:pt idx="1">
                  <c:v>0.012707035291178</c:v>
                </c:pt>
                <c:pt idx="2">
                  <c:v>0.0259454390372141</c:v>
                </c:pt>
                <c:pt idx="3">
                  <c:v>0.0397381150508179</c:v>
                </c:pt>
                <c:pt idx="4">
                  <c:v>0.0541116317547321</c:v>
                </c:pt>
                <c:pt idx="5">
                  <c:v>0.0690992760234279</c:v>
                </c:pt>
                <c:pt idx="6">
                  <c:v>0.0847310191318221</c:v>
                </c:pt>
                <c:pt idx="7">
                  <c:v>0.101035589004999</c:v>
                </c:pt>
                <c:pt idx="8">
                  <c:v>0.118045232757042</c:v>
                </c:pt>
                <c:pt idx="9">
                  <c:v>0.135793957096538</c:v>
                </c:pt>
                <c:pt idx="10">
                  <c:v>0.154316728510888</c:v>
                </c:pt>
                <c:pt idx="11">
                  <c:v>0.173652127200168</c:v>
                </c:pt>
                <c:pt idx="12">
                  <c:v>0.19383813825684</c:v>
                </c:pt>
                <c:pt idx="13">
                  <c:v>0.214917599361378</c:v>
                </c:pt>
                <c:pt idx="14">
                  <c:v>0.236934140179576</c:v>
                </c:pt>
                <c:pt idx="15">
                  <c:v>0.259931934867132</c:v>
                </c:pt>
                <c:pt idx="16">
                  <c:v>0.283959853231484</c:v>
                </c:pt>
                <c:pt idx="17">
                  <c:v>0.309068120489639</c:v>
                </c:pt>
                <c:pt idx="18">
                  <c:v>0.335309889323568</c:v>
                </c:pt>
                <c:pt idx="19">
                  <c:v>0.362740508013966</c:v>
                </c:pt>
                <c:pt idx="20">
                  <c:v>0.391420487783444</c:v>
                </c:pt>
                <c:pt idx="21">
                  <c:v>0.420255812910499</c:v>
                </c:pt>
                <c:pt idx="22">
                  <c:v>0.449322616134156</c:v>
                </c:pt>
                <c:pt idx="23">
                  <c:v>0.47868815870572</c:v>
                </c:pt>
                <c:pt idx="24">
                  <c:v>0.508408940076284</c:v>
                </c:pt>
                <c:pt idx="25">
                  <c:v>0.538532767473701</c:v>
                </c:pt>
                <c:pt idx="26">
                  <c:v>0.56910172283652</c:v>
                </c:pt>
                <c:pt idx="27">
                  <c:v>0.600154493976382</c:v>
                </c:pt>
                <c:pt idx="28">
                  <c:v>0.631723168796412</c:v>
                </c:pt>
                <c:pt idx="29">
                  <c:v>0.663836778349331</c:v>
                </c:pt>
                <c:pt idx="30">
                  <c:v>0.696519425613303</c:v>
                </c:pt>
                <c:pt idx="31">
                  <c:v>0.729792200694223</c:v>
                </c:pt>
                <c:pt idx="32">
                  <c:v>0.763673637321514</c:v>
                </c:pt>
                <c:pt idx="33">
                  <c:v>0.79817793313288</c:v>
                </c:pt>
                <c:pt idx="34">
                  <c:v>0.833316616147424</c:v>
                </c:pt>
                <c:pt idx="35">
                  <c:v>0.869097897598771</c:v>
                </c:pt>
                <c:pt idx="36">
                  <c:v>0.905527120149329</c:v>
                </c:pt>
                <c:pt idx="37">
                  <c:v>0.942606170962802</c:v>
                </c:pt>
                <c:pt idx="38">
                  <c:v>0.980333924716849</c:v>
                </c:pt>
                <c:pt idx="39">
                  <c:v>1.018705704011329</c:v>
                </c:pt>
                <c:pt idx="40">
                  <c:v>1.05771192493387</c:v>
                </c:pt>
                <c:pt idx="41">
                  <c:v>1.097340426220866</c:v>
                </c:pt>
                <c:pt idx="42">
                  <c:v>1.137611710580033</c:v>
                </c:pt>
                <c:pt idx="43">
                  <c:v>1.17854358397065</c:v>
                </c:pt>
                <c:pt idx="44">
                  <c:v>1.220154712673416</c:v>
                </c:pt>
                <c:pt idx="45">
                  <c:v>1.262462139814186</c:v>
                </c:pt>
                <c:pt idx="46">
                  <c:v>1.305482237744282</c:v>
                </c:pt>
                <c:pt idx="47">
                  <c:v>1.349230014452415</c:v>
                </c:pt>
                <c:pt idx="48">
                  <c:v>1.393720748544559</c:v>
                </c:pt>
                <c:pt idx="49">
                  <c:v>1.43896849633821</c:v>
                </c:pt>
                <c:pt idx="50">
                  <c:v>1.484987648796562</c:v>
                </c:pt>
                <c:pt idx="51">
                  <c:v>1.531792194618341</c:v>
                </c:pt>
                <c:pt idx="52">
                  <c:v>1.579395066751424</c:v>
                </c:pt>
                <c:pt idx="53">
                  <c:v>1.627809597410525</c:v>
                </c:pt>
                <c:pt idx="54">
                  <c:v>1.677048815487478</c:v>
                </c:pt>
                <c:pt idx="55">
                  <c:v>1.72712612802828</c:v>
                </c:pt>
                <c:pt idx="56">
                  <c:v>1.778054644147637</c:v>
                </c:pt>
                <c:pt idx="57">
                  <c:v>1.829848464371329</c:v>
                </c:pt>
                <c:pt idx="58">
                  <c:v>1.882521354377629</c:v>
                </c:pt>
                <c:pt idx="59">
                  <c:v>1.936087994437943</c:v>
                </c:pt>
              </c:numCache>
            </c:numRef>
          </c:yVal>
          <c:smooth val="1"/>
        </c:ser>
        <c:ser>
          <c:idx val="3"/>
          <c:order val="3"/>
          <c:tx>
            <c:v>$25/bbl</c:v>
          </c:tx>
          <c:xVal>
            <c:numRef>
              <c:f>'Wind Graphs'!$I$5:$I$64</c:f>
              <c:numCache>
                <c:formatCode>General</c:formatCode>
                <c:ptCount val="6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numCache>
            </c:numRef>
          </c:xVal>
          <c:yVal>
            <c:numRef>
              <c:f>'Wind Graphs'!$M$5:$M$64</c:f>
              <c:numCache>
                <c:formatCode>0%</c:formatCode>
                <c:ptCount val="60"/>
                <c:pt idx="0">
                  <c:v>0.0</c:v>
                </c:pt>
                <c:pt idx="1">
                  <c:v>0.0158837941139724</c:v>
                </c:pt>
                <c:pt idx="2">
                  <c:v>0.032428744954823</c:v>
                </c:pt>
                <c:pt idx="3">
                  <c:v>0.0496703534322514</c:v>
                </c:pt>
                <c:pt idx="4">
                  <c:v>0.0676450366084655</c:v>
                </c:pt>
                <c:pt idx="5">
                  <c:v>0.0863832565543687</c:v>
                </c:pt>
                <c:pt idx="6">
                  <c:v>0.105924244229159</c:v>
                </c:pt>
                <c:pt idx="7">
                  <c:v>0.126305938162603</c:v>
                </c:pt>
                <c:pt idx="8">
                  <c:v>0.147569774260313</c:v>
                </c:pt>
                <c:pt idx="9">
                  <c:v>0.169758937115823</c:v>
                </c:pt>
                <c:pt idx="10">
                  <c:v>0.192917565152444</c:v>
                </c:pt>
                <c:pt idx="11">
                  <c:v>0.21709035319419</c:v>
                </c:pt>
                <c:pt idx="12">
                  <c:v>0.242327976327096</c:v>
                </c:pt>
                <c:pt idx="13">
                  <c:v>0.26868233651276</c:v>
                </c:pt>
                <c:pt idx="14">
                  <c:v>0.296206153629822</c:v>
                </c:pt>
                <c:pt idx="15">
                  <c:v>0.324957290637428</c:v>
                </c:pt>
                <c:pt idx="16">
                  <c:v>0.354995085251534</c:v>
                </c:pt>
                <c:pt idx="17">
                  <c:v>0.386384012079162</c:v>
                </c:pt>
                <c:pt idx="18">
                  <c:v>0.41919040206284</c:v>
                </c:pt>
                <c:pt idx="19">
                  <c:v>0.45348381070174</c:v>
                </c:pt>
                <c:pt idx="20">
                  <c:v>0.489337995352494</c:v>
                </c:pt>
                <c:pt idx="21">
                  <c:v>0.525385978978502</c:v>
                </c:pt>
                <c:pt idx="22">
                  <c:v>0.561724969059656</c:v>
                </c:pt>
                <c:pt idx="23">
                  <c:v>0.598436162694303</c:v>
                </c:pt>
                <c:pt idx="24">
                  <c:v>0.635590697133082</c:v>
                </c:pt>
                <c:pt idx="25">
                  <c:v>0.673250174899626</c:v>
                </c:pt>
                <c:pt idx="26">
                  <c:v>0.711467072217768</c:v>
                </c:pt>
                <c:pt idx="27">
                  <c:v>0.750288986286532</c:v>
                </c:pt>
                <c:pt idx="28">
                  <c:v>0.78975568551541</c:v>
                </c:pt>
                <c:pt idx="29">
                  <c:v>0.829902857395974</c:v>
                </c:pt>
                <c:pt idx="30">
                  <c:v>0.870761584582172</c:v>
                </c:pt>
                <c:pt idx="31">
                  <c:v>0.912359064396209</c:v>
                </c:pt>
                <c:pt idx="32">
                  <c:v>0.954716976539398</c:v>
                </c:pt>
                <c:pt idx="33">
                  <c:v>0.997853372333474</c:v>
                </c:pt>
                <c:pt idx="34">
                  <c:v>1.041783193060536</c:v>
                </c:pt>
                <c:pt idx="35">
                  <c:v>1.086516666018533</c:v>
                </c:pt>
                <c:pt idx="36">
                  <c:v>1.132060931981295</c:v>
                </c:pt>
                <c:pt idx="37">
                  <c:v>1.178417558206938</c:v>
                </c:pt>
                <c:pt idx="38">
                  <c:v>1.225585132278364</c:v>
                </c:pt>
                <c:pt idx="39">
                  <c:v>1.273557802257642</c:v>
                </c:pt>
                <c:pt idx="40">
                  <c:v>1.322324030476337</c:v>
                </c:pt>
                <c:pt idx="41">
                  <c:v>1.371868142934391</c:v>
                </c:pt>
                <c:pt idx="42">
                  <c:v>1.42221512648327</c:v>
                </c:pt>
                <c:pt idx="43">
                  <c:v>1.473389362174322</c:v>
                </c:pt>
                <c:pt idx="44">
                  <c:v>1.525412249496548</c:v>
                </c:pt>
                <c:pt idx="45">
                  <c:v>1.578305717076882</c:v>
                </c:pt>
                <c:pt idx="46">
                  <c:v>1.632090606980398</c:v>
                </c:pt>
                <c:pt idx="47">
                  <c:v>1.686786024433416</c:v>
                </c:pt>
                <c:pt idx="48">
                  <c:v>1.742411010811138</c:v>
                </c:pt>
                <c:pt idx="49">
                  <c:v>1.798983084178753</c:v>
                </c:pt>
                <c:pt idx="50">
                  <c:v>1.856519825737526</c:v>
                </c:pt>
                <c:pt idx="51">
                  <c:v>1.915038169021322</c:v>
                </c:pt>
                <c:pt idx="52">
                  <c:v>1.974554460997308</c:v>
                </c:pt>
                <c:pt idx="53">
                  <c:v>2.035085195009167</c:v>
                </c:pt>
                <c:pt idx="54">
                  <c:v>2.096646997470146</c:v>
                </c:pt>
                <c:pt idx="55">
                  <c:v>2.159256615981842</c:v>
                </c:pt>
                <c:pt idx="56">
                  <c:v>2.222930265789609</c:v>
                </c:pt>
                <c:pt idx="57">
                  <c:v>2.287685571163278</c:v>
                </c:pt>
                <c:pt idx="58">
                  <c:v>2.353540203747621</c:v>
                </c:pt>
                <c:pt idx="59">
                  <c:v>2.420512489382775</c:v>
                </c:pt>
              </c:numCache>
            </c:numRef>
          </c:yVal>
          <c:smooth val="1"/>
        </c:ser>
        <c:ser>
          <c:idx val="4"/>
          <c:order val="4"/>
          <c:tx>
            <c:v>$30/bbl</c:v>
          </c:tx>
          <c:xVal>
            <c:numRef>
              <c:f>'Wind Graphs'!$I$5:$I$64</c:f>
              <c:numCache>
                <c:formatCode>General</c:formatCode>
                <c:ptCount val="6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numCache>
            </c:numRef>
          </c:xVal>
          <c:yVal>
            <c:numRef>
              <c:f>'Wind Graphs'!$N$5:$N$64</c:f>
              <c:numCache>
                <c:formatCode>0%</c:formatCode>
                <c:ptCount val="60"/>
                <c:pt idx="0">
                  <c:v>0.0</c:v>
                </c:pt>
                <c:pt idx="1">
                  <c:v>0.0190605529367669</c:v>
                </c:pt>
                <c:pt idx="2">
                  <c:v>0.038912050872432</c:v>
                </c:pt>
                <c:pt idx="3">
                  <c:v>0.0596025918136849</c:v>
                </c:pt>
                <c:pt idx="4">
                  <c:v>0.0811711122421317</c:v>
                </c:pt>
                <c:pt idx="5">
                  <c:v>0.10366112940192</c:v>
                </c:pt>
                <c:pt idx="6">
                  <c:v>0.127112234169305</c:v>
                </c:pt>
                <c:pt idx="7">
                  <c:v>0.151571706557666</c:v>
                </c:pt>
                <c:pt idx="8">
                  <c:v>0.177090243974657</c:v>
                </c:pt>
                <c:pt idx="9">
                  <c:v>0.203716587915041</c:v>
                </c:pt>
                <c:pt idx="10">
                  <c:v>0.231505075939333</c:v>
                </c:pt>
                <c:pt idx="11">
                  <c:v>0.260510256138045</c:v>
                </c:pt>
                <c:pt idx="12">
                  <c:v>0.290792444020197</c:v>
                </c:pt>
                <c:pt idx="13">
                  <c:v>0.322413045142403</c:v>
                </c:pt>
                <c:pt idx="14">
                  <c:v>0.355439077906377</c:v>
                </c:pt>
                <c:pt idx="15">
                  <c:v>0.389939129163575</c:v>
                </c:pt>
                <c:pt idx="16">
                  <c:v>0.425985048559405</c:v>
                </c:pt>
                <c:pt idx="17">
                  <c:v>0.463653078096035</c:v>
                </c:pt>
                <c:pt idx="18">
                  <c:v>0.503022696249039</c:v>
                </c:pt>
                <c:pt idx="19">
                  <c:v>0.544177641154061</c:v>
                </c:pt>
                <c:pt idx="20">
                  <c:v>0.587206641454431</c:v>
                </c:pt>
                <c:pt idx="21">
                  <c:v>0.630469504555169</c:v>
                </c:pt>
                <c:pt idx="22">
                  <c:v>0.674081116032558</c:v>
                </c:pt>
                <c:pt idx="23">
                  <c:v>0.718139885978314</c:v>
                </c:pt>
                <c:pt idx="24">
                  <c:v>0.762729944713492</c:v>
                </c:pt>
                <c:pt idx="25">
                  <c:v>0.807925298363627</c:v>
                </c:pt>
                <c:pt idx="26">
                  <c:v>0.85379034644678</c:v>
                </c:pt>
                <c:pt idx="27">
                  <c:v>0.900381597339157</c:v>
                </c:pt>
                <c:pt idx="28">
                  <c:v>0.947746501499545</c:v>
                </c:pt>
                <c:pt idx="29">
                  <c:v>0.995928625732249</c:v>
                </c:pt>
                <c:pt idx="30">
                  <c:v>1.044964733186168</c:v>
                </c:pt>
                <c:pt idx="31">
                  <c:v>1.09488699161659</c:v>
                </c:pt>
                <c:pt idx="32">
                  <c:v>1.145722559169059</c:v>
                </c:pt>
                <c:pt idx="33">
                  <c:v>1.197493243260213</c:v>
                </c:pt>
                <c:pt idx="34">
                  <c:v>1.25021521793619</c:v>
                </c:pt>
                <c:pt idx="35">
                  <c:v>1.303901842179655</c:v>
                </c:pt>
                <c:pt idx="36">
                  <c:v>1.358561069018358</c:v>
                </c:pt>
                <c:pt idx="37">
                  <c:v>1.414195192463923</c:v>
                </c:pt>
                <c:pt idx="38">
                  <c:v>1.470802512670339</c:v>
                </c:pt>
                <c:pt idx="39">
                  <c:v>1.528375086708637</c:v>
                </c:pt>
                <c:pt idx="40">
                  <c:v>1.58689948991847</c:v>
                </c:pt>
                <c:pt idx="41">
                  <c:v>1.646356595968986</c:v>
                </c:pt>
                <c:pt idx="42">
                  <c:v>1.706777635111714</c:v>
                </c:pt>
                <c:pt idx="43">
                  <c:v>1.768190998484409</c:v>
                </c:pt>
                <c:pt idx="44">
                  <c:v>1.830623367925924</c:v>
                </c:pt>
                <c:pt idx="45">
                  <c:v>1.894099901769562</c:v>
                </c:pt>
                <c:pt idx="46">
                  <c:v>1.95864595632667</c:v>
                </c:pt>
                <c:pt idx="47">
                  <c:v>2.02428401142222</c:v>
                </c:pt>
                <c:pt idx="48">
                  <c:v>2.091036955432231</c:v>
                </c:pt>
                <c:pt idx="49">
                  <c:v>2.158926578584647</c:v>
                </c:pt>
                <c:pt idx="50">
                  <c:v>2.227973680620912</c:v>
                </c:pt>
                <c:pt idx="51">
                  <c:v>2.298198870767756</c:v>
                </c:pt>
                <c:pt idx="52">
                  <c:v>2.369621894274428</c:v>
                </c:pt>
                <c:pt idx="53">
                  <c:v>2.442262391042094</c:v>
                </c:pt>
                <c:pt idx="54">
                  <c:v>2.516140571493676</c:v>
                </c:pt>
                <c:pt idx="55">
                  <c:v>2.591275856845104</c:v>
                </c:pt>
                <c:pt idx="56">
                  <c:v>2.667688234162086</c:v>
                </c:pt>
                <c:pt idx="57">
                  <c:v>2.745398207579952</c:v>
                </c:pt>
                <c:pt idx="58">
                  <c:v>2.824426754484202</c:v>
                </c:pt>
                <c:pt idx="59">
                  <c:v>2.904796507609657</c:v>
                </c:pt>
              </c:numCache>
            </c:numRef>
          </c:yVal>
          <c:smooth val="1"/>
        </c:ser>
        <c:dLbls>
          <c:showLegendKey val="0"/>
          <c:showVal val="0"/>
          <c:showCatName val="0"/>
          <c:showSerName val="0"/>
          <c:showPercent val="0"/>
          <c:showBubbleSize val="0"/>
        </c:dLbls>
        <c:axId val="466261464"/>
        <c:axId val="466267256"/>
      </c:scatterChart>
      <c:valAx>
        <c:axId val="466261464"/>
        <c:scaling>
          <c:orientation val="minMax"/>
        </c:scaling>
        <c:delete val="0"/>
        <c:axPos val="b"/>
        <c:title>
          <c:tx>
            <c:rich>
              <a:bodyPr/>
              <a:lstStyle/>
              <a:p>
                <a:pPr>
                  <a:defRPr/>
                </a:pPr>
                <a:r>
                  <a:rPr lang="en-CA" sz="1100">
                    <a:latin typeface="Arial" panose="020B0604020202020204" pitchFamily="34" charset="0"/>
                    <a:cs typeface="Arial" panose="020B0604020202020204" pitchFamily="34" charset="0"/>
                  </a:rPr>
                  <a:t>Years</a:t>
                </a:r>
              </a:p>
            </c:rich>
          </c:tx>
          <c:layout>
            <c:manualLayout>
              <c:xMode val="edge"/>
              <c:yMode val="edge"/>
              <c:x val="0.428332337153957"/>
              <c:y val="0.92504630052924"/>
            </c:manualLayout>
          </c:layout>
          <c:overlay val="0"/>
        </c:title>
        <c:numFmt formatCode="General" sourceLinked="1"/>
        <c:majorTickMark val="out"/>
        <c:minorTickMark val="none"/>
        <c:tickLblPos val="nextTo"/>
        <c:crossAx val="466267256"/>
        <c:crosses val="autoZero"/>
        <c:crossBetween val="midCat"/>
      </c:valAx>
      <c:valAx>
        <c:axId val="466267256"/>
        <c:scaling>
          <c:orientation val="minMax"/>
        </c:scaling>
        <c:delete val="0"/>
        <c:axPos val="l"/>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r>
                  <a:rPr lang="en-US" sz="1100" b="1" i="0" baseline="0">
                    <a:effectLst/>
                    <a:latin typeface="Arial" panose="020B0604020202020204" pitchFamily="34" charset="0"/>
                    <a:cs typeface="Arial" panose="020B0604020202020204" pitchFamily="34" charset="0"/>
                  </a:rPr>
                  <a:t>CO</a:t>
                </a:r>
                <a:r>
                  <a:rPr lang="en-US" sz="800" b="1" i="0" baseline="0">
                    <a:effectLst/>
                    <a:latin typeface="Arial" panose="020B0604020202020204" pitchFamily="34" charset="0"/>
                    <a:cs typeface="Arial" panose="020B0604020202020204" pitchFamily="34" charset="0"/>
                  </a:rPr>
                  <a:t>2</a:t>
                </a:r>
                <a:r>
                  <a:rPr lang="en-US" sz="1100" b="1" i="0" baseline="0">
                    <a:effectLst/>
                    <a:latin typeface="Arial" panose="020B0604020202020204" pitchFamily="34" charset="0"/>
                    <a:cs typeface="Arial" panose="020B0604020202020204" pitchFamily="34" charset="0"/>
                  </a:rPr>
                  <a:t> saved by wind energy/oil sands CO</a:t>
                </a:r>
                <a:r>
                  <a:rPr lang="en-US" sz="800" b="1" i="0" baseline="0">
                    <a:effectLst/>
                    <a:latin typeface="Arial" panose="020B0604020202020204" pitchFamily="34" charset="0"/>
                    <a:cs typeface="Arial" panose="020B0604020202020204" pitchFamily="34" charset="0"/>
                  </a:rPr>
                  <a:t>2</a:t>
                </a:r>
                <a:endParaRPr lang="en-CA" sz="800">
                  <a:effectLst/>
                  <a:latin typeface="Arial" panose="020B0604020202020204" pitchFamily="34" charset="0"/>
                  <a:cs typeface="Arial" panose="020B0604020202020204" pitchFamily="34" charset="0"/>
                </a:endParaRPr>
              </a:p>
            </c:rich>
          </c:tx>
          <c:layout>
            <c:manualLayout>
              <c:xMode val="edge"/>
              <c:yMode val="edge"/>
              <c:x val="0.05862527831768"/>
              <c:y val="0.182624490481547"/>
            </c:manualLayout>
          </c:layout>
          <c:overlay val="0"/>
        </c:title>
        <c:numFmt formatCode="0%" sourceLinked="1"/>
        <c:majorTickMark val="out"/>
        <c:minorTickMark val="none"/>
        <c:tickLblPos val="nextTo"/>
        <c:crossAx val="466261464"/>
        <c:crosses val="autoZero"/>
        <c:crossBetween val="midCat"/>
      </c:valAx>
    </c:plotArea>
    <c:legend>
      <c:legendPos val="r"/>
      <c:layout>
        <c:manualLayout>
          <c:xMode val="edge"/>
          <c:yMode val="edge"/>
          <c:x val="0.814165202170724"/>
          <c:y val="0.367654641641346"/>
          <c:w val="0.143756737389057"/>
          <c:h val="0.305196769275585"/>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layout/>
      <c:overlay val="0"/>
    </c:title>
    <c:autoTitleDeleted val="0"/>
    <c:plotArea>
      <c:layout>
        <c:manualLayout>
          <c:layoutTarget val="inner"/>
          <c:xMode val="edge"/>
          <c:yMode val="edge"/>
          <c:x val="0.16147574142195"/>
          <c:y val="0.182386494005403"/>
          <c:w val="0.73226796775399"/>
          <c:h val="0.56154907024259"/>
        </c:manualLayout>
      </c:layout>
      <c:lineChart>
        <c:grouping val="standard"/>
        <c:varyColors val="0"/>
        <c:ser>
          <c:idx val="2"/>
          <c:order val="0"/>
          <c:tx>
            <c:strRef>
              <c:f>'Development Plan (Solar)'!$D$20</c:f>
              <c:strCache>
                <c:ptCount val="1"/>
                <c:pt idx="0">
                  <c:v>Cumulative ratio carbon saved/carbon burned</c:v>
                </c:pt>
              </c:strCache>
            </c:strRef>
          </c:tx>
          <c:marker>
            <c:symbol val="none"/>
          </c:marker>
          <c:cat>
            <c:numRef>
              <c:f>'Development Plan (Solar)'!$B$21:$B$101</c:f>
              <c:numCache>
                <c:formatCode>General</c:formatCode>
                <c:ptCount val="81"/>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pt idx="60">
                  <c:v>61.0</c:v>
                </c:pt>
                <c:pt idx="61">
                  <c:v>62.0</c:v>
                </c:pt>
                <c:pt idx="62">
                  <c:v>63.0</c:v>
                </c:pt>
                <c:pt idx="63">
                  <c:v>64.0</c:v>
                </c:pt>
                <c:pt idx="64">
                  <c:v>65.0</c:v>
                </c:pt>
                <c:pt idx="65">
                  <c:v>66.0</c:v>
                </c:pt>
                <c:pt idx="66">
                  <c:v>67.0</c:v>
                </c:pt>
                <c:pt idx="67">
                  <c:v>68.0</c:v>
                </c:pt>
                <c:pt idx="68">
                  <c:v>69.0</c:v>
                </c:pt>
                <c:pt idx="69">
                  <c:v>70.0</c:v>
                </c:pt>
                <c:pt idx="70">
                  <c:v>71.0</c:v>
                </c:pt>
                <c:pt idx="71">
                  <c:v>72.0</c:v>
                </c:pt>
                <c:pt idx="72">
                  <c:v>73.0</c:v>
                </c:pt>
                <c:pt idx="73">
                  <c:v>74.0</c:v>
                </c:pt>
                <c:pt idx="74">
                  <c:v>75.0</c:v>
                </c:pt>
                <c:pt idx="75">
                  <c:v>76.0</c:v>
                </c:pt>
                <c:pt idx="76">
                  <c:v>77.0</c:v>
                </c:pt>
                <c:pt idx="77">
                  <c:v>78.0</c:v>
                </c:pt>
                <c:pt idx="78">
                  <c:v>79.0</c:v>
                </c:pt>
                <c:pt idx="79">
                  <c:v>80.0</c:v>
                </c:pt>
                <c:pt idx="80">
                  <c:v>81.0</c:v>
                </c:pt>
              </c:numCache>
            </c:numRef>
          </c:cat>
          <c:val>
            <c:numRef>
              <c:f>'Development Plan (Solar)'!$D$21:$D$101</c:f>
              <c:numCache>
                <c:formatCode>0%</c:formatCode>
                <c:ptCount val="81"/>
                <c:pt idx="0">
                  <c:v>0.0</c:v>
                </c:pt>
                <c:pt idx="1">
                  <c:v>0.00337601168618516</c:v>
                </c:pt>
                <c:pt idx="2">
                  <c:v>0.00675726142366713</c:v>
                </c:pt>
                <c:pt idx="3">
                  <c:v>0.010143758461793</c:v>
                </c:pt>
                <c:pt idx="4">
                  <c:v>0.0135355118941314</c:v>
                </c:pt>
                <c:pt idx="5">
                  <c:v>0.0169325309181031</c:v>
                </c:pt>
                <c:pt idx="6">
                  <c:v>0.0203348247608014</c:v>
                </c:pt>
                <c:pt idx="7">
                  <c:v>0.0237424026117653</c:v>
                </c:pt>
                <c:pt idx="8">
                  <c:v>0.0271552737303873</c:v>
                </c:pt>
                <c:pt idx="9">
                  <c:v>0.030573447333097</c:v>
                </c:pt>
                <c:pt idx="10">
                  <c:v>0.0339969326836981</c:v>
                </c:pt>
                <c:pt idx="11">
                  <c:v>0.0374257390736294</c:v>
                </c:pt>
                <c:pt idx="12">
                  <c:v>0.0408598758113358</c:v>
                </c:pt>
                <c:pt idx="13">
                  <c:v>0.044299352188377</c:v>
                </c:pt>
                <c:pt idx="14">
                  <c:v>0.0477441775629454</c:v>
                </c:pt>
                <c:pt idx="15">
                  <c:v>0.0511943612660219</c:v>
                </c:pt>
                <c:pt idx="16">
                  <c:v>0.0546499126781054</c:v>
                </c:pt>
                <c:pt idx="17">
                  <c:v>0.0581108411721857</c:v>
                </c:pt>
                <c:pt idx="18">
                  <c:v>0.0615771561567142</c:v>
                </c:pt>
                <c:pt idx="19">
                  <c:v>0.0650488670472661</c:v>
                </c:pt>
                <c:pt idx="20">
                  <c:v>0.068525983283389</c:v>
                </c:pt>
                <c:pt idx="21">
                  <c:v>0.0720085143231551</c:v>
                </c:pt>
                <c:pt idx="22">
                  <c:v>0.0754964696391339</c:v>
                </c:pt>
                <c:pt idx="23">
                  <c:v>0.0789898587153719</c:v>
                </c:pt>
                <c:pt idx="24">
                  <c:v>0.082488691060675</c:v>
                </c:pt>
                <c:pt idx="25">
                  <c:v>0.0859929762038474</c:v>
                </c:pt>
                <c:pt idx="26">
                  <c:v>0.0892526487358464</c:v>
                </c:pt>
                <c:pt idx="27">
                  <c:v>0.0922933895206786</c:v>
                </c:pt>
                <c:pt idx="28">
                  <c:v>0.095137334763243</c:v>
                </c:pt>
                <c:pt idx="29">
                  <c:v>0.0978036668247931</c:v>
                </c:pt>
                <c:pt idx="30">
                  <c:v>0.100309090599081</c:v>
                </c:pt>
                <c:pt idx="31">
                  <c:v>0.102668220628823</c:v>
                </c:pt>
                <c:pt idx="32">
                  <c:v>0.104893897825555</c:v>
                </c:pt>
                <c:pt idx="33">
                  <c:v>0.106997450263386</c:v>
                </c:pt>
                <c:pt idx="34">
                  <c:v>0.108988909332008</c:v>
                </c:pt>
                <c:pt idx="35">
                  <c:v>0.110877189788483</c:v>
                </c:pt>
                <c:pt idx="36">
                  <c:v>0.112670240653546</c:v>
                </c:pt>
                <c:pt idx="37">
                  <c:v>0.114375172292423</c:v>
                </c:pt>
                <c:pt idx="38">
                  <c:v>0.115998363914793</c:v>
                </c:pt>
                <c:pt idx="39">
                  <c:v>0.117545554959501</c:v>
                </c:pt>
                <c:pt idx="40">
                  <c:v>0.119021923124884</c:v>
                </c:pt>
                <c:pt idx="41">
                  <c:v>0.120432151224101</c:v>
                </c:pt>
                <c:pt idx="42">
                  <c:v>0.121780484729917</c:v>
                </c:pt>
                <c:pt idx="43">
                  <c:v>0.123070781454776</c:v>
                </c:pt>
                <c:pt idx="44">
                  <c:v>0.124306554632822</c:v>
                </c:pt>
                <c:pt idx="45">
                  <c:v>0.125491010357133</c:v>
                </c:pt>
                <c:pt idx="46">
                  <c:v>0.126627080254298</c:v>
                </c:pt>
                <c:pt idx="47">
                  <c:v>0.127717450066566</c:v>
                </c:pt>
                <c:pt idx="48">
                  <c:v>0.128764584750033</c:v>
                </c:pt>
                <c:pt idx="49">
                  <c:v>0.129770750522098</c:v>
                </c:pt>
                <c:pt idx="50">
                  <c:v>0.130738034360926</c:v>
                </c:pt>
                <c:pt idx="51">
                  <c:v>0.131668361239986</c:v>
                </c:pt>
                <c:pt idx="52">
                  <c:v>0.132563805875592</c:v>
                </c:pt>
                <c:pt idx="53">
                  <c:v>0.133426289907174</c:v>
                </c:pt>
                <c:pt idx="54">
                  <c:v>0.134257595806276</c:v>
                </c:pt>
                <c:pt idx="55">
                  <c:v>0.135059379316171</c:v>
                </c:pt>
                <c:pt idx="56">
                  <c:v>0.13583318056154</c:v>
                </c:pt>
                <c:pt idx="57">
                  <c:v>0.136580434022311</c:v>
                </c:pt>
                <c:pt idx="58">
                  <c:v>0.137302477499803</c:v>
                </c:pt>
                <c:pt idx="59">
                  <c:v>0.138000560160296</c:v>
                </c:pt>
                <c:pt idx="60">
                  <c:v>0.138675849825734</c:v>
                </c:pt>
                <c:pt idx="61">
                  <c:v>0.139329439521193</c:v>
                </c:pt>
                <c:pt idx="62">
                  <c:v>0.139962353417318</c:v>
                </c:pt>
                <c:pt idx="63">
                  <c:v>0.140575552227834</c:v>
                </c:pt>
                <c:pt idx="64">
                  <c:v>0.14116993807287</c:v>
                </c:pt>
                <c:pt idx="65">
                  <c:v>0.141746358935572</c:v>
                </c:pt>
                <c:pt idx="66">
                  <c:v>0.142305612702178</c:v>
                </c:pt>
                <c:pt idx="67">
                  <c:v>0.142848450851335</c:v>
                </c:pt>
                <c:pt idx="68">
                  <c:v>0.143375581816975</c:v>
                </c:pt>
                <c:pt idx="69">
                  <c:v>0.143887674068499</c:v>
                </c:pt>
                <c:pt idx="70">
                  <c:v>0.144385358936147</c:v>
                </c:pt>
                <c:pt idx="71">
                  <c:v>0.144869233179293</c:v>
                </c:pt>
                <c:pt idx="72">
                  <c:v>0.145339861370316</c:v>
                </c:pt>
                <c:pt idx="73">
                  <c:v>0.145797778064134</c:v>
                </c:pt>
                <c:pt idx="74">
                  <c:v>0.146243489809751</c:v>
                </c:pt>
                <c:pt idx="75">
                  <c:v>0.146677476992756</c:v>
                </c:pt>
                <c:pt idx="76">
                  <c:v>0.147100195534243</c:v>
                </c:pt>
                <c:pt idx="77">
                  <c:v>0.147512078474026</c:v>
                </c:pt>
                <c:pt idx="78">
                  <c:v>0.147913536950501</c:v>
                </c:pt>
                <c:pt idx="79">
                  <c:v>0.148304961564617</c:v>
                </c:pt>
                <c:pt idx="80">
                  <c:v>0.148686723652429</c:v>
                </c:pt>
              </c:numCache>
            </c:numRef>
          </c:val>
          <c:smooth val="0"/>
        </c:ser>
        <c:dLbls>
          <c:showLegendKey val="0"/>
          <c:showVal val="0"/>
          <c:showCatName val="0"/>
          <c:showSerName val="0"/>
          <c:showPercent val="0"/>
          <c:showBubbleSize val="0"/>
        </c:dLbls>
        <c:hiLowLines/>
        <c:marker val="1"/>
        <c:smooth val="0"/>
        <c:axId val="466368600"/>
        <c:axId val="466374088"/>
      </c:lineChart>
      <c:catAx>
        <c:axId val="466368600"/>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474868163548098"/>
              <c:y val="0.871330172126274"/>
            </c:manualLayout>
          </c:layout>
          <c:overlay val="0"/>
        </c:title>
        <c:numFmt formatCode="General" sourceLinked="0"/>
        <c:majorTickMark val="in"/>
        <c:minorTickMark val="none"/>
        <c:tickLblPos val="nextTo"/>
        <c:crossAx val="466374088"/>
        <c:crosses val="autoZero"/>
        <c:auto val="0"/>
        <c:lblAlgn val="ctr"/>
        <c:lblOffset val="100"/>
        <c:tickLblSkip val="5"/>
        <c:tickMarkSkip val="5"/>
        <c:noMultiLvlLbl val="0"/>
      </c:catAx>
      <c:valAx>
        <c:axId val="466374088"/>
        <c:scaling>
          <c:orientation val="minMax"/>
        </c:scaling>
        <c:delete val="0"/>
        <c:axPos val="l"/>
        <c:majorGridlines/>
        <c:title>
          <c:tx>
            <c:rich>
              <a:bodyPr/>
              <a:lstStyle/>
              <a:p>
                <a:pPr>
                  <a:defRPr sz="1100" b="1">
                    <a:latin typeface="Arial" panose="020B0604020202020204" pitchFamily="34" charset="0"/>
                    <a:cs typeface="Arial" panose="020B0604020202020204" pitchFamily="34" charset="0"/>
                  </a:defRPr>
                </a:pPr>
                <a:r>
                  <a:rPr lang="en-US" sz="1000" b="1">
                    <a:latin typeface="Arial" panose="020B0604020202020204" pitchFamily="34" charset="0"/>
                    <a:cs typeface="Arial" panose="020B0604020202020204" pitchFamily="34" charset="0"/>
                  </a:rPr>
                  <a:t>CO</a:t>
                </a:r>
                <a:r>
                  <a:rPr lang="en-US" sz="8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Solar Energy/tar sands CO</a:t>
                </a:r>
                <a:r>
                  <a:rPr lang="en-US" sz="800" b="1" baseline="0">
                    <a:latin typeface="Arial" panose="020B0604020202020204" pitchFamily="34" charset="0"/>
                    <a:cs typeface="Arial" panose="020B0604020202020204" pitchFamily="34" charset="0"/>
                  </a:rPr>
                  <a:t>2</a:t>
                </a:r>
                <a:endParaRPr lang="en-US" sz="800" b="1">
                  <a:latin typeface="Arial" panose="020B0604020202020204" pitchFamily="34" charset="0"/>
                  <a:cs typeface="Arial" panose="020B0604020202020204" pitchFamily="34" charset="0"/>
                </a:endParaRPr>
              </a:p>
            </c:rich>
          </c:tx>
          <c:layout>
            <c:manualLayout>
              <c:xMode val="edge"/>
              <c:yMode val="edge"/>
              <c:x val="0.0307031198860848"/>
              <c:y val="0.116107945070402"/>
            </c:manualLayout>
          </c:layout>
          <c:overlay val="0"/>
        </c:title>
        <c:numFmt formatCode="0%" sourceLinked="1"/>
        <c:majorTickMark val="out"/>
        <c:minorTickMark val="none"/>
        <c:tickLblPos val="nextTo"/>
        <c:crossAx val="466368600"/>
        <c:crosses val="autoZero"/>
        <c:crossBetween val="between"/>
      </c:valAx>
    </c:plotArea>
    <c:plotVisOnly val="1"/>
    <c:dispBlanksAs val="gap"/>
    <c:showDLblsOverMax val="0"/>
  </c:chart>
  <c:spPr>
    <a:ln w="41275"/>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atin typeface="Arial" panose="020B0604020202020204" pitchFamily="34" charset="0"/>
                <a:cs typeface="Arial" panose="020B0604020202020204" pitchFamily="34" charset="0"/>
              </a:rPr>
              <a:t>Cumulative Ratio Carbon Saved vs Carbon Burned Using $0.05/kWh</a:t>
            </a:r>
            <a:r>
              <a:rPr lang="en-US" baseline="0">
                <a:latin typeface="Arial" panose="020B0604020202020204" pitchFamily="34" charset="0"/>
                <a:cs typeface="Arial" panose="020B0604020202020204" pitchFamily="34" charset="0"/>
              </a:rPr>
              <a:t> Reinvestment Policy</a:t>
            </a:r>
            <a:endParaRPr lang="en-CA">
              <a:latin typeface="Arial" panose="020B0604020202020204" pitchFamily="34" charset="0"/>
              <a:cs typeface="Arial" panose="020B0604020202020204" pitchFamily="34" charset="0"/>
            </a:endParaRPr>
          </a:p>
        </c:rich>
      </c:tx>
      <c:overlay val="1"/>
    </c:title>
    <c:autoTitleDeleted val="0"/>
    <c:plotArea>
      <c:layout>
        <c:manualLayout>
          <c:layoutTarget val="inner"/>
          <c:xMode val="edge"/>
          <c:yMode val="edge"/>
          <c:x val="0.143931318929961"/>
          <c:y val="0.228593128623964"/>
          <c:w val="0.662261010477139"/>
          <c:h val="0.637690921396186"/>
        </c:manualLayout>
      </c:layout>
      <c:scatterChart>
        <c:scatterStyle val="lineMarker"/>
        <c:varyColors val="0"/>
        <c:ser>
          <c:idx val="0"/>
          <c:order val="0"/>
          <c:tx>
            <c:v>$10/bbl</c:v>
          </c:tx>
          <c:xVal>
            <c:numRef>
              <c:f>'Solar Graphs'!$B$5:$B$64</c:f>
              <c:numCache>
                <c:formatCode>General</c:formatCode>
                <c:ptCount val="6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numCache>
            </c:numRef>
          </c:xVal>
          <c:yVal>
            <c:numRef>
              <c:f>'Solar Graphs'!$C$5:$C$64</c:f>
              <c:numCache>
                <c:formatCode>0%</c:formatCode>
                <c:ptCount val="60"/>
                <c:pt idx="0">
                  <c:v>0.0</c:v>
                </c:pt>
                <c:pt idx="1">
                  <c:v>0.00381596219620536</c:v>
                </c:pt>
                <c:pt idx="2">
                  <c:v>0.00767485273273084</c:v>
                </c:pt>
                <c:pt idx="3">
                  <c:v>0.0115772161449057</c:v>
                </c:pt>
                <c:pt idx="4">
                  <c:v>0.0155236032628837</c:v>
                </c:pt>
                <c:pt idx="5">
                  <c:v>0.019514572172741</c:v>
                </c:pt>
                <c:pt idx="6">
                  <c:v>0.0235506883537755</c:v>
                </c:pt>
                <c:pt idx="7">
                  <c:v>0.0276325247128326</c:v>
                </c:pt>
                <c:pt idx="8">
                  <c:v>0.0317606629750313</c:v>
                </c:pt>
                <c:pt idx="9">
                  <c:v>0.0359356917573422</c:v>
                </c:pt>
                <c:pt idx="10">
                  <c:v>0.0401582079499522</c:v>
                </c:pt>
                <c:pt idx="11">
                  <c:v>0.0444288163724845</c:v>
                </c:pt>
                <c:pt idx="12">
                  <c:v>0.0487481305437744</c:v>
                </c:pt>
                <c:pt idx="13">
                  <c:v>0.0531167717917175</c:v>
                </c:pt>
                <c:pt idx="14">
                  <c:v>0.0575353699605346</c:v>
                </c:pt>
                <c:pt idx="15">
                  <c:v>0.0620045634648883</c:v>
                </c:pt>
                <c:pt idx="16">
                  <c:v>0.0665249996900052</c:v>
                </c:pt>
                <c:pt idx="17">
                  <c:v>0.0710973345687805</c:v>
                </c:pt>
                <c:pt idx="18">
                  <c:v>0.075722232945775</c:v>
                </c:pt>
                <c:pt idx="19">
                  <c:v>0.0804003688320123</c:v>
                </c:pt>
                <c:pt idx="20">
                  <c:v>0.0851324252914165</c:v>
                </c:pt>
                <c:pt idx="21">
                  <c:v>0.0899190949224734</c:v>
                </c:pt>
                <c:pt idx="22">
                  <c:v>0.0947610794046617</c:v>
                </c:pt>
                <c:pt idx="23">
                  <c:v>0.0996590901927393</c:v>
                </c:pt>
                <c:pt idx="24">
                  <c:v>0.104613848547859</c:v>
                </c:pt>
                <c:pt idx="25">
                  <c:v>0.109626085322781</c:v>
                </c:pt>
                <c:pt idx="26">
                  <c:v>0.114696541484457</c:v>
                </c:pt>
                <c:pt idx="27">
                  <c:v>0.119825968302966</c:v>
                </c:pt>
                <c:pt idx="28">
                  <c:v>0.125015127073299</c:v>
                </c:pt>
                <c:pt idx="29">
                  <c:v>0.130264789513469</c:v>
                </c:pt>
                <c:pt idx="30">
                  <c:v>0.13557573808557</c:v>
                </c:pt>
                <c:pt idx="31">
                  <c:v>0.140948765868708</c:v>
                </c:pt>
                <c:pt idx="32">
                  <c:v>0.146384676643123</c:v>
                </c:pt>
                <c:pt idx="33">
                  <c:v>0.151884285507122</c:v>
                </c:pt>
                <c:pt idx="34">
                  <c:v>0.157448418501571</c:v>
                </c:pt>
                <c:pt idx="35">
                  <c:v>0.163077913159023</c:v>
                </c:pt>
                <c:pt idx="36">
                  <c:v>0.168773618460545</c:v>
                </c:pt>
                <c:pt idx="37">
                  <c:v>0.174536394962699</c:v>
                </c:pt>
                <c:pt idx="38">
                  <c:v>0.180367115223284</c:v>
                </c:pt>
                <c:pt idx="39">
                  <c:v>0.186266663542541</c:v>
                </c:pt>
                <c:pt idx="40">
                  <c:v>0.192235936650533</c:v>
                </c:pt>
                <c:pt idx="41">
                  <c:v>0.198275843409655</c:v>
                </c:pt>
                <c:pt idx="42">
                  <c:v>0.204387305424706</c:v>
                </c:pt>
                <c:pt idx="43">
                  <c:v>0.210571256864461</c:v>
                </c:pt>
                <c:pt idx="44">
                  <c:v>0.216828644720816</c:v>
                </c:pt>
                <c:pt idx="45">
                  <c:v>0.223160429034131</c:v>
                </c:pt>
                <c:pt idx="46">
                  <c:v>0.229567583221868</c:v>
                </c:pt>
                <c:pt idx="47">
                  <c:v>0.236051094107528</c:v>
                </c:pt>
                <c:pt idx="48">
                  <c:v>0.242611962072718</c:v>
                </c:pt>
                <c:pt idx="49">
                  <c:v>0.249251201315105</c:v>
                </c:pt>
                <c:pt idx="50">
                  <c:v>0.255969840076024</c:v>
                </c:pt>
                <c:pt idx="51">
                  <c:v>0.262768920841816</c:v>
                </c:pt>
                <c:pt idx="52">
                  <c:v>0.269649500522384</c:v>
                </c:pt>
                <c:pt idx="53">
                  <c:v>0.27661265072484</c:v>
                </c:pt>
                <c:pt idx="54">
                  <c:v>0.283659457771608</c:v>
                </c:pt>
                <c:pt idx="55">
                  <c:v>0.290791023049083</c:v>
                </c:pt>
                <c:pt idx="56">
                  <c:v>0.298008463319598</c:v>
                </c:pt>
                <c:pt idx="57">
                  <c:v>0.305312910787086</c:v>
                </c:pt>
                <c:pt idx="58">
                  <c:v>0.312705513261269</c:v>
                </c:pt>
                <c:pt idx="59">
                  <c:v>0.320187434615762</c:v>
                </c:pt>
              </c:numCache>
            </c:numRef>
          </c:yVal>
          <c:smooth val="0"/>
        </c:ser>
        <c:ser>
          <c:idx val="1"/>
          <c:order val="1"/>
          <c:tx>
            <c:v>$15/bbl</c:v>
          </c:tx>
          <c:xVal>
            <c:numRef>
              <c:f>'Solar Graphs'!$B$5:$B$64</c:f>
              <c:numCache>
                <c:formatCode>General</c:formatCode>
                <c:ptCount val="6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numCache>
            </c:numRef>
          </c:xVal>
          <c:yVal>
            <c:numRef>
              <c:f>'Solar Graphs'!$D$5:$D$64</c:f>
              <c:numCache>
                <c:formatCode>0%</c:formatCode>
                <c:ptCount val="60"/>
                <c:pt idx="0">
                  <c:v>0.0</c:v>
                </c:pt>
                <c:pt idx="1">
                  <c:v>0.00572394329430804</c:v>
                </c:pt>
                <c:pt idx="2">
                  <c:v>0.0115122801335604</c:v>
                </c:pt>
                <c:pt idx="3">
                  <c:v>0.0173658265449029</c:v>
                </c:pt>
                <c:pt idx="4">
                  <c:v>0.0232854073770396</c:v>
                </c:pt>
                <c:pt idx="5">
                  <c:v>0.0292718603280398</c:v>
                </c:pt>
                <c:pt idx="6">
                  <c:v>0.0353260347473722</c:v>
                </c:pt>
                <c:pt idx="7">
                  <c:v>0.0414487897847173</c:v>
                </c:pt>
                <c:pt idx="8">
                  <c:v>0.0476409972211181</c:v>
                </c:pt>
                <c:pt idx="9">
                  <c:v>0.0539035407394057</c:v>
                </c:pt>
                <c:pt idx="10">
                  <c:v>0.060237315592574</c:v>
                </c:pt>
                <c:pt idx="11">
                  <c:v>0.0666432289551994</c:v>
                </c:pt>
                <c:pt idx="12">
                  <c:v>0.0731222005901116</c:v>
                </c:pt>
                <c:pt idx="13">
                  <c:v>0.0796751627860068</c:v>
                </c:pt>
                <c:pt idx="14">
                  <c:v>0.0863030607338012</c:v>
                </c:pt>
                <c:pt idx="15">
                  <c:v>0.0930068519860035</c:v>
                </c:pt>
                <c:pt idx="16">
                  <c:v>0.0997875072022127</c:v>
                </c:pt>
                <c:pt idx="17">
                  <c:v>0.106646010301295</c:v>
                </c:pt>
                <c:pt idx="18">
                  <c:v>0.113583358892176</c:v>
                </c:pt>
                <c:pt idx="19">
                  <c:v>0.120600563644383</c:v>
                </c:pt>
                <c:pt idx="20">
                  <c:v>0.12769864931623</c:v>
                </c:pt>
                <c:pt idx="21">
                  <c:v>0.134878654656217</c:v>
                </c:pt>
                <c:pt idx="22">
                  <c:v>0.142141632330143</c:v>
                </c:pt>
                <c:pt idx="23">
                  <c:v>0.149488649642299</c:v>
                </c:pt>
                <c:pt idx="24">
                  <c:v>0.15692078809048</c:v>
                </c:pt>
                <c:pt idx="25">
                  <c:v>0.164439144217301</c:v>
                </c:pt>
                <c:pt idx="26">
                  <c:v>0.172044829582696</c:v>
                </c:pt>
                <c:pt idx="27">
                  <c:v>0.179738970742298</c:v>
                </c:pt>
                <c:pt idx="28">
                  <c:v>0.187522709872384</c:v>
                </c:pt>
                <c:pt idx="29">
                  <c:v>0.195397204649148</c:v>
                </c:pt>
                <c:pt idx="30">
                  <c:v>0.203363628551774</c:v>
                </c:pt>
                <c:pt idx="31">
                  <c:v>0.211423171108696</c:v>
                </c:pt>
                <c:pt idx="32">
                  <c:v>0.219577038287149</c:v>
                </c:pt>
                <c:pt idx="33">
                  <c:v>0.227826452448889</c:v>
                </c:pt>
                <c:pt idx="34">
                  <c:v>0.236172652845502</c:v>
                </c:pt>
                <c:pt idx="35">
                  <c:v>0.244616895686345</c:v>
                </c:pt>
                <c:pt idx="36">
                  <c:v>0.253160454363218</c:v>
                </c:pt>
                <c:pt idx="37">
                  <c:v>0.261804619966239</c:v>
                </c:pt>
                <c:pt idx="38">
                  <c:v>0.270550701083755</c:v>
                </c:pt>
                <c:pt idx="39">
                  <c:v>0.279400024408115</c:v>
                </c:pt>
                <c:pt idx="40">
                  <c:v>0.288353934950029</c:v>
                </c:pt>
                <c:pt idx="41">
                  <c:v>0.297413796074517</c:v>
                </c:pt>
                <c:pt idx="42">
                  <c:v>0.306580989964874</c:v>
                </c:pt>
                <c:pt idx="43">
                  <c:v>0.315856917882312</c:v>
                </c:pt>
                <c:pt idx="44">
                  <c:v>0.32524300039097</c:v>
                </c:pt>
                <c:pt idx="45">
                  <c:v>0.334740677688514</c:v>
                </c:pt>
                <c:pt idx="46">
                  <c:v>0.344351409762475</c:v>
                </c:pt>
                <c:pt idx="47">
                  <c:v>0.354076676785651</c:v>
                </c:pt>
                <c:pt idx="48">
                  <c:v>0.363917979463103</c:v>
                </c:pt>
                <c:pt idx="49">
                  <c:v>0.373876839089232</c:v>
                </c:pt>
                <c:pt idx="50">
                  <c:v>0.383954798084956</c:v>
                </c:pt>
                <c:pt idx="51">
                  <c:v>0.394153420114811</c:v>
                </c:pt>
                <c:pt idx="52">
                  <c:v>0.404474290542132</c:v>
                </c:pt>
                <c:pt idx="53">
                  <c:v>0.414919016718714</c:v>
                </c:pt>
                <c:pt idx="54">
                  <c:v>0.425489228242871</c:v>
                </c:pt>
                <c:pt idx="55">
                  <c:v>0.436186577189854</c:v>
                </c:pt>
                <c:pt idx="56">
                  <c:v>0.447012738644674</c:v>
                </c:pt>
                <c:pt idx="57">
                  <c:v>0.45796941085878</c:v>
                </c:pt>
                <c:pt idx="58">
                  <c:v>0.469058315601193</c:v>
                </c:pt>
                <c:pt idx="59">
                  <c:v>0.480281198681423</c:v>
                </c:pt>
              </c:numCache>
            </c:numRef>
          </c:yVal>
          <c:smooth val="0"/>
        </c:ser>
        <c:ser>
          <c:idx val="2"/>
          <c:order val="2"/>
          <c:tx>
            <c:v>$20/bbl</c:v>
          </c:tx>
          <c:xVal>
            <c:numRef>
              <c:f>'Solar Graphs'!$B$5:$B$64</c:f>
              <c:numCache>
                <c:formatCode>General</c:formatCode>
                <c:ptCount val="6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numCache>
            </c:numRef>
          </c:xVal>
          <c:yVal>
            <c:numRef>
              <c:f>'Solar Graphs'!$E$5:$E$64</c:f>
              <c:numCache>
                <c:formatCode>0%</c:formatCode>
                <c:ptCount val="60"/>
                <c:pt idx="0">
                  <c:v>0.0</c:v>
                </c:pt>
                <c:pt idx="1">
                  <c:v>0.00763192439241072</c:v>
                </c:pt>
                <c:pt idx="2">
                  <c:v>0.01534970753439</c:v>
                </c:pt>
                <c:pt idx="3">
                  <c:v>0.0231544353932039</c:v>
                </c:pt>
                <c:pt idx="4">
                  <c:v>0.0310472102498384</c:v>
                </c:pt>
                <c:pt idx="5">
                  <c:v>0.0390291484833385</c:v>
                </c:pt>
                <c:pt idx="6">
                  <c:v>0.0471013811409689</c:v>
                </c:pt>
                <c:pt idx="7">
                  <c:v>0.055265054856602</c:v>
                </c:pt>
                <c:pt idx="8">
                  <c:v>0.0635213321568476</c:v>
                </c:pt>
                <c:pt idx="9">
                  <c:v>0.0718713903421478</c:v>
                </c:pt>
                <c:pt idx="10">
                  <c:v>0.0803164232351958</c:v>
                </c:pt>
                <c:pt idx="11">
                  <c:v>0.0888576410206822</c:v>
                </c:pt>
                <c:pt idx="12">
                  <c:v>0.0974962701590037</c:v>
                </c:pt>
                <c:pt idx="13">
                  <c:v>0.106233553336954</c:v>
                </c:pt>
                <c:pt idx="14">
                  <c:v>0.115070750679496</c:v>
                </c:pt>
                <c:pt idx="15">
                  <c:v>0.124009138955422</c:v>
                </c:pt>
                <c:pt idx="16">
                  <c:v>0.13305001252379</c:v>
                </c:pt>
                <c:pt idx="17">
                  <c:v>0.142194683620059</c:v>
                </c:pt>
                <c:pt idx="18">
                  <c:v>0.151444481898522</c:v>
                </c:pt>
                <c:pt idx="19">
                  <c:v>0.160800755353362</c:v>
                </c:pt>
                <c:pt idx="20">
                  <c:v>0.170264870089871</c:v>
                </c:pt>
                <c:pt idx="21">
                  <c:v>0.179838211004441</c:v>
                </c:pt>
                <c:pt idx="22">
                  <c:v>0.189522181747442</c:v>
                </c:pt>
                <c:pt idx="23">
                  <c:v>0.199318205212618</c:v>
                </c:pt>
                <c:pt idx="24">
                  <c:v>0.209227723660758</c:v>
                </c:pt>
                <c:pt idx="25">
                  <c:v>0.219252199053539</c:v>
                </c:pt>
                <c:pt idx="26">
                  <c:v>0.229393113313197</c:v>
                </c:pt>
                <c:pt idx="27">
                  <c:v>0.239651968748212</c:v>
                </c:pt>
                <c:pt idx="28">
                  <c:v>0.250030288176901</c:v>
                </c:pt>
                <c:pt idx="29">
                  <c:v>0.260529615026291</c:v>
                </c:pt>
                <c:pt idx="30">
                  <c:v>0.271151514012507</c:v>
                </c:pt>
                <c:pt idx="31">
                  <c:v>0.28189757130567</c:v>
                </c:pt>
                <c:pt idx="32">
                  <c:v>0.292769394852896</c:v>
                </c:pt>
                <c:pt idx="33">
                  <c:v>0.303768614461738</c:v>
                </c:pt>
                <c:pt idx="34">
                  <c:v>0.314896882401341</c:v>
                </c:pt>
                <c:pt idx="35">
                  <c:v>0.326155873558577</c:v>
                </c:pt>
                <c:pt idx="36">
                  <c:v>0.337547285904366</c:v>
                </c:pt>
                <c:pt idx="37">
                  <c:v>0.349072840723032</c:v>
                </c:pt>
                <c:pt idx="38">
                  <c:v>0.360734282965517</c:v>
                </c:pt>
                <c:pt idx="39">
                  <c:v>0.372533381549619</c:v>
                </c:pt>
                <c:pt idx="40">
                  <c:v>0.384471929616286</c:v>
                </c:pt>
                <c:pt idx="41">
                  <c:v>0.396551745192644</c:v>
                </c:pt>
                <c:pt idx="42">
                  <c:v>0.408774671185135</c:v>
                </c:pt>
                <c:pt idx="43">
                  <c:v>0.421142575937834</c:v>
                </c:pt>
                <c:pt idx="44">
                  <c:v>0.433657353578409</c:v>
                </c:pt>
                <c:pt idx="45">
                  <c:v>0.446320924318945</c:v>
                </c:pt>
                <c:pt idx="46">
                  <c:v>0.45913523485043</c:v>
                </c:pt>
                <c:pt idx="47">
                  <c:v>0.472102258687926</c:v>
                </c:pt>
                <c:pt idx="48">
                  <c:v>0.485223996726819</c:v>
                </c:pt>
                <c:pt idx="49">
                  <c:v>0.498502477359902</c:v>
                </c:pt>
                <c:pt idx="50">
                  <c:v>0.511939757189202</c:v>
                </c:pt>
                <c:pt idx="51">
                  <c:v>0.525537921178224</c:v>
                </c:pt>
                <c:pt idx="52">
                  <c:v>0.539299083138282</c:v>
                </c:pt>
                <c:pt idx="53">
                  <c:v>0.553225386045861</c:v>
                </c:pt>
                <c:pt idx="54">
                  <c:v>0.567319002663907</c:v>
                </c:pt>
                <c:pt idx="55">
                  <c:v>0.581582135874877</c:v>
                </c:pt>
                <c:pt idx="56">
                  <c:v>0.596017019087624</c:v>
                </c:pt>
                <c:pt idx="57">
                  <c:v>0.610625916602191</c:v>
                </c:pt>
                <c:pt idx="58">
                  <c:v>0.625411124253102</c:v>
                </c:pt>
                <c:pt idx="59">
                  <c:v>0.640374969677993</c:v>
                </c:pt>
              </c:numCache>
            </c:numRef>
          </c:yVal>
          <c:smooth val="0"/>
        </c:ser>
        <c:ser>
          <c:idx val="3"/>
          <c:order val="3"/>
          <c:tx>
            <c:v>$25/bbl</c:v>
          </c:tx>
          <c:xVal>
            <c:numRef>
              <c:f>'Solar Graphs'!$B$5:$B$64</c:f>
              <c:numCache>
                <c:formatCode>General</c:formatCode>
                <c:ptCount val="6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numCache>
            </c:numRef>
          </c:xVal>
          <c:yVal>
            <c:numRef>
              <c:f>'Solar Graphs'!$F$5:$F$64</c:f>
              <c:numCache>
                <c:formatCode>0%</c:formatCode>
                <c:ptCount val="60"/>
                <c:pt idx="0">
                  <c:v>0.0</c:v>
                </c:pt>
                <c:pt idx="1">
                  <c:v>0.0095399054905134</c:v>
                </c:pt>
                <c:pt idx="2">
                  <c:v>0.0191871328662912</c:v>
                </c:pt>
                <c:pt idx="3">
                  <c:v>0.0289430426898086</c:v>
                </c:pt>
                <c:pt idx="4">
                  <c:v>0.0388090118812803</c:v>
                </c:pt>
                <c:pt idx="5">
                  <c:v>0.0487864356041732</c:v>
                </c:pt>
                <c:pt idx="6">
                  <c:v>0.0588767275345656</c:v>
                </c:pt>
                <c:pt idx="7">
                  <c:v>0.0690813207043348</c:v>
                </c:pt>
                <c:pt idx="8">
                  <c:v>0.0794016677822199</c:v>
                </c:pt>
                <c:pt idx="9">
                  <c:v>0.0898392411862468</c:v>
                </c:pt>
                <c:pt idx="10">
                  <c:v>0.10039553313483</c:v>
                </c:pt>
                <c:pt idx="11">
                  <c:v>0.111072056189557</c:v>
                </c:pt>
                <c:pt idx="12">
                  <c:v>0.121870343070011</c:v>
                </c:pt>
                <c:pt idx="13">
                  <c:v>0.132791947877978</c:v>
                </c:pt>
                <c:pt idx="14">
                  <c:v>0.143838445176834</c:v>
                </c:pt>
                <c:pt idx="15">
                  <c:v>0.155011431355778</c:v>
                </c:pt>
                <c:pt idx="16">
                  <c:v>0.166312524417258</c:v>
                </c:pt>
                <c:pt idx="17">
                  <c:v>0.177743364180073</c:v>
                </c:pt>
                <c:pt idx="18">
                  <c:v>0.189305612745016</c:v>
                </c:pt>
                <c:pt idx="19">
                  <c:v>0.201000955131161</c:v>
                </c:pt>
                <c:pt idx="20">
                  <c:v>0.212831099139226</c:v>
                </c:pt>
                <c:pt idx="21">
                  <c:v>0.224797775816463</c:v>
                </c:pt>
                <c:pt idx="22">
                  <c:v>0.236902739800267</c:v>
                </c:pt>
                <c:pt idx="23">
                  <c:v>0.249147769575883</c:v>
                </c:pt>
                <c:pt idx="24">
                  <c:v>0.261534668168806</c:v>
                </c:pt>
                <c:pt idx="25">
                  <c:v>0.274065262961232</c:v>
                </c:pt>
                <c:pt idx="26">
                  <c:v>0.286741406468816</c:v>
                </c:pt>
                <c:pt idx="27">
                  <c:v>0.299564976507645</c:v>
                </c:pt>
                <c:pt idx="28">
                  <c:v>0.312537876326663</c:v>
                </c:pt>
                <c:pt idx="29">
                  <c:v>0.325662035541183</c:v>
                </c:pt>
                <c:pt idx="30">
                  <c:v>0.33893940988462</c:v>
                </c:pt>
                <c:pt idx="31">
                  <c:v>0.352371982170556</c:v>
                </c:pt>
                <c:pt idx="32">
                  <c:v>0.365961762139454</c:v>
                </c:pt>
                <c:pt idx="33">
                  <c:v>0.379710787245185</c:v>
                </c:pt>
                <c:pt idx="34">
                  <c:v>0.39362112277472</c:v>
                </c:pt>
                <c:pt idx="35">
                  <c:v>0.407694862465093</c:v>
                </c:pt>
                <c:pt idx="36">
                  <c:v>0.421934128684828</c:v>
                </c:pt>
                <c:pt idx="37">
                  <c:v>0.436341073076713</c:v>
                </c:pt>
                <c:pt idx="38">
                  <c:v>0.450917876783405</c:v>
                </c:pt>
                <c:pt idx="39">
                  <c:v>0.465666750794353</c:v>
                </c:pt>
                <c:pt idx="40">
                  <c:v>0.480589936696112</c:v>
                </c:pt>
                <c:pt idx="41">
                  <c:v>0.495689706872123</c:v>
                </c:pt>
                <c:pt idx="42">
                  <c:v>0.510968365107653</c:v>
                </c:pt>
                <c:pt idx="43">
                  <c:v>0.526428246830116</c:v>
                </c:pt>
                <c:pt idx="44">
                  <c:v>0.542071719593205</c:v>
                </c:pt>
                <c:pt idx="45">
                  <c:v>0.557901183632807</c:v>
                </c:pt>
                <c:pt idx="46">
                  <c:v>0.573919072351955</c:v>
                </c:pt>
                <c:pt idx="47">
                  <c:v>0.590127852745155</c:v>
                </c:pt>
                <c:pt idx="48">
                  <c:v>0.606530025897428</c:v>
                </c:pt>
                <c:pt idx="49">
                  <c:v>0.623128127423462</c:v>
                </c:pt>
                <c:pt idx="50">
                  <c:v>0.639924727855107</c:v>
                </c:pt>
                <c:pt idx="51">
                  <c:v>0.656922433461595</c:v>
                </c:pt>
                <c:pt idx="52">
                  <c:v>0.674123886508473</c:v>
                </c:pt>
                <c:pt idx="53">
                  <c:v>0.691531765832589</c:v>
                </c:pt>
                <c:pt idx="54">
                  <c:v>0.70914878735435</c:v>
                </c:pt>
                <c:pt idx="55">
                  <c:v>0.726977704645926</c:v>
                </c:pt>
                <c:pt idx="56">
                  <c:v>0.745021309439653</c:v>
                </c:pt>
                <c:pt idx="57">
                  <c:v>0.763282432190846</c:v>
                </c:pt>
                <c:pt idx="58">
                  <c:v>0.781763942583386</c:v>
                </c:pt>
                <c:pt idx="59">
                  <c:v>0.800468750191634</c:v>
                </c:pt>
              </c:numCache>
            </c:numRef>
          </c:yVal>
          <c:smooth val="0"/>
        </c:ser>
        <c:ser>
          <c:idx val="4"/>
          <c:order val="4"/>
          <c:tx>
            <c:v>$30/bbl</c:v>
          </c:tx>
          <c:xVal>
            <c:numRef>
              <c:f>'Solar Graphs'!$B$5:$B$64</c:f>
              <c:numCache>
                <c:formatCode>General</c:formatCode>
                <c:ptCount val="6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numCache>
            </c:numRef>
          </c:xVal>
          <c:yVal>
            <c:numRef>
              <c:f>'Solar Graphs'!$G$5:$G$64</c:f>
              <c:numCache>
                <c:formatCode>0%</c:formatCode>
                <c:ptCount val="60"/>
                <c:pt idx="0">
                  <c:v>0.0</c:v>
                </c:pt>
                <c:pt idx="1">
                  <c:v>0.0114478865886161</c:v>
                </c:pt>
                <c:pt idx="2">
                  <c:v>0.0230245602671208</c:v>
                </c:pt>
                <c:pt idx="3">
                  <c:v>0.0347316530898058</c:v>
                </c:pt>
                <c:pt idx="4">
                  <c:v>0.0465708159954361</c:v>
                </c:pt>
                <c:pt idx="5">
                  <c:v>0.058543723759472</c:v>
                </c:pt>
                <c:pt idx="6">
                  <c:v>0.0706520739281623</c:v>
                </c:pt>
                <c:pt idx="7">
                  <c:v>0.0828975857762195</c:v>
                </c:pt>
                <c:pt idx="8">
                  <c:v>0.0952820027179495</c:v>
                </c:pt>
                <c:pt idx="9">
                  <c:v>0.107807091409667</c:v>
                </c:pt>
                <c:pt idx="10">
                  <c:v>0.120474642470212</c:v>
                </c:pt>
                <c:pt idx="11">
                  <c:v>0.133286470841201</c:v>
                </c:pt>
                <c:pt idx="12">
                  <c:v>0.146244415981018</c:v>
                </c:pt>
                <c:pt idx="13">
                  <c:v>0.159350342419001</c:v>
                </c:pt>
                <c:pt idx="14">
                  <c:v>0.172606140087957</c:v>
                </c:pt>
                <c:pt idx="15">
                  <c:v>0.186013724531982</c:v>
                </c:pt>
                <c:pt idx="16">
                  <c:v>0.199575037040935</c:v>
                </c:pt>
                <c:pt idx="17">
                  <c:v>0.213292045429729</c:v>
                </c:pt>
                <c:pt idx="18">
                  <c:v>0.22716674457153</c:v>
                </c:pt>
                <c:pt idx="19">
                  <c:v>0.241201156150317</c:v>
                </c:pt>
                <c:pt idx="20">
                  <c:v>0.255397329666386</c:v>
                </c:pt>
                <c:pt idx="21">
                  <c:v>0.269757342321244</c:v>
                </c:pt>
                <c:pt idx="22">
                  <c:v>0.284283299742114</c:v>
                </c:pt>
                <c:pt idx="23">
                  <c:v>0.298977336266692</c:v>
                </c:pt>
                <c:pt idx="24">
                  <c:v>0.31384161540784</c:v>
                </c:pt>
                <c:pt idx="25">
                  <c:v>0.328878329972317</c:v>
                </c:pt>
                <c:pt idx="26">
                  <c:v>0.344089702842767</c:v>
                </c:pt>
                <c:pt idx="27">
                  <c:v>0.35947798737047</c:v>
                </c:pt>
                <c:pt idx="28">
                  <c:v>0.375045467686832</c:v>
                </c:pt>
                <c:pt idx="29">
                  <c:v>0.390794459159467</c:v>
                </c:pt>
                <c:pt idx="30">
                  <c:v>0.406727308960236</c:v>
                </c:pt>
                <c:pt idx="31">
                  <c:v>0.422846396138835</c:v>
                </c:pt>
                <c:pt idx="32">
                  <c:v>0.439154132623446</c:v>
                </c:pt>
                <c:pt idx="33">
                  <c:v>0.455652963314577</c:v>
                </c:pt>
                <c:pt idx="34">
                  <c:v>0.472345366517496</c:v>
                </c:pt>
                <c:pt idx="35">
                  <c:v>0.489233854647413</c:v>
                </c:pt>
                <c:pt idx="36">
                  <c:v>0.506320974652557</c:v>
                </c:pt>
                <c:pt idx="37">
                  <c:v>0.523609308370449</c:v>
                </c:pt>
                <c:pt idx="38">
                  <c:v>0.541101473147666</c:v>
                </c:pt>
                <c:pt idx="39">
                  <c:v>0.558800122366632</c:v>
                </c:pt>
                <c:pt idx="40">
                  <c:v>0.576707945895328</c:v>
                </c:pt>
                <c:pt idx="41">
                  <c:v>0.594827670620529</c:v>
                </c:pt>
                <c:pt idx="42">
                  <c:v>0.613162060906641</c:v>
                </c:pt>
                <c:pt idx="43">
                  <c:v>0.631713919274094</c:v>
                </c:pt>
                <c:pt idx="44">
                  <c:v>0.650486086987286</c:v>
                </c:pt>
                <c:pt idx="45">
                  <c:v>0.669481444295969</c:v>
                </c:pt>
                <c:pt idx="46">
                  <c:v>0.688702911306131</c:v>
                </c:pt>
                <c:pt idx="47">
                  <c:v>0.70815344835408</c:v>
                </c:pt>
                <c:pt idx="48">
                  <c:v>0.727836056714735</c:v>
                </c:pt>
                <c:pt idx="49">
                  <c:v>0.747753779100787</c:v>
                </c:pt>
                <c:pt idx="50">
                  <c:v>0.767909700224835</c:v>
                </c:pt>
                <c:pt idx="51">
                  <c:v>0.788306947535384</c:v>
                </c:pt>
                <c:pt idx="52">
                  <c:v>0.808948691752411</c:v>
                </c:pt>
                <c:pt idx="53">
                  <c:v>0.829838147458366</c:v>
                </c:pt>
                <c:pt idx="54">
                  <c:v>0.850978573737553</c:v>
                </c:pt>
                <c:pt idx="55">
                  <c:v>0.872373274968672</c:v>
                </c:pt>
                <c:pt idx="56">
                  <c:v>0.894025601207264</c:v>
                </c:pt>
                <c:pt idx="57">
                  <c:v>0.915938948956651</c:v>
                </c:pt>
                <c:pt idx="58">
                  <c:v>0.938116761860469</c:v>
                </c:pt>
                <c:pt idx="59">
                  <c:v>0.9605625314294</c:v>
                </c:pt>
              </c:numCache>
            </c:numRef>
          </c:yVal>
          <c:smooth val="0"/>
        </c:ser>
        <c:dLbls>
          <c:showLegendKey val="0"/>
          <c:showVal val="0"/>
          <c:showCatName val="0"/>
          <c:showSerName val="0"/>
          <c:showPercent val="0"/>
          <c:showBubbleSize val="0"/>
        </c:dLbls>
        <c:axId val="466436376"/>
        <c:axId val="466442168"/>
      </c:scatterChart>
      <c:valAx>
        <c:axId val="466436376"/>
        <c:scaling>
          <c:orientation val="minMax"/>
        </c:scaling>
        <c:delete val="0"/>
        <c:axPos val="b"/>
        <c:title>
          <c:tx>
            <c:rich>
              <a:bodyPr/>
              <a:lstStyle/>
              <a:p>
                <a:pPr>
                  <a:defRPr/>
                </a:pPr>
                <a:r>
                  <a:rPr lang="en-CA" sz="1100">
                    <a:latin typeface="Arial" panose="020B0604020202020204" pitchFamily="34" charset="0"/>
                    <a:cs typeface="Arial" panose="020B0604020202020204" pitchFamily="34" charset="0"/>
                  </a:rPr>
                  <a:t>Years</a:t>
                </a:r>
              </a:p>
            </c:rich>
          </c:tx>
          <c:layout>
            <c:manualLayout>
              <c:xMode val="edge"/>
              <c:yMode val="edge"/>
              <c:x val="0.436675928744884"/>
              <c:y val="0.931085507770767"/>
            </c:manualLayout>
          </c:layout>
          <c:overlay val="0"/>
        </c:title>
        <c:numFmt formatCode="General" sourceLinked="1"/>
        <c:majorTickMark val="out"/>
        <c:minorTickMark val="none"/>
        <c:tickLblPos val="nextTo"/>
        <c:crossAx val="466442168"/>
        <c:crosses val="autoZero"/>
        <c:crossBetween val="midCat"/>
      </c:valAx>
      <c:valAx>
        <c:axId val="466442168"/>
        <c:scaling>
          <c:orientation val="minMax"/>
        </c:scaling>
        <c:delete val="0"/>
        <c:axPos val="l"/>
        <c:majorGridlines/>
        <c:title>
          <c:tx>
            <c:rich>
              <a:bodyPr rot="-5400000" vert="horz"/>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CO</a:t>
                </a:r>
                <a:r>
                  <a:rPr lang="en-US" sz="700">
                    <a:latin typeface="Arial" panose="020B0604020202020204" pitchFamily="34" charset="0"/>
                    <a:cs typeface="Arial" panose="020B0604020202020204" pitchFamily="34" charset="0"/>
                  </a:rPr>
                  <a:t>2</a:t>
                </a:r>
                <a:r>
                  <a:rPr lang="en-US" sz="1100">
                    <a:latin typeface="Arial" panose="020B0604020202020204" pitchFamily="34" charset="0"/>
                    <a:cs typeface="Arial" panose="020B0604020202020204" pitchFamily="34" charset="0"/>
                  </a:rPr>
                  <a:t> saved by Solar Energy/Oil sands CO</a:t>
                </a:r>
                <a:r>
                  <a:rPr lang="en-US" sz="700">
                    <a:latin typeface="Arial" panose="020B0604020202020204" pitchFamily="34" charset="0"/>
                    <a:cs typeface="Arial" panose="020B0604020202020204" pitchFamily="34" charset="0"/>
                  </a:rPr>
                  <a:t>2</a:t>
                </a:r>
                <a:endParaRPr lang="en-CA" sz="1100">
                  <a:latin typeface="Arial" panose="020B0604020202020204" pitchFamily="34" charset="0"/>
                  <a:cs typeface="Arial" panose="020B0604020202020204" pitchFamily="34" charset="0"/>
                </a:endParaRPr>
              </a:p>
            </c:rich>
          </c:tx>
          <c:layout>
            <c:manualLayout>
              <c:xMode val="edge"/>
              <c:yMode val="edge"/>
              <c:x val="0.0312411520846301"/>
              <c:y val="0.171369872149051"/>
            </c:manualLayout>
          </c:layout>
          <c:overlay val="0"/>
        </c:title>
        <c:numFmt formatCode="0%" sourceLinked="1"/>
        <c:majorTickMark val="out"/>
        <c:minorTickMark val="none"/>
        <c:tickLblPos val="nextTo"/>
        <c:crossAx val="466436376"/>
        <c:crosses val="autoZero"/>
        <c:crossBetween val="midCat"/>
      </c:valAx>
    </c:plotArea>
    <c:legend>
      <c:legendPos val="r"/>
      <c:layout>
        <c:manualLayout>
          <c:xMode val="edge"/>
          <c:yMode val="edge"/>
          <c:x val="0.830749432183046"/>
          <c:y val="0.334736155090699"/>
          <c:w val="0.141888964387066"/>
          <c:h val="0.417848980781324"/>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latin typeface="Arial" panose="020B0604020202020204" pitchFamily="34" charset="0"/>
                <a:cs typeface="Arial" panose="020B0604020202020204" pitchFamily="34" charset="0"/>
              </a:rPr>
              <a:t>Cumulative Ratio Carbon Saved vs Carbon Burned Using $0.07/kWh Reinvestment Policy</a:t>
            </a:r>
            <a:endParaRPr lang="en-CA">
              <a:latin typeface="Arial" panose="020B0604020202020204" pitchFamily="34" charset="0"/>
              <a:cs typeface="Arial" panose="020B0604020202020204" pitchFamily="34" charset="0"/>
            </a:endParaRPr>
          </a:p>
        </c:rich>
      </c:tx>
      <c:overlay val="1"/>
    </c:title>
    <c:autoTitleDeleted val="0"/>
    <c:plotArea>
      <c:layout>
        <c:manualLayout>
          <c:layoutTarget val="inner"/>
          <c:xMode val="edge"/>
          <c:yMode val="edge"/>
          <c:x val="0.155104170140323"/>
          <c:y val="0.211773659869933"/>
          <c:w val="0.637880567163269"/>
          <c:h val="0.653472777441281"/>
        </c:manualLayout>
      </c:layout>
      <c:scatterChart>
        <c:scatterStyle val="smoothMarker"/>
        <c:varyColors val="0"/>
        <c:ser>
          <c:idx val="0"/>
          <c:order val="0"/>
          <c:tx>
            <c:v>$10/bbl</c:v>
          </c:tx>
          <c:xVal>
            <c:numRef>
              <c:f>'Solar Graphs'!$I$5:$I$64</c:f>
              <c:numCache>
                <c:formatCode>General</c:formatCode>
                <c:ptCount val="6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numCache>
            </c:numRef>
          </c:xVal>
          <c:yVal>
            <c:numRef>
              <c:f>'Solar Graphs'!$J$5:$J$64</c:f>
              <c:numCache>
                <c:formatCode>0%</c:formatCode>
                <c:ptCount val="60"/>
                <c:pt idx="0">
                  <c:v>0.0</c:v>
                </c:pt>
                <c:pt idx="1">
                  <c:v>0.00381596219620536</c:v>
                </c:pt>
                <c:pt idx="2">
                  <c:v>0.00767485273273084</c:v>
                </c:pt>
                <c:pt idx="3">
                  <c:v>0.0115772161449057</c:v>
                </c:pt>
                <c:pt idx="4">
                  <c:v>0.0155236032628837</c:v>
                </c:pt>
                <c:pt idx="5">
                  <c:v>0.019514572172741</c:v>
                </c:pt>
                <c:pt idx="6">
                  <c:v>0.0235506883537755</c:v>
                </c:pt>
                <c:pt idx="7">
                  <c:v>0.0276325247128326</c:v>
                </c:pt>
                <c:pt idx="8">
                  <c:v>0.0317606629750313</c:v>
                </c:pt>
                <c:pt idx="9">
                  <c:v>0.0359356917573422</c:v>
                </c:pt>
                <c:pt idx="10">
                  <c:v>0.0401582079499522</c:v>
                </c:pt>
                <c:pt idx="11">
                  <c:v>0.0444288163724845</c:v>
                </c:pt>
                <c:pt idx="12">
                  <c:v>0.0487481305437744</c:v>
                </c:pt>
                <c:pt idx="13">
                  <c:v>0.0531167717917175</c:v>
                </c:pt>
                <c:pt idx="14">
                  <c:v>0.0575353699605346</c:v>
                </c:pt>
                <c:pt idx="15">
                  <c:v>0.0620045634648883</c:v>
                </c:pt>
                <c:pt idx="16">
                  <c:v>0.0665249996900052</c:v>
                </c:pt>
                <c:pt idx="17">
                  <c:v>0.0710973345687805</c:v>
                </c:pt>
                <c:pt idx="18">
                  <c:v>0.075722232945775</c:v>
                </c:pt>
                <c:pt idx="19">
                  <c:v>0.0804003688320123</c:v>
                </c:pt>
                <c:pt idx="20">
                  <c:v>0.0851324252914165</c:v>
                </c:pt>
                <c:pt idx="21">
                  <c:v>0.0899190949224734</c:v>
                </c:pt>
                <c:pt idx="22">
                  <c:v>0.0947610794046617</c:v>
                </c:pt>
                <c:pt idx="23">
                  <c:v>0.0996590901927393</c:v>
                </c:pt>
                <c:pt idx="24">
                  <c:v>0.104613848547859</c:v>
                </c:pt>
                <c:pt idx="25">
                  <c:v>0.109626085322781</c:v>
                </c:pt>
                <c:pt idx="26">
                  <c:v>0.114696541484457</c:v>
                </c:pt>
                <c:pt idx="27">
                  <c:v>0.119825968302966</c:v>
                </c:pt>
                <c:pt idx="28">
                  <c:v>0.125015127073299</c:v>
                </c:pt>
                <c:pt idx="29">
                  <c:v>0.130264789513469</c:v>
                </c:pt>
                <c:pt idx="30">
                  <c:v>0.13557573808557</c:v>
                </c:pt>
                <c:pt idx="31">
                  <c:v>0.140948765868708</c:v>
                </c:pt>
                <c:pt idx="32">
                  <c:v>0.146384676643123</c:v>
                </c:pt>
                <c:pt idx="33">
                  <c:v>0.151884285507122</c:v>
                </c:pt>
                <c:pt idx="34">
                  <c:v>0.157448418501571</c:v>
                </c:pt>
                <c:pt idx="35">
                  <c:v>0.163077913159023</c:v>
                </c:pt>
                <c:pt idx="36">
                  <c:v>0.168773618460545</c:v>
                </c:pt>
                <c:pt idx="37">
                  <c:v>0.174536394962699</c:v>
                </c:pt>
                <c:pt idx="38">
                  <c:v>0.180367115223284</c:v>
                </c:pt>
                <c:pt idx="39">
                  <c:v>0.186266663542541</c:v>
                </c:pt>
                <c:pt idx="40">
                  <c:v>0.192235936650533</c:v>
                </c:pt>
                <c:pt idx="41">
                  <c:v>0.198275843409655</c:v>
                </c:pt>
                <c:pt idx="42">
                  <c:v>0.204387305424706</c:v>
                </c:pt>
                <c:pt idx="43">
                  <c:v>0.210571256864461</c:v>
                </c:pt>
                <c:pt idx="44">
                  <c:v>0.216828644720816</c:v>
                </c:pt>
                <c:pt idx="45">
                  <c:v>0.223160429034131</c:v>
                </c:pt>
                <c:pt idx="46">
                  <c:v>0.229567583221868</c:v>
                </c:pt>
                <c:pt idx="47">
                  <c:v>0.236051094107528</c:v>
                </c:pt>
                <c:pt idx="48">
                  <c:v>0.242611962072718</c:v>
                </c:pt>
                <c:pt idx="49">
                  <c:v>0.249251201315105</c:v>
                </c:pt>
                <c:pt idx="50">
                  <c:v>0.255969840076024</c:v>
                </c:pt>
                <c:pt idx="51">
                  <c:v>0.262768920841816</c:v>
                </c:pt>
                <c:pt idx="52">
                  <c:v>0.269649500522384</c:v>
                </c:pt>
                <c:pt idx="53">
                  <c:v>0.27661265072484</c:v>
                </c:pt>
                <c:pt idx="54">
                  <c:v>0.283659457771608</c:v>
                </c:pt>
                <c:pt idx="55">
                  <c:v>0.290791023049083</c:v>
                </c:pt>
                <c:pt idx="56">
                  <c:v>0.298008463319598</c:v>
                </c:pt>
                <c:pt idx="57">
                  <c:v>0.305312910787086</c:v>
                </c:pt>
                <c:pt idx="58">
                  <c:v>0.312705513261269</c:v>
                </c:pt>
                <c:pt idx="59">
                  <c:v>0.320187434615762</c:v>
                </c:pt>
              </c:numCache>
            </c:numRef>
          </c:yVal>
          <c:smooth val="1"/>
        </c:ser>
        <c:ser>
          <c:idx val="1"/>
          <c:order val="1"/>
          <c:tx>
            <c:v>$15/bbl</c:v>
          </c:tx>
          <c:xVal>
            <c:numRef>
              <c:f>'Solar Graphs'!$I$5:$I$64</c:f>
              <c:numCache>
                <c:formatCode>General</c:formatCode>
                <c:ptCount val="6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numCache>
            </c:numRef>
          </c:xVal>
          <c:yVal>
            <c:numRef>
              <c:f>'Solar Graphs'!$K$5:$K$64</c:f>
              <c:numCache>
                <c:formatCode>0%</c:formatCode>
                <c:ptCount val="60"/>
                <c:pt idx="0">
                  <c:v>0.0</c:v>
                </c:pt>
                <c:pt idx="1">
                  <c:v>0.00572394329430804</c:v>
                </c:pt>
                <c:pt idx="2">
                  <c:v>0.0115122801335604</c:v>
                </c:pt>
                <c:pt idx="3">
                  <c:v>0.0173658265449029</c:v>
                </c:pt>
                <c:pt idx="4">
                  <c:v>0.0232854073770396</c:v>
                </c:pt>
                <c:pt idx="5">
                  <c:v>0.0292718603280398</c:v>
                </c:pt>
                <c:pt idx="6">
                  <c:v>0.0353260347473722</c:v>
                </c:pt>
                <c:pt idx="7">
                  <c:v>0.0414487897847173</c:v>
                </c:pt>
                <c:pt idx="8">
                  <c:v>0.0476409972211181</c:v>
                </c:pt>
                <c:pt idx="9">
                  <c:v>0.0539035407394057</c:v>
                </c:pt>
                <c:pt idx="10">
                  <c:v>0.060237315592574</c:v>
                </c:pt>
                <c:pt idx="11">
                  <c:v>0.0666432289551994</c:v>
                </c:pt>
                <c:pt idx="12">
                  <c:v>0.0731222005901116</c:v>
                </c:pt>
                <c:pt idx="13">
                  <c:v>0.0796751627860068</c:v>
                </c:pt>
                <c:pt idx="14">
                  <c:v>0.0863030607338012</c:v>
                </c:pt>
                <c:pt idx="15">
                  <c:v>0.0930068519860035</c:v>
                </c:pt>
                <c:pt idx="16">
                  <c:v>0.0997875072022127</c:v>
                </c:pt>
                <c:pt idx="17">
                  <c:v>0.106646010301295</c:v>
                </c:pt>
                <c:pt idx="18">
                  <c:v>0.113583358892176</c:v>
                </c:pt>
                <c:pt idx="19">
                  <c:v>0.120600563644383</c:v>
                </c:pt>
                <c:pt idx="20">
                  <c:v>0.12769864931623</c:v>
                </c:pt>
                <c:pt idx="21">
                  <c:v>0.134878654656217</c:v>
                </c:pt>
                <c:pt idx="22">
                  <c:v>0.142141632330143</c:v>
                </c:pt>
                <c:pt idx="23">
                  <c:v>0.149488649642299</c:v>
                </c:pt>
                <c:pt idx="24">
                  <c:v>0.15692078809048</c:v>
                </c:pt>
                <c:pt idx="25">
                  <c:v>0.164439144217301</c:v>
                </c:pt>
                <c:pt idx="26">
                  <c:v>0.172044829582696</c:v>
                </c:pt>
                <c:pt idx="27">
                  <c:v>0.179738970742298</c:v>
                </c:pt>
                <c:pt idx="28">
                  <c:v>0.187522709872384</c:v>
                </c:pt>
                <c:pt idx="29">
                  <c:v>0.195397204649148</c:v>
                </c:pt>
                <c:pt idx="30">
                  <c:v>0.203363628551774</c:v>
                </c:pt>
                <c:pt idx="31">
                  <c:v>0.211423171108696</c:v>
                </c:pt>
                <c:pt idx="32">
                  <c:v>0.219577038287149</c:v>
                </c:pt>
                <c:pt idx="33">
                  <c:v>0.227826452448889</c:v>
                </c:pt>
                <c:pt idx="34">
                  <c:v>0.236172652845502</c:v>
                </c:pt>
                <c:pt idx="35">
                  <c:v>0.244616895686345</c:v>
                </c:pt>
                <c:pt idx="36">
                  <c:v>0.253160454363218</c:v>
                </c:pt>
                <c:pt idx="37">
                  <c:v>0.261804619966239</c:v>
                </c:pt>
                <c:pt idx="38">
                  <c:v>0.270550701083755</c:v>
                </c:pt>
                <c:pt idx="39">
                  <c:v>0.279400024408115</c:v>
                </c:pt>
                <c:pt idx="40">
                  <c:v>0.288353934950029</c:v>
                </c:pt>
                <c:pt idx="41">
                  <c:v>0.297413796074517</c:v>
                </c:pt>
                <c:pt idx="42">
                  <c:v>0.306580989964874</c:v>
                </c:pt>
                <c:pt idx="43">
                  <c:v>0.315856917882312</c:v>
                </c:pt>
                <c:pt idx="44">
                  <c:v>0.32524300039097</c:v>
                </c:pt>
                <c:pt idx="45">
                  <c:v>0.334740677688514</c:v>
                </c:pt>
                <c:pt idx="46">
                  <c:v>0.344351409762475</c:v>
                </c:pt>
                <c:pt idx="47">
                  <c:v>0.354076676785651</c:v>
                </c:pt>
                <c:pt idx="48">
                  <c:v>0.363917979463103</c:v>
                </c:pt>
                <c:pt idx="49">
                  <c:v>0.373876839089232</c:v>
                </c:pt>
                <c:pt idx="50">
                  <c:v>0.383954798084956</c:v>
                </c:pt>
                <c:pt idx="51">
                  <c:v>0.394153420114811</c:v>
                </c:pt>
                <c:pt idx="52">
                  <c:v>0.404474290542132</c:v>
                </c:pt>
                <c:pt idx="53">
                  <c:v>0.414919016718714</c:v>
                </c:pt>
                <c:pt idx="54">
                  <c:v>0.425489228242871</c:v>
                </c:pt>
                <c:pt idx="55">
                  <c:v>0.436186577189854</c:v>
                </c:pt>
                <c:pt idx="56">
                  <c:v>0.447012738644674</c:v>
                </c:pt>
                <c:pt idx="57">
                  <c:v>0.45796941085878</c:v>
                </c:pt>
                <c:pt idx="58">
                  <c:v>0.469058315601193</c:v>
                </c:pt>
                <c:pt idx="59">
                  <c:v>0.480281198681423</c:v>
                </c:pt>
              </c:numCache>
            </c:numRef>
          </c:yVal>
          <c:smooth val="1"/>
        </c:ser>
        <c:ser>
          <c:idx val="2"/>
          <c:order val="2"/>
          <c:tx>
            <c:v>$20/bbl</c:v>
          </c:tx>
          <c:xVal>
            <c:numRef>
              <c:f>'Solar Graphs'!$I$5:$I$64</c:f>
              <c:numCache>
                <c:formatCode>General</c:formatCode>
                <c:ptCount val="6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numCache>
            </c:numRef>
          </c:xVal>
          <c:yVal>
            <c:numRef>
              <c:f>'Solar Graphs'!$L$5:$L$64</c:f>
              <c:numCache>
                <c:formatCode>0%</c:formatCode>
                <c:ptCount val="60"/>
                <c:pt idx="0">
                  <c:v>0.0</c:v>
                </c:pt>
                <c:pt idx="1">
                  <c:v>0.00763192439241072</c:v>
                </c:pt>
                <c:pt idx="2">
                  <c:v>0.01534970753439</c:v>
                </c:pt>
                <c:pt idx="3">
                  <c:v>0.0231544353932039</c:v>
                </c:pt>
                <c:pt idx="4">
                  <c:v>0.0310472102498384</c:v>
                </c:pt>
                <c:pt idx="5">
                  <c:v>0.0390291484833385</c:v>
                </c:pt>
                <c:pt idx="6">
                  <c:v>0.0471013811409689</c:v>
                </c:pt>
                <c:pt idx="7">
                  <c:v>0.055265054856602</c:v>
                </c:pt>
                <c:pt idx="8">
                  <c:v>0.0635213321568476</c:v>
                </c:pt>
                <c:pt idx="9">
                  <c:v>0.0718713903421478</c:v>
                </c:pt>
                <c:pt idx="10">
                  <c:v>0.0803164232351958</c:v>
                </c:pt>
                <c:pt idx="11">
                  <c:v>0.0888576410206822</c:v>
                </c:pt>
                <c:pt idx="12">
                  <c:v>0.0974962701590037</c:v>
                </c:pt>
                <c:pt idx="13">
                  <c:v>0.106233553336954</c:v>
                </c:pt>
                <c:pt idx="14">
                  <c:v>0.115070750679496</c:v>
                </c:pt>
                <c:pt idx="15">
                  <c:v>0.124009138955422</c:v>
                </c:pt>
                <c:pt idx="16">
                  <c:v>0.13305001252379</c:v>
                </c:pt>
                <c:pt idx="17">
                  <c:v>0.142194683620059</c:v>
                </c:pt>
                <c:pt idx="18">
                  <c:v>0.151444481898522</c:v>
                </c:pt>
                <c:pt idx="19">
                  <c:v>0.160800755353362</c:v>
                </c:pt>
                <c:pt idx="20">
                  <c:v>0.170264870089871</c:v>
                </c:pt>
                <c:pt idx="21">
                  <c:v>0.179838211004441</c:v>
                </c:pt>
                <c:pt idx="22">
                  <c:v>0.189522181747442</c:v>
                </c:pt>
                <c:pt idx="23">
                  <c:v>0.199318205212618</c:v>
                </c:pt>
                <c:pt idx="24">
                  <c:v>0.209227723660758</c:v>
                </c:pt>
                <c:pt idx="25">
                  <c:v>0.219252199053539</c:v>
                </c:pt>
                <c:pt idx="26">
                  <c:v>0.229393113313197</c:v>
                </c:pt>
                <c:pt idx="27">
                  <c:v>0.239651968748212</c:v>
                </c:pt>
                <c:pt idx="28">
                  <c:v>0.250030288176901</c:v>
                </c:pt>
                <c:pt idx="29">
                  <c:v>0.260529615026291</c:v>
                </c:pt>
                <c:pt idx="30">
                  <c:v>0.271151514012507</c:v>
                </c:pt>
                <c:pt idx="31">
                  <c:v>0.28189757130567</c:v>
                </c:pt>
                <c:pt idx="32">
                  <c:v>0.292769394852896</c:v>
                </c:pt>
                <c:pt idx="33">
                  <c:v>0.303768614461738</c:v>
                </c:pt>
                <c:pt idx="34">
                  <c:v>0.314896882401341</c:v>
                </c:pt>
                <c:pt idx="35">
                  <c:v>0.326155873558577</c:v>
                </c:pt>
                <c:pt idx="36">
                  <c:v>0.337547285904366</c:v>
                </c:pt>
                <c:pt idx="37">
                  <c:v>0.349072840723032</c:v>
                </c:pt>
                <c:pt idx="38">
                  <c:v>0.360734282965517</c:v>
                </c:pt>
                <c:pt idx="39">
                  <c:v>0.372533381549619</c:v>
                </c:pt>
                <c:pt idx="40">
                  <c:v>0.384471929616286</c:v>
                </c:pt>
                <c:pt idx="41">
                  <c:v>0.396551745192644</c:v>
                </c:pt>
                <c:pt idx="42">
                  <c:v>0.408774671185135</c:v>
                </c:pt>
                <c:pt idx="43">
                  <c:v>0.421142575937834</c:v>
                </c:pt>
                <c:pt idx="44">
                  <c:v>0.433657353578409</c:v>
                </c:pt>
                <c:pt idx="45">
                  <c:v>0.446320924318945</c:v>
                </c:pt>
                <c:pt idx="46">
                  <c:v>0.45913523485043</c:v>
                </c:pt>
                <c:pt idx="47">
                  <c:v>0.472102258687926</c:v>
                </c:pt>
                <c:pt idx="48">
                  <c:v>0.485223996726819</c:v>
                </c:pt>
                <c:pt idx="49">
                  <c:v>0.498502477359902</c:v>
                </c:pt>
                <c:pt idx="50">
                  <c:v>0.511939757189202</c:v>
                </c:pt>
                <c:pt idx="51">
                  <c:v>0.525537921178224</c:v>
                </c:pt>
                <c:pt idx="52">
                  <c:v>0.539299083138282</c:v>
                </c:pt>
                <c:pt idx="53">
                  <c:v>0.553225386045861</c:v>
                </c:pt>
                <c:pt idx="54">
                  <c:v>0.567319002663907</c:v>
                </c:pt>
                <c:pt idx="55">
                  <c:v>0.581582135874877</c:v>
                </c:pt>
                <c:pt idx="56">
                  <c:v>0.596017019087624</c:v>
                </c:pt>
                <c:pt idx="57">
                  <c:v>0.610625916602191</c:v>
                </c:pt>
                <c:pt idx="58">
                  <c:v>0.625411124253102</c:v>
                </c:pt>
                <c:pt idx="59">
                  <c:v>0.640374969677993</c:v>
                </c:pt>
              </c:numCache>
            </c:numRef>
          </c:yVal>
          <c:smooth val="1"/>
        </c:ser>
        <c:ser>
          <c:idx val="3"/>
          <c:order val="3"/>
          <c:tx>
            <c:v>$25/bbl</c:v>
          </c:tx>
          <c:xVal>
            <c:numRef>
              <c:f>'Solar Graphs'!$I$5:$I$64</c:f>
              <c:numCache>
                <c:formatCode>General</c:formatCode>
                <c:ptCount val="6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numCache>
            </c:numRef>
          </c:xVal>
          <c:yVal>
            <c:numRef>
              <c:f>'Solar Graphs'!$M$5:$M$64</c:f>
              <c:numCache>
                <c:formatCode>0%</c:formatCode>
                <c:ptCount val="60"/>
                <c:pt idx="0">
                  <c:v>0.0</c:v>
                </c:pt>
                <c:pt idx="1">
                  <c:v>0.0095399054905134</c:v>
                </c:pt>
                <c:pt idx="2">
                  <c:v>0.0191871328662912</c:v>
                </c:pt>
                <c:pt idx="3">
                  <c:v>0.0289430426898086</c:v>
                </c:pt>
                <c:pt idx="4">
                  <c:v>0.0388090118812803</c:v>
                </c:pt>
                <c:pt idx="5">
                  <c:v>0.0487864356041732</c:v>
                </c:pt>
                <c:pt idx="6">
                  <c:v>0.0588767275345656</c:v>
                </c:pt>
                <c:pt idx="7">
                  <c:v>0.0690813207043348</c:v>
                </c:pt>
                <c:pt idx="8">
                  <c:v>0.0794016677822199</c:v>
                </c:pt>
                <c:pt idx="9">
                  <c:v>0.0898392411862468</c:v>
                </c:pt>
                <c:pt idx="10">
                  <c:v>0.10039553313483</c:v>
                </c:pt>
                <c:pt idx="11">
                  <c:v>0.111072056189557</c:v>
                </c:pt>
                <c:pt idx="12">
                  <c:v>0.121870343070011</c:v>
                </c:pt>
                <c:pt idx="13">
                  <c:v>0.132791947877978</c:v>
                </c:pt>
                <c:pt idx="14">
                  <c:v>0.143838445176834</c:v>
                </c:pt>
                <c:pt idx="15">
                  <c:v>0.155011431355778</c:v>
                </c:pt>
                <c:pt idx="16">
                  <c:v>0.166312524417258</c:v>
                </c:pt>
                <c:pt idx="17">
                  <c:v>0.177743364180073</c:v>
                </c:pt>
                <c:pt idx="18">
                  <c:v>0.189305612745016</c:v>
                </c:pt>
                <c:pt idx="19">
                  <c:v>0.201000955131161</c:v>
                </c:pt>
                <c:pt idx="20">
                  <c:v>0.212831099139226</c:v>
                </c:pt>
                <c:pt idx="21">
                  <c:v>0.224797775816463</c:v>
                </c:pt>
                <c:pt idx="22">
                  <c:v>0.236902739800267</c:v>
                </c:pt>
                <c:pt idx="23">
                  <c:v>0.249147769575883</c:v>
                </c:pt>
                <c:pt idx="24">
                  <c:v>0.261534668168806</c:v>
                </c:pt>
                <c:pt idx="25">
                  <c:v>0.274065262961232</c:v>
                </c:pt>
                <c:pt idx="26">
                  <c:v>0.286741406468816</c:v>
                </c:pt>
                <c:pt idx="27">
                  <c:v>0.299564976507645</c:v>
                </c:pt>
                <c:pt idx="28">
                  <c:v>0.312537876326663</c:v>
                </c:pt>
                <c:pt idx="29">
                  <c:v>0.325662035541183</c:v>
                </c:pt>
                <c:pt idx="30">
                  <c:v>0.33893940988462</c:v>
                </c:pt>
                <c:pt idx="31">
                  <c:v>0.352371982170556</c:v>
                </c:pt>
                <c:pt idx="32">
                  <c:v>0.365961762139454</c:v>
                </c:pt>
                <c:pt idx="33">
                  <c:v>0.379710787245185</c:v>
                </c:pt>
                <c:pt idx="34">
                  <c:v>0.39362112277472</c:v>
                </c:pt>
                <c:pt idx="35">
                  <c:v>0.407694862465093</c:v>
                </c:pt>
                <c:pt idx="36">
                  <c:v>0.421934128684828</c:v>
                </c:pt>
                <c:pt idx="37">
                  <c:v>0.436341073076713</c:v>
                </c:pt>
                <c:pt idx="38">
                  <c:v>0.450917876783405</c:v>
                </c:pt>
                <c:pt idx="39">
                  <c:v>0.465666750794353</c:v>
                </c:pt>
                <c:pt idx="40">
                  <c:v>0.480589936696112</c:v>
                </c:pt>
                <c:pt idx="41">
                  <c:v>0.495689706872123</c:v>
                </c:pt>
                <c:pt idx="42">
                  <c:v>0.510968365107653</c:v>
                </c:pt>
                <c:pt idx="43">
                  <c:v>0.526428246830116</c:v>
                </c:pt>
                <c:pt idx="44">
                  <c:v>0.542071719593205</c:v>
                </c:pt>
                <c:pt idx="45">
                  <c:v>0.557901183632807</c:v>
                </c:pt>
                <c:pt idx="46">
                  <c:v>0.573919072351955</c:v>
                </c:pt>
                <c:pt idx="47">
                  <c:v>0.590127852745155</c:v>
                </c:pt>
                <c:pt idx="48">
                  <c:v>0.606530025897428</c:v>
                </c:pt>
                <c:pt idx="49">
                  <c:v>0.623128127423462</c:v>
                </c:pt>
                <c:pt idx="50">
                  <c:v>0.639924727855107</c:v>
                </c:pt>
                <c:pt idx="51">
                  <c:v>0.656922433461595</c:v>
                </c:pt>
                <c:pt idx="52">
                  <c:v>0.674123886508473</c:v>
                </c:pt>
                <c:pt idx="53">
                  <c:v>0.691531765832589</c:v>
                </c:pt>
                <c:pt idx="54">
                  <c:v>0.70914878735435</c:v>
                </c:pt>
                <c:pt idx="55">
                  <c:v>0.726977704645926</c:v>
                </c:pt>
                <c:pt idx="56">
                  <c:v>0.745021309439653</c:v>
                </c:pt>
                <c:pt idx="57">
                  <c:v>0.763282432190846</c:v>
                </c:pt>
                <c:pt idx="58">
                  <c:v>0.781763942583386</c:v>
                </c:pt>
                <c:pt idx="59">
                  <c:v>0.800468750191634</c:v>
                </c:pt>
              </c:numCache>
            </c:numRef>
          </c:yVal>
          <c:smooth val="1"/>
        </c:ser>
        <c:ser>
          <c:idx val="4"/>
          <c:order val="4"/>
          <c:tx>
            <c:v>$30/bbl</c:v>
          </c:tx>
          <c:xVal>
            <c:numRef>
              <c:f>'Solar Graphs'!$I$5:$I$64</c:f>
              <c:numCache>
                <c:formatCode>General</c:formatCode>
                <c:ptCount val="6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numCache>
            </c:numRef>
          </c:xVal>
          <c:yVal>
            <c:numRef>
              <c:f>'Solar Graphs'!$N$5:$N$64</c:f>
              <c:numCache>
                <c:formatCode>0%</c:formatCode>
                <c:ptCount val="60"/>
                <c:pt idx="0">
                  <c:v>0.0</c:v>
                </c:pt>
                <c:pt idx="1">
                  <c:v>0.0114478865886161</c:v>
                </c:pt>
                <c:pt idx="2">
                  <c:v>0.0230245602671208</c:v>
                </c:pt>
                <c:pt idx="3">
                  <c:v>0.0347316530898058</c:v>
                </c:pt>
                <c:pt idx="4">
                  <c:v>0.0465708159954361</c:v>
                </c:pt>
                <c:pt idx="5">
                  <c:v>0.058543723759472</c:v>
                </c:pt>
                <c:pt idx="6">
                  <c:v>0.0706520739281623</c:v>
                </c:pt>
                <c:pt idx="7">
                  <c:v>0.0828975857762195</c:v>
                </c:pt>
                <c:pt idx="8">
                  <c:v>0.0952820027179495</c:v>
                </c:pt>
                <c:pt idx="9">
                  <c:v>0.107807091409667</c:v>
                </c:pt>
                <c:pt idx="10">
                  <c:v>0.120474642470212</c:v>
                </c:pt>
                <c:pt idx="11">
                  <c:v>0.133286470841201</c:v>
                </c:pt>
                <c:pt idx="12">
                  <c:v>0.146244415981018</c:v>
                </c:pt>
                <c:pt idx="13">
                  <c:v>0.159350342419001</c:v>
                </c:pt>
                <c:pt idx="14">
                  <c:v>0.172606140087957</c:v>
                </c:pt>
                <c:pt idx="15">
                  <c:v>0.186013724531982</c:v>
                </c:pt>
                <c:pt idx="16">
                  <c:v>0.199575037040935</c:v>
                </c:pt>
                <c:pt idx="17">
                  <c:v>0.213292045429729</c:v>
                </c:pt>
                <c:pt idx="18">
                  <c:v>0.22716674457153</c:v>
                </c:pt>
                <c:pt idx="19">
                  <c:v>0.241201156150317</c:v>
                </c:pt>
                <c:pt idx="20">
                  <c:v>0.255397329666386</c:v>
                </c:pt>
                <c:pt idx="21">
                  <c:v>0.269757342321244</c:v>
                </c:pt>
                <c:pt idx="22">
                  <c:v>0.284283299742114</c:v>
                </c:pt>
                <c:pt idx="23">
                  <c:v>0.298977336266692</c:v>
                </c:pt>
                <c:pt idx="24">
                  <c:v>0.31384161540784</c:v>
                </c:pt>
                <c:pt idx="25">
                  <c:v>0.328878329972317</c:v>
                </c:pt>
                <c:pt idx="26">
                  <c:v>0.344089702842767</c:v>
                </c:pt>
                <c:pt idx="27">
                  <c:v>0.35947798737047</c:v>
                </c:pt>
                <c:pt idx="28">
                  <c:v>0.375045467686832</c:v>
                </c:pt>
                <c:pt idx="29">
                  <c:v>0.390794459159467</c:v>
                </c:pt>
                <c:pt idx="30">
                  <c:v>0.406727308960236</c:v>
                </c:pt>
                <c:pt idx="31">
                  <c:v>0.422846396138835</c:v>
                </c:pt>
                <c:pt idx="32">
                  <c:v>0.439154132623446</c:v>
                </c:pt>
                <c:pt idx="33">
                  <c:v>0.455652963314577</c:v>
                </c:pt>
                <c:pt idx="34">
                  <c:v>0.472345366517496</c:v>
                </c:pt>
                <c:pt idx="35">
                  <c:v>0.489233854647413</c:v>
                </c:pt>
                <c:pt idx="36">
                  <c:v>0.506320974652557</c:v>
                </c:pt>
                <c:pt idx="37">
                  <c:v>0.523609308370449</c:v>
                </c:pt>
                <c:pt idx="38">
                  <c:v>0.541101473147666</c:v>
                </c:pt>
                <c:pt idx="39">
                  <c:v>0.558800122366632</c:v>
                </c:pt>
                <c:pt idx="40">
                  <c:v>0.576707945895328</c:v>
                </c:pt>
                <c:pt idx="41">
                  <c:v>0.594827670620529</c:v>
                </c:pt>
                <c:pt idx="42">
                  <c:v>0.613162060906641</c:v>
                </c:pt>
                <c:pt idx="43">
                  <c:v>0.631713919274094</c:v>
                </c:pt>
                <c:pt idx="44">
                  <c:v>0.650486086987286</c:v>
                </c:pt>
                <c:pt idx="45">
                  <c:v>0.669481444295969</c:v>
                </c:pt>
                <c:pt idx="46">
                  <c:v>0.688702911306131</c:v>
                </c:pt>
                <c:pt idx="47">
                  <c:v>0.70815344835408</c:v>
                </c:pt>
                <c:pt idx="48">
                  <c:v>0.727836056714735</c:v>
                </c:pt>
                <c:pt idx="49">
                  <c:v>0.747753779100787</c:v>
                </c:pt>
                <c:pt idx="50">
                  <c:v>0.767909700224835</c:v>
                </c:pt>
                <c:pt idx="51">
                  <c:v>0.788306947535384</c:v>
                </c:pt>
                <c:pt idx="52">
                  <c:v>0.808948691752411</c:v>
                </c:pt>
                <c:pt idx="53">
                  <c:v>0.829838147458366</c:v>
                </c:pt>
                <c:pt idx="54">
                  <c:v>0.850978573737553</c:v>
                </c:pt>
                <c:pt idx="55">
                  <c:v>0.872373274968672</c:v>
                </c:pt>
                <c:pt idx="56">
                  <c:v>0.894025601207264</c:v>
                </c:pt>
                <c:pt idx="57">
                  <c:v>0.915938948956651</c:v>
                </c:pt>
                <c:pt idx="58">
                  <c:v>0.938116761860469</c:v>
                </c:pt>
                <c:pt idx="59">
                  <c:v>0.9605625314294</c:v>
                </c:pt>
              </c:numCache>
            </c:numRef>
          </c:yVal>
          <c:smooth val="1"/>
        </c:ser>
        <c:dLbls>
          <c:showLegendKey val="0"/>
          <c:showVal val="0"/>
          <c:showCatName val="0"/>
          <c:showSerName val="0"/>
          <c:showPercent val="0"/>
          <c:showBubbleSize val="0"/>
        </c:dLbls>
        <c:axId val="466500392"/>
        <c:axId val="466506152"/>
      </c:scatterChart>
      <c:valAx>
        <c:axId val="466500392"/>
        <c:scaling>
          <c:orientation val="minMax"/>
        </c:scaling>
        <c:delete val="0"/>
        <c:axPos val="b"/>
        <c:title>
          <c:tx>
            <c:rich>
              <a:bodyPr/>
              <a:lstStyle/>
              <a:p>
                <a:pPr>
                  <a:defRPr/>
                </a:pPr>
                <a:r>
                  <a:rPr lang="en-CA" sz="1100">
                    <a:latin typeface="Arial" panose="020B0604020202020204" pitchFamily="34" charset="0"/>
                    <a:cs typeface="Arial" panose="020B0604020202020204" pitchFamily="34" charset="0"/>
                  </a:rPr>
                  <a:t>Years</a:t>
                </a:r>
              </a:p>
            </c:rich>
          </c:tx>
          <c:layout>
            <c:manualLayout>
              <c:xMode val="edge"/>
              <c:yMode val="edge"/>
              <c:x val="0.461457387203416"/>
              <c:y val="0.93594899699161"/>
            </c:manualLayout>
          </c:layout>
          <c:overlay val="0"/>
        </c:title>
        <c:numFmt formatCode="General" sourceLinked="1"/>
        <c:majorTickMark val="out"/>
        <c:minorTickMark val="none"/>
        <c:tickLblPos val="nextTo"/>
        <c:crossAx val="466506152"/>
        <c:crosses val="autoZero"/>
        <c:crossBetween val="midCat"/>
      </c:valAx>
      <c:valAx>
        <c:axId val="466506152"/>
        <c:scaling>
          <c:orientation val="minMax"/>
        </c:scaling>
        <c:delete val="0"/>
        <c:axPos val="l"/>
        <c:majorGridlines/>
        <c:title>
          <c:tx>
            <c:rich>
              <a:bodyPr rot="-5400000" vert="horz"/>
              <a:lstStyle/>
              <a:p>
                <a:pPr>
                  <a:defRPr sz="1100">
                    <a:latin typeface="Arial" panose="020B0604020202020204" pitchFamily="34" charset="0"/>
                    <a:cs typeface="Arial" panose="020B0604020202020204" pitchFamily="34" charset="0"/>
                  </a:defRPr>
                </a:pPr>
                <a:r>
                  <a:rPr lang="en-US" sz="1100" b="1" i="0" baseline="0">
                    <a:effectLst/>
                    <a:latin typeface="Arial" panose="020B0604020202020204" pitchFamily="34" charset="0"/>
                    <a:cs typeface="Arial" panose="020B0604020202020204" pitchFamily="34" charset="0"/>
                  </a:rPr>
                  <a:t>CO</a:t>
                </a:r>
                <a:r>
                  <a:rPr lang="en-US" sz="700" b="1" i="0" baseline="0">
                    <a:effectLst/>
                    <a:latin typeface="Arial" panose="020B0604020202020204" pitchFamily="34" charset="0"/>
                    <a:cs typeface="Arial" panose="020B0604020202020204" pitchFamily="34" charset="0"/>
                  </a:rPr>
                  <a:t>2</a:t>
                </a:r>
                <a:r>
                  <a:rPr lang="en-US" sz="1100" b="1" i="0" baseline="0">
                    <a:effectLst/>
                    <a:latin typeface="Arial" panose="020B0604020202020204" pitchFamily="34" charset="0"/>
                    <a:cs typeface="Arial" panose="020B0604020202020204" pitchFamily="34" charset="0"/>
                  </a:rPr>
                  <a:t> saved by Solar Energy/Oil sands CO</a:t>
                </a:r>
                <a:r>
                  <a:rPr lang="en-US" sz="700" b="1" i="0" baseline="0">
                    <a:effectLst/>
                    <a:latin typeface="Arial" panose="020B0604020202020204" pitchFamily="34" charset="0"/>
                    <a:cs typeface="Arial" panose="020B0604020202020204" pitchFamily="34" charset="0"/>
                  </a:rPr>
                  <a:t>2</a:t>
                </a:r>
                <a:endParaRPr lang="en-CA" sz="1100">
                  <a:effectLst/>
                  <a:latin typeface="Arial" panose="020B0604020202020204" pitchFamily="34" charset="0"/>
                  <a:cs typeface="Arial" panose="020B0604020202020204" pitchFamily="34" charset="0"/>
                </a:endParaRPr>
              </a:p>
            </c:rich>
          </c:tx>
          <c:layout>
            <c:manualLayout>
              <c:xMode val="edge"/>
              <c:yMode val="edge"/>
              <c:x val="0.0478169232603974"/>
              <c:y val="0.154196648495861"/>
            </c:manualLayout>
          </c:layout>
          <c:overlay val="0"/>
        </c:title>
        <c:numFmt formatCode="0%" sourceLinked="1"/>
        <c:majorTickMark val="out"/>
        <c:minorTickMark val="none"/>
        <c:tickLblPos val="nextTo"/>
        <c:crossAx val="466500392"/>
        <c:crosses val="autoZero"/>
        <c:crossBetween val="midCat"/>
      </c:valAx>
    </c:plotArea>
    <c:legend>
      <c:legendPos val="r"/>
      <c:layout>
        <c:manualLayout>
          <c:xMode val="edge"/>
          <c:yMode val="edge"/>
          <c:x val="0.845559559550836"/>
          <c:y val="0.361604252789425"/>
          <c:w val="0.107004080734489"/>
          <c:h val="0.390981016675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gif"/></Relationships>
</file>

<file path=xl/drawings/_rels/drawing11.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2</xdr:row>
      <xdr:rowOff>85725</xdr:rowOff>
    </xdr:from>
    <xdr:to>
      <xdr:col>4</xdr:col>
      <xdr:colOff>257175</xdr:colOff>
      <xdr:row>18</xdr:row>
      <xdr:rowOff>95250</xdr:rowOff>
    </xdr:to>
    <xdr:pic>
      <xdr:nvPicPr>
        <xdr:cNvPr id="4" name="Picture 3" descr="http://upload.wikimedia.org/wikipedia/commons/thumb/7/7a/Athabasca_Oil_Sands_map.png/220px-Athabasca_Oil_Sands_map.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466725"/>
          <a:ext cx="2038350" cy="3057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542925</xdr:colOff>
      <xdr:row>2</xdr:row>
      <xdr:rowOff>142875</xdr:rowOff>
    </xdr:from>
    <xdr:to>
      <xdr:col>17</xdr:col>
      <xdr:colOff>542925</xdr:colOff>
      <xdr:row>32</xdr:row>
      <xdr:rowOff>133350</xdr:rowOff>
    </xdr:to>
    <xdr:pic>
      <xdr:nvPicPr>
        <xdr:cNvPr id="7" name="Picture 6" descr="File:Insolation.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81650" y="523875"/>
          <a:ext cx="4724400" cy="5705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15874</xdr:colOff>
      <xdr:row>36</xdr:row>
      <xdr:rowOff>25400</xdr:rowOff>
    </xdr:from>
    <xdr:to>
      <xdr:col>13</xdr:col>
      <xdr:colOff>384597</xdr:colOff>
      <xdr:row>59</xdr:row>
      <xdr:rowOff>139700</xdr:rowOff>
    </xdr:to>
    <xdr:pic>
      <xdr:nvPicPr>
        <xdr:cNvPr id="5" name="Picture 4"/>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5965"/>
        <a:stretch/>
      </xdr:blipFill>
      <xdr:spPr bwMode="auto">
        <a:xfrm>
          <a:off x="371474" y="6426200"/>
          <a:ext cx="8445923" cy="425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22</xdr:row>
      <xdr:rowOff>66675</xdr:rowOff>
    </xdr:from>
    <xdr:to>
      <xdr:col>10</xdr:col>
      <xdr:colOff>352425</xdr:colOff>
      <xdr:row>33</xdr:row>
      <xdr:rowOff>152400</xdr:rowOff>
    </xdr:to>
    <xdr:pic>
      <xdr:nvPicPr>
        <xdr:cNvPr id="6" name="Picture 5" descr="http://fs.weatherspark.com.s3.amazonaws.com/production/reports/year/000/028/151/9154c163/daily_hours_of_daylight_and_twilight_hours_h.pn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6700" y="7496175"/>
          <a:ext cx="5715000" cy="2181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0.83792</cdr:x>
      <cdr:y>0.28547</cdr:y>
    </cdr:from>
    <cdr:to>
      <cdr:x>1</cdr:x>
      <cdr:y>0.34892</cdr:y>
    </cdr:to>
    <cdr:sp macro="" textlink="">
      <cdr:nvSpPr>
        <cdr:cNvPr id="2" name="TextBox 1"/>
        <cdr:cNvSpPr txBox="1"/>
      </cdr:nvSpPr>
      <cdr:spPr>
        <a:xfrm xmlns:a="http://schemas.openxmlformats.org/drawingml/2006/main">
          <a:off x="6153483" y="1079500"/>
          <a:ext cx="1190293" cy="23991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100"/>
            <a:t>Investments:</a:t>
          </a:r>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13</xdr:col>
      <xdr:colOff>495301</xdr:colOff>
      <xdr:row>3</xdr:row>
      <xdr:rowOff>132309</xdr:rowOff>
    </xdr:from>
    <xdr:to>
      <xdr:col>19</xdr:col>
      <xdr:colOff>152400</xdr:colOff>
      <xdr:row>27</xdr:row>
      <xdr:rowOff>295275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677901" y="1199109"/>
          <a:ext cx="3314699" cy="51350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28575</xdr:colOff>
      <xdr:row>3</xdr:row>
      <xdr:rowOff>114299</xdr:rowOff>
    </xdr:from>
    <xdr:to>
      <xdr:col>13</xdr:col>
      <xdr:colOff>423422</xdr:colOff>
      <xdr:row>31</xdr:row>
      <xdr:rowOff>161924</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24950" y="1181099"/>
          <a:ext cx="4433447" cy="6162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114300</xdr:colOff>
      <xdr:row>2</xdr:row>
      <xdr:rowOff>76199</xdr:rowOff>
    </xdr:from>
    <xdr:to>
      <xdr:col>12</xdr:col>
      <xdr:colOff>200025</xdr:colOff>
      <xdr:row>11</xdr:row>
      <xdr:rowOff>457200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200026</xdr:colOff>
      <xdr:row>7</xdr:row>
      <xdr:rowOff>142875</xdr:rowOff>
    </xdr:from>
    <xdr:to>
      <xdr:col>9</xdr:col>
      <xdr:colOff>257175</xdr:colOff>
      <xdr:row>16</xdr:row>
      <xdr:rowOff>466725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419100</xdr:colOff>
      <xdr:row>7</xdr:row>
      <xdr:rowOff>133351</xdr:rowOff>
    </xdr:from>
    <xdr:to>
      <xdr:col>13</xdr:col>
      <xdr:colOff>685800</xdr:colOff>
      <xdr:row>16</xdr:row>
      <xdr:rowOff>514351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200024</xdr:colOff>
      <xdr:row>64</xdr:row>
      <xdr:rowOff>142874</xdr:rowOff>
    </xdr:from>
    <xdr:to>
      <xdr:col>6</xdr:col>
      <xdr:colOff>942975</xdr:colOff>
      <xdr:row>85</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9524</xdr:colOff>
      <xdr:row>65</xdr:row>
      <xdr:rowOff>9524</xdr:rowOff>
    </xdr:from>
    <xdr:to>
      <xdr:col>13</xdr:col>
      <xdr:colOff>942975</xdr:colOff>
      <xdr:row>84</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0.81321</cdr:x>
      <cdr:y>0.30198</cdr:y>
    </cdr:from>
    <cdr:to>
      <cdr:x>0.99196</cdr:x>
      <cdr:y>0.36386</cdr:y>
    </cdr:to>
    <cdr:sp macro="" textlink="">
      <cdr:nvSpPr>
        <cdr:cNvPr id="2" name="TextBox 1"/>
        <cdr:cNvSpPr txBox="1"/>
      </cdr:nvSpPr>
      <cdr:spPr>
        <a:xfrm xmlns:a="http://schemas.openxmlformats.org/drawingml/2006/main">
          <a:off x="4523542" y="1162050"/>
          <a:ext cx="9943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CA" sz="1100"/>
            <a:t>Investments:</a:t>
          </a:r>
        </a:p>
      </cdr:txBody>
    </cdr:sp>
  </cdr:relSizeAnchor>
</c:userShapes>
</file>

<file path=xl/drawings/drawing6.xml><?xml version="1.0" encoding="utf-8"?>
<c:userShapes xmlns:c="http://schemas.openxmlformats.org/drawingml/2006/chart">
  <cdr:relSizeAnchor xmlns:cdr="http://schemas.openxmlformats.org/drawingml/2006/chartDrawing">
    <cdr:from>
      <cdr:x>0.81357</cdr:x>
      <cdr:y>0.28945</cdr:y>
    </cdr:from>
    <cdr:to>
      <cdr:x>0.97811</cdr:x>
      <cdr:y>0.35274</cdr:y>
    </cdr:to>
    <cdr:sp macro="" textlink="">
      <cdr:nvSpPr>
        <cdr:cNvPr id="2" name="TextBox 1"/>
        <cdr:cNvSpPr txBox="1"/>
      </cdr:nvSpPr>
      <cdr:spPr>
        <a:xfrm xmlns:a="http://schemas.openxmlformats.org/drawingml/2006/main">
          <a:off x="5556250" y="1089025"/>
          <a:ext cx="1123713" cy="23812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100"/>
            <a:t>Investments:</a:t>
          </a:r>
        </a:p>
      </cdr:txBody>
    </cdr:sp>
  </cdr:relSizeAnchor>
</c:userShapes>
</file>

<file path=xl/drawings/drawing7.xml><?xml version="1.0" encoding="utf-8"?>
<xdr:wsDr xmlns:xdr="http://schemas.openxmlformats.org/drawingml/2006/spreadsheetDrawing" xmlns:a="http://schemas.openxmlformats.org/drawingml/2006/main">
  <xdr:twoCellAnchor>
    <xdr:from>
      <xdr:col>3</xdr:col>
      <xdr:colOff>276224</xdr:colOff>
      <xdr:row>7</xdr:row>
      <xdr:rowOff>76199</xdr:rowOff>
    </xdr:from>
    <xdr:to>
      <xdr:col>10</xdr:col>
      <xdr:colOff>323850</xdr:colOff>
      <xdr:row>17</xdr:row>
      <xdr:rowOff>571499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95249</xdr:colOff>
      <xdr:row>64</xdr:row>
      <xdr:rowOff>95248</xdr:rowOff>
    </xdr:from>
    <xdr:to>
      <xdr:col>7</xdr:col>
      <xdr:colOff>66675</xdr:colOff>
      <xdr:row>84</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9524</xdr:colOff>
      <xdr:row>64</xdr:row>
      <xdr:rowOff>123826</xdr:rowOff>
    </xdr:from>
    <xdr:to>
      <xdr:col>14</xdr:col>
      <xdr:colOff>257175</xdr:colOff>
      <xdr:row>84</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0.82858</cdr:x>
      <cdr:y>0.27023</cdr:y>
    </cdr:from>
    <cdr:to>
      <cdr:x>1</cdr:x>
      <cdr:y>0.3332</cdr:y>
    </cdr:to>
    <cdr:sp macro="" textlink="">
      <cdr:nvSpPr>
        <cdr:cNvPr id="2" name="TextBox 1"/>
        <cdr:cNvSpPr txBox="1"/>
      </cdr:nvSpPr>
      <cdr:spPr>
        <a:xfrm xmlns:a="http://schemas.openxmlformats.org/drawingml/2006/main">
          <a:off x="5753433" y="1029577"/>
          <a:ext cx="1190293" cy="23991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100"/>
            <a:t>Investments: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forestecologynetwork.org/climate_change/sequestration_facts.html"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www.seia.org/policy/environment/pv-recycling" TargetMode="External"/><Relationship Id="rId2"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3" Type="http://schemas.openxmlformats.org/officeDocument/2006/relationships/hyperlink" Target="http://en.wikipedia.org/wiki/Electricity_sector_in_Canada" TargetMode="External"/><Relationship Id="rId4" Type="http://schemas.openxmlformats.org/officeDocument/2006/relationships/drawing" Target="../drawings/drawing11.xml"/><Relationship Id="rId1" Type="http://schemas.openxmlformats.org/officeDocument/2006/relationships/hyperlink" Target="http://www.energy.alberta.ca/Electricity/682.asp" TargetMode="External"/><Relationship Id="rId2" Type="http://schemas.openxmlformats.org/officeDocument/2006/relationships/hyperlink" Target="http://en.wikipedia.org/wiki/Electricity_sector_in_Canad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iti.gov.nt.ca/publications/2013/energy/2012_WIND_ENERGY_RESOURCES_V2.pdf"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www.skyfireenergy.com/solar-residential/grid-tied-electric-systems/1-41-kw-grid-tie-edmonton-alberta/" TargetMode="External"/><Relationship Id="rId12" Type="http://schemas.openxmlformats.org/officeDocument/2006/relationships/hyperlink" Target="https://weatherspark.com/averages/28151/Fort-McMurray-Alberta-Canada" TargetMode="External"/><Relationship Id="rId13" Type="http://schemas.openxmlformats.org/officeDocument/2006/relationships/hyperlink" Target="https://weatherspark.com/averages/28151/Fort-McMurray-Alberta-Canada" TargetMode="External"/><Relationship Id="rId14" Type="http://schemas.openxmlformats.org/officeDocument/2006/relationships/hyperlink" Target="http://www.cenovus.com/operations/docs/foster-creek/phase-j/appendix-3-2C.pdf" TargetMode="External"/><Relationship Id="rId15" Type="http://schemas.openxmlformats.org/officeDocument/2006/relationships/hyperlink" Target="http://www.cenovus.com/operations/docs/foster-creek/phase-j/appendix-3-2C.pdf" TargetMode="External"/><Relationship Id="rId16" Type="http://schemas.openxmlformats.org/officeDocument/2006/relationships/hyperlink" Target="http://www.cenovus.com/operations/docs/foster-creek/phase-j/appendix-3-2C.pdf" TargetMode="External"/><Relationship Id="rId1" Type="http://schemas.openxmlformats.org/officeDocument/2006/relationships/hyperlink" Target="http://www.scientificamerican.com/article.cfm?id=tar-sands-and-keystone-xl-pipeline-impact-on-global-warming" TargetMode="External"/><Relationship Id="rId2" Type="http://schemas.openxmlformats.org/officeDocument/2006/relationships/hyperlink" Target="http://www.energy.alberta.ca/oilsands/791.asp" TargetMode="External"/><Relationship Id="rId3" Type="http://schemas.openxmlformats.org/officeDocument/2006/relationships/hyperlink" Target="http://www.forestecologynetwork.org/climate_change/sequestration_facts.html" TargetMode="External"/><Relationship Id="rId4" Type="http://schemas.openxmlformats.org/officeDocument/2006/relationships/hyperlink" Target="http://www.epa.gov/cleanenergy/energy-resources/refs.html" TargetMode="External"/><Relationship Id="rId5" Type="http://schemas.openxmlformats.org/officeDocument/2006/relationships/hyperlink" Target="http://www.scientificamerican.com/article.cfm?id=tar-sands-and-keystone-xl-pipeline-impact-on-global-warming" TargetMode="External"/><Relationship Id="rId6" Type="http://schemas.openxmlformats.org/officeDocument/2006/relationships/hyperlink" Target="http://www.power-technology.com/features/featurethe-worlds-biggest-wind-turbines-4154395/" TargetMode="External"/><Relationship Id="rId7" Type="http://schemas.openxmlformats.org/officeDocument/2006/relationships/hyperlink" Target="http://cleantechnica.com/2012/07/27/wind-turbine-net-capacity-factor-50-the-new-normal/" TargetMode="External"/><Relationship Id="rId8" Type="http://schemas.openxmlformats.org/officeDocument/2006/relationships/hyperlink" Target="http://www.cenovus.com/operations/docs/foster-creek/phase-j/appendix-3-2C.pdf" TargetMode="External"/><Relationship Id="rId9" Type="http://schemas.openxmlformats.org/officeDocument/2006/relationships/hyperlink" Target="http://www.cenovus.com/operations/docs/foster-creek/phase-j/appendix-3-2C.pdf" TargetMode="External"/><Relationship Id="rId10" Type="http://schemas.openxmlformats.org/officeDocument/2006/relationships/hyperlink" Target="http://www.forbes.com/sites/peterdetwiler/2013/07/16/as-solar-panel-efficiencies-keep-improving-its-time-to-adopt-some-new-metric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epa.gov/cleanenergy/energy-resources/refs.html" TargetMode="External"/><Relationship Id="rId2" Type="http://schemas.openxmlformats.org/officeDocument/2006/relationships/hyperlink" Target="http://oilprice.com/Energy/Energy-General/Keystone-XLs-Miniscule-CO2-Impact-and-the-Bigger-Picture.html" TargetMode="External"/><Relationship Id="rId3" Type="http://schemas.openxmlformats.org/officeDocument/2006/relationships/hyperlink" Target="http://www.scientificamerican.com/article.cfm?id=tar-sands-and-keystone-xl-pipeline-impact-on-global-warm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irena.org/DocumentDownloads/Publications/RE_Technologies_Cost_Analysis-WIND_POWER.pdf" TargetMode="External"/><Relationship Id="rId2"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selection activeCell="B12" sqref="B12"/>
    </sheetView>
  </sheetViews>
  <sheetFormatPr baseColWidth="10" defaultColWidth="8.83203125" defaultRowHeight="14" x14ac:dyDescent="0"/>
  <cols>
    <col min="1" max="1" width="8.83203125" style="98"/>
    <col min="2" max="2" width="51" style="98" customWidth="1"/>
    <col min="3" max="16384" width="8.83203125" style="98"/>
  </cols>
  <sheetData>
    <row r="1" spans="2:14" ht="26.25" customHeight="1">
      <c r="B1" s="321" t="s">
        <v>254</v>
      </c>
      <c r="C1" s="321"/>
      <c r="D1" s="321"/>
      <c r="E1" s="321"/>
      <c r="F1" s="321"/>
      <c r="G1" s="321"/>
      <c r="H1" s="321"/>
      <c r="I1" s="321"/>
      <c r="J1" s="321"/>
      <c r="K1" s="321"/>
      <c r="L1" s="321"/>
      <c r="M1" s="321"/>
      <c r="N1" s="321"/>
    </row>
    <row r="3" spans="2:14" ht="15" thickBot="1">
      <c r="B3" s="100"/>
      <c r="C3" s="100"/>
      <c r="D3" s="100"/>
      <c r="E3" s="100"/>
      <c r="F3" s="100"/>
      <c r="G3" s="100"/>
      <c r="H3" s="100"/>
      <c r="I3" s="100"/>
      <c r="J3" s="100"/>
      <c r="K3" s="100"/>
      <c r="L3" s="100"/>
      <c r="M3" s="100"/>
      <c r="N3" s="100"/>
    </row>
    <row r="4" spans="2:14" ht="15" thickBot="1">
      <c r="B4" s="107" t="s">
        <v>4</v>
      </c>
      <c r="C4" s="107">
        <v>106</v>
      </c>
      <c r="D4" s="102" t="s">
        <v>2</v>
      </c>
      <c r="E4" s="100"/>
      <c r="F4" s="100"/>
      <c r="G4" s="100"/>
      <c r="H4" s="100"/>
      <c r="I4" s="100"/>
      <c r="J4" s="100"/>
      <c r="K4" s="100"/>
      <c r="L4" s="100"/>
      <c r="M4" s="100"/>
      <c r="N4" s="100"/>
    </row>
    <row r="5" spans="2:14">
      <c r="B5" s="222" t="s">
        <v>3</v>
      </c>
      <c r="C5" s="181">
        <f>C4/4046.856</f>
        <v>2.6193173169492562E-2</v>
      </c>
      <c r="D5" s="100"/>
      <c r="E5" s="100"/>
      <c r="F5" s="100"/>
      <c r="G5" s="100"/>
      <c r="H5" s="100"/>
      <c r="I5" s="100"/>
      <c r="J5" s="100"/>
      <c r="K5" s="100"/>
      <c r="L5" s="100"/>
      <c r="M5" s="100"/>
      <c r="N5" s="100"/>
    </row>
    <row r="6" spans="2:14" ht="15" thickBot="1">
      <c r="B6" s="223" t="s">
        <v>86</v>
      </c>
      <c r="C6" s="224">
        <f>1000*C5</f>
        <v>26.193173169492564</v>
      </c>
      <c r="D6" s="100"/>
      <c r="E6" s="100"/>
      <c r="F6" s="100"/>
      <c r="G6" s="100"/>
      <c r="H6" s="100"/>
      <c r="I6" s="100"/>
      <c r="J6" s="100"/>
      <c r="K6" s="100"/>
      <c r="L6" s="100"/>
      <c r="M6" s="100"/>
      <c r="N6" s="100"/>
    </row>
    <row r="7" spans="2:14">
      <c r="B7" s="100"/>
      <c r="C7" s="100"/>
      <c r="D7" s="100"/>
      <c r="E7" s="100"/>
      <c r="F7" s="100"/>
      <c r="G7" s="100"/>
      <c r="H7" s="100"/>
      <c r="I7" s="100"/>
      <c r="J7" s="100"/>
      <c r="K7" s="100"/>
      <c r="L7" s="100"/>
      <c r="M7" s="100"/>
      <c r="N7" s="100"/>
    </row>
  </sheetData>
  <mergeCells count="1">
    <mergeCell ref="B1:N1"/>
  </mergeCells>
  <hyperlinks>
    <hyperlink ref="D4" r:id="rId1"/>
  </hyperlink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81"/>
  <sheetViews>
    <sheetView tabSelected="1" workbookViewId="0">
      <selection activeCell="L126" sqref="L126"/>
    </sheetView>
  </sheetViews>
  <sheetFormatPr baseColWidth="10" defaultColWidth="8.83203125" defaultRowHeight="14" x14ac:dyDescent="0"/>
  <cols>
    <col min="1" max="1" width="8.83203125" style="63"/>
    <col min="2" max="2" width="34.5" style="63" customWidth="1"/>
    <col min="3" max="3" width="16" style="64" customWidth="1"/>
    <col min="4" max="6" width="12.6640625" style="64" customWidth="1"/>
    <col min="7" max="7" width="16.33203125" style="64" customWidth="1"/>
    <col min="8" max="9" width="12.6640625" style="162" customWidth="1"/>
    <col min="10" max="10" width="21" style="63" customWidth="1"/>
    <col min="11" max="11" width="18.6640625" style="63" customWidth="1"/>
    <col min="12" max="12" width="14.83203125" style="63" customWidth="1"/>
    <col min="13" max="13" width="11.5" style="63" customWidth="1"/>
    <col min="14" max="16384" width="8.83203125" style="63"/>
  </cols>
  <sheetData>
    <row r="1" spans="2:18" ht="24" customHeight="1">
      <c r="B1" s="330" t="s">
        <v>205</v>
      </c>
      <c r="C1" s="330"/>
      <c r="D1" s="330"/>
      <c r="E1" s="330"/>
      <c r="F1" s="330"/>
      <c r="G1" s="330"/>
      <c r="H1" s="330"/>
      <c r="I1" s="330"/>
      <c r="J1" s="330"/>
      <c r="K1" s="330"/>
      <c r="L1" s="330"/>
      <c r="M1" s="330"/>
    </row>
    <row r="2" spans="2:18" ht="15" customHeight="1">
      <c r="B2" s="186"/>
      <c r="C2" s="186"/>
      <c r="D2" s="186"/>
      <c r="E2" s="186"/>
      <c r="F2" s="186"/>
      <c r="G2" s="186"/>
      <c r="H2" s="186"/>
      <c r="I2" s="186"/>
      <c r="J2" s="186"/>
      <c r="K2" s="186"/>
      <c r="L2" s="186"/>
      <c r="M2" s="186"/>
    </row>
    <row r="3" spans="2:18" ht="16.5" customHeight="1">
      <c r="B3" s="252" t="s">
        <v>257</v>
      </c>
      <c r="C3" s="251"/>
      <c r="D3" s="160"/>
      <c r="E3" s="160"/>
      <c r="F3" s="160"/>
      <c r="G3" s="160"/>
      <c r="H3" s="160"/>
      <c r="I3" s="161"/>
      <c r="J3" s="161"/>
      <c r="K3" s="160"/>
      <c r="L3" s="160"/>
      <c r="M3" s="160"/>
      <c r="N3" s="160"/>
      <c r="O3" s="160"/>
      <c r="P3" s="160"/>
      <c r="Q3" s="160"/>
      <c r="R3" s="160"/>
    </row>
    <row r="4" spans="2:18" ht="16.5" customHeight="1">
      <c r="B4" s="250" t="s">
        <v>258</v>
      </c>
      <c r="C4" s="249"/>
      <c r="D4" s="160"/>
      <c r="E4" s="160"/>
      <c r="F4" s="160"/>
      <c r="G4" s="160"/>
      <c r="H4" s="160"/>
      <c r="I4" s="161"/>
      <c r="J4" s="161"/>
      <c r="K4" s="160"/>
      <c r="L4" s="160"/>
      <c r="M4" s="160"/>
      <c r="N4" s="160"/>
      <c r="O4" s="160"/>
      <c r="P4" s="160"/>
      <c r="Q4" s="160"/>
      <c r="R4" s="160"/>
    </row>
    <row r="5" spans="2:18" ht="16.5" customHeight="1">
      <c r="B5" s="253"/>
      <c r="C5" s="254"/>
      <c r="D5" s="160"/>
      <c r="E5" s="160"/>
      <c r="F5" s="160"/>
      <c r="G5" s="160"/>
      <c r="H5" s="160"/>
      <c r="I5" s="161"/>
      <c r="J5" s="161"/>
      <c r="K5" s="160"/>
      <c r="L5" s="160"/>
      <c r="M5" s="160"/>
      <c r="N5" s="160"/>
      <c r="O5" s="160"/>
      <c r="P5" s="160"/>
      <c r="Q5" s="160"/>
      <c r="R5" s="160"/>
    </row>
    <row r="6" spans="2:18" s="255" customFormat="1" ht="18" customHeight="1" thickBot="1">
      <c r="B6" s="331" t="s">
        <v>262</v>
      </c>
      <c r="C6" s="331"/>
      <c r="D6" s="160"/>
      <c r="E6" s="160"/>
      <c r="F6" s="160"/>
      <c r="G6" s="160"/>
      <c r="H6" s="160"/>
      <c r="I6" s="161"/>
      <c r="J6" s="161"/>
      <c r="K6" s="160"/>
      <c r="L6" s="160"/>
      <c r="M6" s="160"/>
      <c r="N6" s="160"/>
      <c r="O6" s="160"/>
      <c r="P6" s="160"/>
      <c r="Q6" s="160"/>
      <c r="R6" s="160"/>
    </row>
    <row r="7" spans="2:18">
      <c r="B7" s="217" t="s">
        <v>251</v>
      </c>
      <c r="C7" s="187">
        <v>25</v>
      </c>
      <c r="D7" s="65" t="s">
        <v>131</v>
      </c>
    </row>
    <row r="8" spans="2:18" ht="28">
      <c r="B8" s="218" t="s">
        <v>260</v>
      </c>
      <c r="C8" s="188">
        <f>Summary!C31</f>
        <v>693.5</v>
      </c>
      <c r="D8" s="164"/>
      <c r="E8" s="164"/>
      <c r="F8" s="164"/>
      <c r="G8" s="164"/>
      <c r="H8" s="165"/>
      <c r="I8" s="165"/>
    </row>
    <row r="9" spans="2:18" ht="28">
      <c r="B9" s="240" t="s">
        <v>259</v>
      </c>
      <c r="C9" s="241">
        <v>20</v>
      </c>
      <c r="D9" s="166"/>
      <c r="E9" s="166"/>
      <c r="F9" s="166"/>
      <c r="G9" s="166"/>
      <c r="H9" s="167"/>
      <c r="I9" s="167"/>
    </row>
    <row r="10" spans="2:18">
      <c r="B10" s="218" t="s">
        <v>252</v>
      </c>
      <c r="C10" s="219">
        <f>C9*C8*1000000</f>
        <v>13870000000</v>
      </c>
      <c r="D10" s="169"/>
      <c r="E10" s="169"/>
      <c r="F10" s="169"/>
      <c r="G10" s="169"/>
      <c r="H10" s="167"/>
      <c r="I10" s="167"/>
    </row>
    <row r="11" spans="2:18" ht="28">
      <c r="B11" s="240" t="s">
        <v>253</v>
      </c>
      <c r="C11" s="241">
        <v>0.05</v>
      </c>
      <c r="D11" s="166"/>
      <c r="E11" s="166"/>
      <c r="F11" s="166"/>
      <c r="G11" s="166"/>
      <c r="H11" s="167"/>
      <c r="I11" s="167"/>
    </row>
    <row r="12" spans="2:18" ht="28">
      <c r="B12" s="218" t="s">
        <v>261</v>
      </c>
      <c r="C12" s="190"/>
    </row>
    <row r="13" spans="2:18" ht="28">
      <c r="B13" s="220" t="s">
        <v>359</v>
      </c>
      <c r="C13" s="318">
        <v>4</v>
      </c>
      <c r="H13" s="171"/>
    </row>
    <row r="14" spans="2:18">
      <c r="B14" s="220" t="s">
        <v>366</v>
      </c>
      <c r="C14" s="319">
        <f>Summary!C47</f>
        <v>200</v>
      </c>
      <c r="H14" s="171"/>
    </row>
    <row r="15" spans="2:18">
      <c r="B15" s="220" t="s">
        <v>365</v>
      </c>
      <c r="C15" s="320">
        <f>Summary!C48</f>
        <v>28.356481481481481</v>
      </c>
    </row>
    <row r="16" spans="2:18">
      <c r="B16" s="220" t="s">
        <v>357</v>
      </c>
      <c r="C16" s="189">
        <f>C14*C13</f>
        <v>800</v>
      </c>
      <c r="D16" s="168"/>
      <c r="E16" s="168"/>
      <c r="F16" s="168"/>
      <c r="G16" s="168"/>
      <c r="H16" s="172"/>
      <c r="I16" s="172"/>
    </row>
    <row r="17" spans="2:19" ht="28">
      <c r="B17" s="220" t="s">
        <v>358</v>
      </c>
      <c r="C17" s="188">
        <f>C10/C16</f>
        <v>17337500</v>
      </c>
      <c r="D17" s="164"/>
      <c r="E17" s="164"/>
      <c r="F17" s="164"/>
      <c r="G17" s="164"/>
      <c r="H17" s="165"/>
      <c r="I17" s="165"/>
    </row>
    <row r="18" spans="2:19" ht="29" thickBot="1">
      <c r="B18" s="221" t="s">
        <v>80</v>
      </c>
      <c r="C18" s="191">
        <v>1</v>
      </c>
      <c r="D18" s="164"/>
      <c r="E18" s="164"/>
      <c r="F18" s="164"/>
      <c r="G18" s="164"/>
      <c r="H18" s="165"/>
      <c r="I18" s="165"/>
    </row>
    <row r="19" spans="2:19" ht="15" thickBot="1">
      <c r="B19" s="209"/>
      <c r="C19" s="173"/>
      <c r="D19" s="164"/>
      <c r="E19" s="164"/>
      <c r="F19" s="164"/>
      <c r="G19" s="164"/>
      <c r="H19" s="165"/>
      <c r="I19" s="165"/>
    </row>
    <row r="20" spans="2:19" s="174" customFormat="1" ht="57" thickBot="1">
      <c r="B20" s="182" t="s">
        <v>235</v>
      </c>
      <c r="C20" s="182" t="s">
        <v>363</v>
      </c>
      <c r="D20" s="182" t="s">
        <v>237</v>
      </c>
      <c r="E20" s="182" t="s">
        <v>364</v>
      </c>
      <c r="F20" s="182" t="s">
        <v>50</v>
      </c>
      <c r="G20" s="182" t="s">
        <v>367</v>
      </c>
      <c r="H20" s="183" t="s">
        <v>250</v>
      </c>
      <c r="I20" s="183" t="s">
        <v>240</v>
      </c>
      <c r="J20" s="182" t="s">
        <v>368</v>
      </c>
      <c r="K20" s="182" t="s">
        <v>81</v>
      </c>
      <c r="L20" s="182" t="s">
        <v>372</v>
      </c>
      <c r="M20" s="174" t="s">
        <v>286</v>
      </c>
      <c r="N20" s="174" t="s">
        <v>287</v>
      </c>
      <c r="O20" s="174" t="s">
        <v>288</v>
      </c>
      <c r="P20" s="174" t="s">
        <v>289</v>
      </c>
      <c r="Q20" s="174" t="s">
        <v>290</v>
      </c>
      <c r="R20" s="174" t="s">
        <v>328</v>
      </c>
      <c r="S20" s="174" t="s">
        <v>330</v>
      </c>
    </row>
    <row r="21" spans="2:19">
      <c r="B21" s="192">
        <v>1</v>
      </c>
      <c r="C21" s="184">
        <f>E21</f>
        <v>17337500</v>
      </c>
      <c r="D21" s="195">
        <f t="shared" ref="D21:D29" si="0">H21/I21</f>
        <v>0</v>
      </c>
      <c r="E21" s="184">
        <f>K21/C$16</f>
        <v>17337500</v>
      </c>
      <c r="F21" s="196">
        <f>E21*C$18/1000000</f>
        <v>17.337499999999999</v>
      </c>
      <c r="G21" s="197">
        <f>C21/Summary!C$58</f>
        <v>2.7480583293707402E-3</v>
      </c>
      <c r="H21" s="198">
        <v>0</v>
      </c>
      <c r="I21" s="198">
        <f>Summary!C34</f>
        <v>347.92166666666662</v>
      </c>
      <c r="J21" s="184"/>
      <c r="K21" s="200">
        <f>C$10+J21</f>
        <v>13870000000</v>
      </c>
      <c r="L21" s="184">
        <f ca="1">ROUNDUP(IF(B21&gt;$C$7,OFFSET(E21,-1*$C$7,0),0),0)</f>
        <v>0</v>
      </c>
      <c r="N21" s="272">
        <f>M21/'Alberta Electricity Profile'!$D$49</f>
        <v>0</v>
      </c>
      <c r="O21" s="273">
        <f>I21</f>
        <v>347.92166666666662</v>
      </c>
      <c r="P21" s="63">
        <v>0</v>
      </c>
    </row>
    <row r="22" spans="2:19">
      <c r="B22" s="192">
        <f>B21+1</f>
        <v>2</v>
      </c>
      <c r="C22" s="184">
        <f ca="1">C21+E22-L22</f>
        <v>34715350</v>
      </c>
      <c r="D22" s="195">
        <f>H22/I22</f>
        <v>3.3760116861851642E-3</v>
      </c>
      <c r="E22" s="184">
        <f>ROUNDDOWN(K22/C$16,0)</f>
        <v>17377850</v>
      </c>
      <c r="F22" s="196">
        <f t="shared" ref="F22:F29" si="1">E22*C$18/1000000</f>
        <v>17.377849999999999</v>
      </c>
      <c r="G22" s="197">
        <f ca="1">C22/Summary!C$58</f>
        <v>5.5025122840386747E-3</v>
      </c>
      <c r="H22" s="198">
        <f>H21+M22*Summary!$C$26/1000000</f>
        <v>2.3491752250873716</v>
      </c>
      <c r="I22" s="198">
        <f>I21+I$21</f>
        <v>695.84333333333325</v>
      </c>
      <c r="J22" s="200">
        <f>C21*Summary!C$49*Summary!C$62*24*365*1000*C$11</f>
        <v>32280501.445549674</v>
      </c>
      <c r="K22" s="200">
        <f t="shared" ref="K22:K29" si="2">C$10+J22</f>
        <v>13902280501.445549</v>
      </c>
      <c r="L22" s="184">
        <f t="shared" ref="L22:L85" ca="1" si="3">ROUNDUP(IF(B22&gt;$C$7,OFFSET(E22,-1*$C$7,0),0),0)</f>
        <v>0</v>
      </c>
      <c r="M22" s="273">
        <f>C21*Summary!$C$49*Summary!$C$61</f>
        <v>368.49887494919716</v>
      </c>
      <c r="N22" s="272">
        <f>M22/'Alberta Electricity Profile'!$D$49</f>
        <v>2.8228160448985941E-3</v>
      </c>
      <c r="O22" s="273">
        <f>I22-I21</f>
        <v>347.92166666666662</v>
      </c>
      <c r="P22" s="273">
        <f>H22-H21</f>
        <v>2.3491752250873716</v>
      </c>
      <c r="Q22" s="63">
        <f>P22/M22*1000</f>
        <v>6.3749861527019291</v>
      </c>
      <c r="R22" s="63">
        <f>M22*10^6/C21</f>
        <v>21.254441237156289</v>
      </c>
      <c r="S22" s="63">
        <f>P22/C21*1000000</f>
        <v>0.1354967685702882</v>
      </c>
    </row>
    <row r="23" spans="2:19">
      <c r="B23" s="192">
        <f t="shared" ref="B23:B86" si="4">B22+1</f>
        <v>3</v>
      </c>
      <c r="C23" s="184">
        <f t="shared" ref="C23:C86" ca="1" si="5">C22+E23-L23</f>
        <v>52133645</v>
      </c>
      <c r="D23" s="195">
        <f t="shared" ca="1" si="0"/>
        <v>6.7572614236671357E-3</v>
      </c>
      <c r="E23" s="184">
        <f ca="1">ROUNDDOWN(K23/C$16,0)</f>
        <v>17418295</v>
      </c>
      <c r="F23" s="196">
        <f t="shared" ca="1" si="1"/>
        <v>17.418295000000001</v>
      </c>
      <c r="G23" s="197">
        <f ca="1">C23/Summary!C$58</f>
        <v>8.2633769218576642E-3</v>
      </c>
      <c r="H23" s="198">
        <f ca="1">H22+M23*Summary!$C$26/1000000</f>
        <v>7.0529929698739267</v>
      </c>
      <c r="I23" s="198">
        <f t="shared" ref="I23:I86" si="6">I22+I$21</f>
        <v>1043.7649999999999</v>
      </c>
      <c r="J23" s="200">
        <f ca="1">C22*Summary!C$49*Summary!C$62*24*365*1000*C$11</f>
        <v>64636130.114362687</v>
      </c>
      <c r="K23" s="200">
        <f t="shared" ca="1" si="2"/>
        <v>13934636130.114363</v>
      </c>
      <c r="L23" s="184">
        <f t="shared" ca="1" si="3"/>
        <v>0</v>
      </c>
      <c r="M23" s="273">
        <f ca="1">C22*Summary!$C$49*Summary!$C$61</f>
        <v>737.85536660231355</v>
      </c>
      <c r="N23" s="272">
        <f ca="1">M23/'Alberta Electricity Profile'!$D$49</f>
        <v>5.6522017006068008E-3</v>
      </c>
      <c r="O23" s="273">
        <f t="shared" ref="O23:O86" si="7">I23-I22</f>
        <v>347.92166666666662</v>
      </c>
      <c r="P23" s="273">
        <f ca="1">H23-H22</f>
        <v>4.703817744786555</v>
      </c>
      <c r="Q23" s="63">
        <f t="shared" ref="Q23:Q86" ca="1" si="8">P23/M23*1000</f>
        <v>6.37498615270193</v>
      </c>
      <c r="R23" s="63">
        <f t="shared" ref="R23:R86" ca="1" si="9">M23*10^6/C22</f>
        <v>21.254441237156286</v>
      </c>
      <c r="S23" s="63">
        <f t="shared" ref="S23:S86" ca="1" si="10">P23/C22*1000000</f>
        <v>0.13549676857028822</v>
      </c>
    </row>
    <row r="24" spans="2:19">
      <c r="B24" s="192">
        <f t="shared" si="4"/>
        <v>4</v>
      </c>
      <c r="C24" s="184">
        <f t="shared" ca="1" si="5"/>
        <v>69592478</v>
      </c>
      <c r="D24" s="195">
        <f t="shared" ca="1" si="0"/>
        <v>1.0143758461792997E-2</v>
      </c>
      <c r="E24" s="184">
        <f t="shared" ref="E24:E29" ca="1" si="11">ROUNDDOWN(K24/C$16,0)</f>
        <v>17458833</v>
      </c>
      <c r="F24" s="196">
        <f t="shared" ca="1" si="1"/>
        <v>17.458832999999998</v>
      </c>
      <c r="G24" s="197">
        <f ca="1">C24/Summary!C$58</f>
        <v>1.1030666983674116E-2</v>
      </c>
      <c r="H24" s="198">
        <f ca="1">H23+M24*Summary!$C$26/1000000</f>
        <v>14.116933401164488</v>
      </c>
      <c r="I24" s="198">
        <f t="shared" si="6"/>
        <v>1391.6866666666665</v>
      </c>
      <c r="J24" s="200">
        <f ca="1">C23*Summary!C$49*Summary!C$62*24*365*1000*C$11</f>
        <v>97067062.885898978</v>
      </c>
      <c r="K24" s="200">
        <f t="shared" ca="1" si="2"/>
        <v>13967067062.885899</v>
      </c>
      <c r="L24" s="184">
        <f t="shared" ca="1" si="3"/>
        <v>0</v>
      </c>
      <c r="M24" s="273">
        <f ca="1">C23*Summary!$C$49*Summary!$C$61</f>
        <v>1108.0714941312667</v>
      </c>
      <c r="N24" s="272">
        <f ca="1">M24/'Alberta Electricity Profile'!$D$49</f>
        <v>8.4881724346097965E-3</v>
      </c>
      <c r="O24" s="273">
        <f t="shared" si="7"/>
        <v>347.92166666666662</v>
      </c>
      <c r="P24" s="273">
        <f t="shared" ref="P24:P86" ca="1" si="12">H24-H23</f>
        <v>7.0639404312905612</v>
      </c>
      <c r="Q24" s="63">
        <f t="shared" ca="1" si="8"/>
        <v>6.3749861527019283</v>
      </c>
      <c r="R24" s="63">
        <f t="shared" ca="1" si="9"/>
        <v>21.254441237156289</v>
      </c>
      <c r="S24" s="63">
        <f t="shared" ca="1" si="10"/>
        <v>0.13549676857028817</v>
      </c>
    </row>
    <row r="25" spans="2:19">
      <c r="B25" s="192">
        <f t="shared" si="4"/>
        <v>5</v>
      </c>
      <c r="C25" s="184">
        <f t="shared" ca="1" si="5"/>
        <v>87091944</v>
      </c>
      <c r="D25" s="195">
        <f t="shared" ca="1" si="0"/>
        <v>1.3535511894131361E-2</v>
      </c>
      <c r="E25" s="184">
        <f t="shared" ca="1" si="11"/>
        <v>17499466</v>
      </c>
      <c r="F25" s="196">
        <f t="shared" ca="1" si="1"/>
        <v>17.499466000000002</v>
      </c>
      <c r="G25" s="197">
        <f ca="1">C25/Summary!C$58</f>
        <v>1.3804397527341892E-2</v>
      </c>
      <c r="H25" s="198">
        <f ca="1">H24+M25*Summary!$C$26/1000000</f>
        <v>23.546489286963364</v>
      </c>
      <c r="I25" s="198">
        <f t="shared" si="6"/>
        <v>1739.6083333333331</v>
      </c>
      <c r="J25" s="200">
        <f ca="1">C24*Summary!C$49*Summary!C$62*24*365*1000*C$11</f>
        <v>129573472.91584046</v>
      </c>
      <c r="K25" s="200">
        <f t="shared" ca="1" si="2"/>
        <v>13999573472.91584</v>
      </c>
      <c r="L25" s="184">
        <f t="shared" ca="1" si="3"/>
        <v>0</v>
      </c>
      <c r="M25" s="273">
        <f ca="1">C24*Summary!$C$49*Summary!$C$61</f>
        <v>1479.149234199092</v>
      </c>
      <c r="N25" s="272">
        <f ca="1">M25/'Alberta Electricity Profile'!$D$49</f>
        <v>1.1330743388761496E-2</v>
      </c>
      <c r="O25" s="273">
        <f t="shared" si="7"/>
        <v>347.92166666666662</v>
      </c>
      <c r="P25" s="273">
        <f t="shared" ca="1" si="12"/>
        <v>9.4295558857988766</v>
      </c>
      <c r="Q25" s="63">
        <f t="shared" ca="1" si="8"/>
        <v>6.3749861527019309</v>
      </c>
      <c r="R25" s="63">
        <f t="shared" ca="1" si="9"/>
        <v>21.254441237156289</v>
      </c>
      <c r="S25" s="63">
        <f t="shared" ca="1" si="10"/>
        <v>0.13549676857028825</v>
      </c>
    </row>
    <row r="26" spans="2:19">
      <c r="B26" s="192">
        <f t="shared" si="4"/>
        <v>6</v>
      </c>
      <c r="C26" s="184">
        <f t="shared" ca="1" si="5"/>
        <v>104632138</v>
      </c>
      <c r="D26" s="195">
        <f t="shared" ca="1" si="0"/>
        <v>1.693253091810315E-2</v>
      </c>
      <c r="E26" s="184">
        <f t="shared" ca="1" si="11"/>
        <v>17540194</v>
      </c>
      <c r="F26" s="196">
        <f t="shared" ca="1" si="1"/>
        <v>17.540194</v>
      </c>
      <c r="G26" s="197">
        <f ca="1">C26/Summary!C$58</f>
        <v>1.658458361071485E-2</v>
      </c>
      <c r="H26" s="198">
        <f ca="1">H25+M26*Summary!$C$26/1000000</f>
        <v>35.347166267467863</v>
      </c>
      <c r="I26" s="198">
        <f t="shared" si="6"/>
        <v>2087.5299999999997</v>
      </c>
      <c r="J26" s="200">
        <f ca="1">C25*Summary!C$49*Summary!C$62*24*365*1000*C$11</f>
        <v>162155537.08364713</v>
      </c>
      <c r="K26" s="200">
        <f t="shared" ca="1" si="2"/>
        <v>14032155537.083647</v>
      </c>
      <c r="L26" s="184">
        <f t="shared" ca="1" si="3"/>
        <v>0</v>
      </c>
      <c r="M26" s="273">
        <f ca="1">C25*Summary!$C$49*Summary!$C$61</f>
        <v>1851.0906059777062</v>
      </c>
      <c r="N26" s="272">
        <f ca="1">M26/'Alberta Electricity Profile'!$D$49</f>
        <v>1.417993003054707E-2</v>
      </c>
      <c r="O26" s="273">
        <f t="shared" si="7"/>
        <v>347.92166666666662</v>
      </c>
      <c r="P26" s="273">
        <f t="shared" ca="1" si="12"/>
        <v>11.800676980504498</v>
      </c>
      <c r="Q26" s="63">
        <f t="shared" ca="1" si="8"/>
        <v>6.3749861527019283</v>
      </c>
      <c r="R26" s="63">
        <f t="shared" ca="1" si="9"/>
        <v>21.254441237156289</v>
      </c>
      <c r="S26" s="63">
        <f t="shared" ca="1" si="10"/>
        <v>0.1354967685702882</v>
      </c>
    </row>
    <row r="27" spans="2:19">
      <c r="B27" s="192">
        <f t="shared" si="4"/>
        <v>7</v>
      </c>
      <c r="C27" s="184">
        <f t="shared" ca="1" si="5"/>
        <v>122213154</v>
      </c>
      <c r="D27" s="195">
        <f t="shared" ca="1" si="0"/>
        <v>2.0334824760801382E-2</v>
      </c>
      <c r="E27" s="184">
        <f t="shared" ca="1" si="11"/>
        <v>17581016</v>
      </c>
      <c r="F27" s="196">
        <f t="shared" ca="1" si="1"/>
        <v>17.581016000000002</v>
      </c>
      <c r="G27" s="197">
        <f ca="1">C27/Summary!C$58</f>
        <v>1.937124013314313E-2</v>
      </c>
      <c r="H27" s="198">
        <f ca="1">H26+M27*Summary!$C$26/1000000</f>
        <v>49.524482855068321</v>
      </c>
      <c r="I27" s="198">
        <f t="shared" si="6"/>
        <v>2435.4516666666664</v>
      </c>
      <c r="J27" s="200">
        <f ca="1">C26*Summary!C$49*Summary!C$62*24*365*1000*C$11</f>
        <v>194813432.26877886</v>
      </c>
      <c r="K27" s="200">
        <f t="shared" ca="1" si="2"/>
        <v>14064813432.26878</v>
      </c>
      <c r="L27" s="184">
        <f t="shared" ca="1" si="3"/>
        <v>0</v>
      </c>
      <c r="M27" s="273">
        <f ca="1">C26*Summary!$C$49*Summary!$C$61</f>
        <v>2223.8976286390275</v>
      </c>
      <c r="N27" s="272">
        <f ca="1">M27/'Alberta Electricity Profile'!$D$49</f>
        <v>1.7035747827451701E-2</v>
      </c>
      <c r="O27" s="273">
        <f t="shared" si="7"/>
        <v>347.92166666666662</v>
      </c>
      <c r="P27" s="273">
        <f t="shared" ca="1" si="12"/>
        <v>14.177316587600458</v>
      </c>
      <c r="Q27" s="63">
        <f t="shared" ca="1" si="8"/>
        <v>6.3749861527019291</v>
      </c>
      <c r="R27" s="63">
        <f t="shared" ca="1" si="9"/>
        <v>21.254441237156289</v>
      </c>
      <c r="S27" s="63">
        <f t="shared" ca="1" si="10"/>
        <v>0.13549676857028822</v>
      </c>
    </row>
    <row r="28" spans="2:19">
      <c r="B28" s="192">
        <f t="shared" si="4"/>
        <v>8</v>
      </c>
      <c r="C28" s="184">
        <f t="shared" ca="1" si="5"/>
        <v>139835088</v>
      </c>
      <c r="D28" s="195">
        <f t="shared" ca="1" si="0"/>
        <v>2.3742402611765336E-2</v>
      </c>
      <c r="E28" s="184">
        <f t="shared" ca="1" si="11"/>
        <v>17621934</v>
      </c>
      <c r="F28" s="196">
        <f t="shared" ca="1" si="1"/>
        <v>17.621934</v>
      </c>
      <c r="G28" s="197">
        <f ca="1">C28/Summary!C$58</f>
        <v>2.2164382310984308E-2</v>
      </c>
      <c r="H28" s="198">
        <f ca="1">H27+M28*Summary!$C$26/1000000</f>
        <v>66.083970298851312</v>
      </c>
      <c r="I28" s="198">
        <f t="shared" si="6"/>
        <v>2783.373333333333</v>
      </c>
      <c r="J28" s="200">
        <f ca="1">C27*Summary!C$49*Summary!C$62*24*365*1000*C$11</f>
        <v>227547333.48880661</v>
      </c>
      <c r="K28" s="200">
        <f t="shared" ca="1" si="2"/>
        <v>14097547333.488806</v>
      </c>
      <c r="L28" s="184">
        <f t="shared" ca="1" si="3"/>
        <v>0</v>
      </c>
      <c r="M28" s="273">
        <f ca="1">C27*Summary!$C$49*Summary!$C$61</f>
        <v>2597.5723001005322</v>
      </c>
      <c r="N28" s="272">
        <f ca="1">M28/'Alberta Electricity Profile'!$D$49</f>
        <v>1.9898212084144936E-2</v>
      </c>
      <c r="O28" s="273">
        <f t="shared" si="7"/>
        <v>347.92166666666662</v>
      </c>
      <c r="P28" s="273">
        <f t="shared" ca="1" si="12"/>
        <v>16.559487443782992</v>
      </c>
      <c r="Q28" s="63">
        <f t="shared" ca="1" si="8"/>
        <v>6.3749861527019283</v>
      </c>
      <c r="R28" s="63">
        <f t="shared" ca="1" si="9"/>
        <v>21.254441237156289</v>
      </c>
      <c r="S28" s="63">
        <f t="shared" ca="1" si="10"/>
        <v>0.1354967685702882</v>
      </c>
    </row>
    <row r="29" spans="2:19">
      <c r="B29" s="192">
        <f t="shared" si="4"/>
        <v>9</v>
      </c>
      <c r="C29" s="184">
        <f t="shared" ca="1" si="5"/>
        <v>157498034</v>
      </c>
      <c r="D29" s="195">
        <f t="shared" ca="1" si="0"/>
        <v>2.7155273730387335E-2</v>
      </c>
      <c r="E29" s="184">
        <f t="shared" ca="1" si="11"/>
        <v>17662946</v>
      </c>
      <c r="F29" s="196">
        <f t="shared" ca="1" si="1"/>
        <v>17.662946000000002</v>
      </c>
      <c r="G29" s="197">
        <f ca="1">C29/Summary!C$58</f>
        <v>2.4964025043588526E-2</v>
      </c>
      <c r="H29" s="198">
        <f ca="1">H28+M29*Summary!$C$26/1000000</f>
        <v>85.031172855593198</v>
      </c>
      <c r="I29" s="198">
        <f t="shared" si="6"/>
        <v>3131.2949999999996</v>
      </c>
      <c r="J29" s="200">
        <f ca="1">C28*Summary!C$49*Summary!C$62*24*365*1000*C$11</f>
        <v>260357419.4850795</v>
      </c>
      <c r="K29" s="200">
        <f t="shared" ca="1" si="2"/>
        <v>14130357419.485079</v>
      </c>
      <c r="L29" s="184">
        <f t="shared" ca="1" si="3"/>
        <v>0</v>
      </c>
      <c r="M29" s="273">
        <f ca="1">C28*Summary!$C$49*Summary!$C$61</f>
        <v>2972.1166607885784</v>
      </c>
      <c r="N29" s="272">
        <f ca="1">M29/'Alberta Electricity Profile'!$D$49</f>
        <v>2.2767338430927576E-2</v>
      </c>
      <c r="O29" s="273">
        <f t="shared" si="7"/>
        <v>347.92166666666662</v>
      </c>
      <c r="P29" s="273">
        <f t="shared" ca="1" si="12"/>
        <v>18.947202556741885</v>
      </c>
      <c r="Q29" s="63">
        <f t="shared" ca="1" si="8"/>
        <v>6.3749861527019291</v>
      </c>
      <c r="R29" s="63">
        <f t="shared" ca="1" si="9"/>
        <v>21.254441237156289</v>
      </c>
      <c r="S29" s="63">
        <f t="shared" ca="1" si="10"/>
        <v>0.13549676857028822</v>
      </c>
    </row>
    <row r="30" spans="2:19">
      <c r="B30" s="192">
        <f t="shared" si="4"/>
        <v>10</v>
      </c>
      <c r="C30" s="184">
        <f t="shared" ca="1" si="5"/>
        <v>175202088</v>
      </c>
      <c r="D30" s="195">
        <f ca="1">H30/I30</f>
        <v>3.0573447333096988E-2</v>
      </c>
      <c r="E30" s="184">
        <f t="shared" ref="E30:E46" ca="1" si="13">ROUNDDOWN(K30/C$16,0)</f>
        <v>17704054</v>
      </c>
      <c r="F30" s="196">
        <f t="shared" ref="F30:F46" ca="1" si="14">E30*C$18/1000000</f>
        <v>17.704053999999999</v>
      </c>
      <c r="G30" s="197">
        <f ca="1">C30/Summary!C$58</f>
        <v>2.7770183547313362E-2</v>
      </c>
      <c r="H30" s="198">
        <f ca="1">H29+M30*Summary!$C$26/1000000</f>
        <v>106.37164751876658</v>
      </c>
      <c r="I30" s="198">
        <f>I29+I$21</f>
        <v>3479.2166666666662</v>
      </c>
      <c r="J30" s="200">
        <f ca="1">C29*Summary!C$49*Summary!C$62*24*365*1000*C$11</f>
        <v>293243865.27516836</v>
      </c>
      <c r="K30" s="200">
        <f t="shared" ref="K30:K46" ca="1" si="15">C$10+J30</f>
        <v>14163243865.275167</v>
      </c>
      <c r="L30" s="184">
        <f t="shared" ca="1" si="3"/>
        <v>0</v>
      </c>
      <c r="M30" s="273">
        <f ca="1">C29*Summary!$C$49*Summary!$C$61</f>
        <v>3347.532708620643</v>
      </c>
      <c r="N30" s="272">
        <f ca="1">M30/'Alberta Electricity Profile'!$D$49</f>
        <v>2.5643142172469172E-2</v>
      </c>
      <c r="O30" s="273">
        <f t="shared" si="7"/>
        <v>347.92166666666662</v>
      </c>
      <c r="P30" s="273">
        <f t="shared" ca="1" si="12"/>
        <v>21.340474663173381</v>
      </c>
      <c r="Q30" s="63">
        <f t="shared" ca="1" si="8"/>
        <v>6.3749861527019291</v>
      </c>
      <c r="R30" s="63">
        <f t="shared" ca="1" si="9"/>
        <v>21.254441237156289</v>
      </c>
      <c r="S30" s="63">
        <f t="shared" ca="1" si="10"/>
        <v>0.1354967685702882</v>
      </c>
    </row>
    <row r="31" spans="2:19">
      <c r="B31" s="192">
        <f t="shared" si="4"/>
        <v>11</v>
      </c>
      <c r="C31" s="184">
        <f t="shared" ca="1" si="5"/>
        <v>192947346</v>
      </c>
      <c r="D31" s="195">
        <f t="shared" ref="D31:D46" ca="1" si="16">H31/I31</f>
        <v>3.3996932683698099E-2</v>
      </c>
      <c r="E31" s="184">
        <f t="shared" ca="1" si="13"/>
        <v>17745258</v>
      </c>
      <c r="F31" s="196">
        <f t="shared" ca="1" si="14"/>
        <v>17.745258</v>
      </c>
      <c r="G31" s="197">
        <f ca="1">C31/Summary!C$58</f>
        <v>3.0582873038516405E-2</v>
      </c>
      <c r="H31" s="198">
        <f ca="1">H30+M31*Summary!$C$26/1000000</f>
        <v>130.11096428953385</v>
      </c>
      <c r="I31" s="198">
        <f t="shared" si="6"/>
        <v>3827.1383333333329</v>
      </c>
      <c r="J31" s="200">
        <f ca="1">C30*Summary!C$49*Summary!C$62*24*365*1000*C$11</f>
        <v>326206849.60042238</v>
      </c>
      <c r="K31" s="200">
        <f t="shared" ca="1" si="15"/>
        <v>14196206849.600422</v>
      </c>
      <c r="L31" s="184">
        <f t="shared" ca="1" si="3"/>
        <v>0</v>
      </c>
      <c r="M31" s="273">
        <f ca="1">C30*Summary!$C$49*Summary!$C$61</f>
        <v>3723.8224840230851</v>
      </c>
      <c r="N31" s="272">
        <f ca="1">M31/'Alberta Electricity Profile'!$D$49</f>
        <v>2.8525638939070536E-2</v>
      </c>
      <c r="O31" s="273">
        <f t="shared" si="7"/>
        <v>347.92166666666662</v>
      </c>
      <c r="P31" s="273">
        <f t="shared" ca="1" si="12"/>
        <v>23.739316770767275</v>
      </c>
      <c r="Q31" s="63">
        <f t="shared" ca="1" si="8"/>
        <v>6.3749861527019309</v>
      </c>
      <c r="R31" s="63">
        <f t="shared" ca="1" si="9"/>
        <v>21.254441237156289</v>
      </c>
      <c r="S31" s="63">
        <f t="shared" ca="1" si="10"/>
        <v>0.13549676857028825</v>
      </c>
    </row>
    <row r="32" spans="2:19">
      <c r="B32" s="192">
        <f t="shared" si="4"/>
        <v>12</v>
      </c>
      <c r="C32" s="184">
        <f t="shared" ca="1" si="5"/>
        <v>210733904</v>
      </c>
      <c r="D32" s="195">
        <f t="shared" ca="1" si="16"/>
        <v>3.7425739073629408E-2</v>
      </c>
      <c r="E32" s="184">
        <f t="shared" ca="1" si="13"/>
        <v>17786558</v>
      </c>
      <c r="F32" s="196">
        <f t="shared" ca="1" si="14"/>
        <v>17.786557999999999</v>
      </c>
      <c r="G32" s="197">
        <f ca="1">C32/Summary!C$58</f>
        <v>3.3402108733555237E-2</v>
      </c>
      <c r="H32" s="198">
        <f ca="1">H31+M32*Summary!$C$26/1000000</f>
        <v>156.25470617674716</v>
      </c>
      <c r="I32" s="198">
        <f t="shared" si="6"/>
        <v>4175.0599999999995</v>
      </c>
      <c r="J32" s="200">
        <f ca="1">C31*Summary!C$49*Summary!C$62*24*365*1000*C$11</f>
        <v>359246551.20219028</v>
      </c>
      <c r="K32" s="200">
        <f t="shared" ca="1" si="15"/>
        <v>14229246551.20219</v>
      </c>
      <c r="L32" s="184">
        <f t="shared" ca="1" si="3"/>
        <v>0</v>
      </c>
      <c r="M32" s="273">
        <f ca="1">C31*Summary!$C$49*Summary!$C$61</f>
        <v>4100.9880274222623</v>
      </c>
      <c r="N32" s="272">
        <f ca="1">M32/'Alberta Electricity Profile'!$D$49</f>
        <v>3.1414844361032472E-2</v>
      </c>
      <c r="O32" s="273">
        <f t="shared" si="7"/>
        <v>347.92166666666662</v>
      </c>
      <c r="P32" s="273">
        <f t="shared" ca="1" si="12"/>
        <v>26.143741887213309</v>
      </c>
      <c r="Q32" s="63">
        <f t="shared" ca="1" si="8"/>
        <v>6.3749861527019256</v>
      </c>
      <c r="R32" s="63">
        <f t="shared" ca="1" si="9"/>
        <v>21.254441237156286</v>
      </c>
      <c r="S32" s="63">
        <f t="shared" ca="1" si="10"/>
        <v>0.13549676857028814</v>
      </c>
    </row>
    <row r="33" spans="2:19">
      <c r="B33" s="192">
        <f t="shared" si="4"/>
        <v>13</v>
      </c>
      <c r="C33" s="184">
        <f t="shared" ca="1" si="5"/>
        <v>228561857</v>
      </c>
      <c r="D33" s="195">
        <f t="shared" ca="1" si="16"/>
        <v>4.0859875811335773E-2</v>
      </c>
      <c r="E33" s="184">
        <f t="shared" ca="1" si="13"/>
        <v>17827953</v>
      </c>
      <c r="F33" s="196">
        <f t="shared" ca="1" si="14"/>
        <v>17.827953000000001</v>
      </c>
      <c r="G33" s="197">
        <f ca="1">C33/Summary!C$58</f>
        <v>3.6227905690283724E-2</v>
      </c>
      <c r="H33" s="198">
        <f ca="1">H32+M33*Summary!$C$26/1000000</f>
        <v>184.80846919694849</v>
      </c>
      <c r="I33" s="198">
        <f t="shared" si="6"/>
        <v>4522.9816666666666</v>
      </c>
      <c r="J33" s="200">
        <f ca="1">C32*Summary!C$49*Summary!C$62*24*365*1000*C$11</f>
        <v>392363148.82182133</v>
      </c>
      <c r="K33" s="200">
        <f t="shared" ca="1" si="15"/>
        <v>14262363148.821821</v>
      </c>
      <c r="L33" s="184">
        <f t="shared" ca="1" si="3"/>
        <v>0</v>
      </c>
      <c r="M33" s="273">
        <f ca="1">C32*Summary!$C$49*Summary!$C$61</f>
        <v>4479.0313792445349</v>
      </c>
      <c r="N33" s="272">
        <f ca="1">M33/'Alberta Electricity Profile'!$D$49</f>
        <v>3.4310774068655805E-2</v>
      </c>
      <c r="O33" s="273">
        <f t="shared" si="7"/>
        <v>347.92166666666708</v>
      </c>
      <c r="P33" s="273">
        <f t="shared" ca="1" si="12"/>
        <v>28.55376302020133</v>
      </c>
      <c r="Q33" s="63">
        <f t="shared" ca="1" si="8"/>
        <v>6.3749861527019283</v>
      </c>
      <c r="R33" s="63">
        <f t="shared" ca="1" si="9"/>
        <v>21.254441237156289</v>
      </c>
      <c r="S33" s="63">
        <f t="shared" ca="1" si="10"/>
        <v>0.1354967685702882</v>
      </c>
    </row>
    <row r="34" spans="2:19">
      <c r="B34" s="192">
        <f t="shared" si="4"/>
        <v>14</v>
      </c>
      <c r="C34" s="184">
        <f t="shared" ca="1" si="5"/>
        <v>246431303</v>
      </c>
      <c r="D34" s="195">
        <f t="shared" ca="1" si="16"/>
        <v>4.4299352188376988E-2</v>
      </c>
      <c r="E34" s="184">
        <f t="shared" ca="1" si="13"/>
        <v>17869446</v>
      </c>
      <c r="F34" s="196">
        <f t="shared" ca="1" si="14"/>
        <v>17.869446</v>
      </c>
      <c r="G34" s="197">
        <f ca="1">C34/Summary!C$58</f>
        <v>3.9060279442066886E-2</v>
      </c>
      <c r="H34" s="198">
        <f ca="1">H33+M34*Summary!$C$26/1000000</f>
        <v>215.77786223887279</v>
      </c>
      <c r="I34" s="198">
        <f t="shared" si="6"/>
        <v>4870.9033333333336</v>
      </c>
      <c r="J34" s="200">
        <f ca="1">C33*Summary!C$49*Summary!C$62*24*365*1000*C$11</f>
        <v>425556819.3387754</v>
      </c>
      <c r="K34" s="200">
        <f t="shared" ca="1" si="15"/>
        <v>14295556819.338776</v>
      </c>
      <c r="L34" s="184">
        <f t="shared" ca="1" si="3"/>
        <v>0</v>
      </c>
      <c r="M34" s="273">
        <f ca="1">C33*Summary!$C$49*Summary!$C$61</f>
        <v>4857.9545586618187</v>
      </c>
      <c r="N34" s="272">
        <f ca="1">M34/'Alberta Electricity Profile'!$D$49</f>
        <v>3.7213443529425697E-2</v>
      </c>
      <c r="O34" s="273">
        <f t="shared" si="7"/>
        <v>347.92166666666708</v>
      </c>
      <c r="P34" s="273">
        <f t="shared" ca="1" si="12"/>
        <v>30.969393041924292</v>
      </c>
      <c r="Q34" s="63">
        <f t="shared" ca="1" si="8"/>
        <v>6.3749861527019265</v>
      </c>
      <c r="R34" s="63">
        <f t="shared" ca="1" si="9"/>
        <v>21.254441237156289</v>
      </c>
      <c r="S34" s="63">
        <f t="shared" ca="1" si="10"/>
        <v>0.13549676857028814</v>
      </c>
    </row>
    <row r="35" spans="2:19">
      <c r="B35" s="192">
        <f t="shared" si="4"/>
        <v>15</v>
      </c>
      <c r="C35" s="184">
        <f t="shared" ca="1" si="5"/>
        <v>264342337</v>
      </c>
      <c r="D35" s="195">
        <f t="shared" ca="1" si="16"/>
        <v>4.7744177562945363E-2</v>
      </c>
      <c r="E35" s="184">
        <f t="shared" ca="1" si="13"/>
        <v>17911034</v>
      </c>
      <c r="F35" s="196">
        <f t="shared" ca="1" si="14"/>
        <v>17.911034000000001</v>
      </c>
      <c r="G35" s="197">
        <f ca="1">C35/Summary!C$58</f>
        <v>4.1899245046758599E-2</v>
      </c>
      <c r="H35" s="198">
        <f ca="1">H34+M35*Summary!$C$26/1000000</f>
        <v>249.16850746993836</v>
      </c>
      <c r="I35" s="198">
        <f t="shared" si="6"/>
        <v>5218.8250000000007</v>
      </c>
      <c r="J35" s="200">
        <f ca="1">C34*Summary!C$49*Summary!C$62*24*365*1000*C$11</f>
        <v>458827745.21817964</v>
      </c>
      <c r="K35" s="200">
        <f t="shared" ca="1" si="15"/>
        <v>14328827745.21818</v>
      </c>
      <c r="L35" s="184">
        <f t="shared" ca="1" si="3"/>
        <v>0</v>
      </c>
      <c r="M35" s="273">
        <f ca="1">C34*Summary!$C$49*Summary!$C$61</f>
        <v>5237.7596486093562</v>
      </c>
      <c r="N35" s="272">
        <f ca="1">M35/'Alberta Electricity Profile'!$D$49</f>
        <v>4.0122868699274235E-2</v>
      </c>
      <c r="O35" s="273">
        <f t="shared" si="7"/>
        <v>347.92166666666708</v>
      </c>
      <c r="P35" s="273">
        <f t="shared" ca="1" si="12"/>
        <v>33.390645231065577</v>
      </c>
      <c r="Q35" s="63">
        <f t="shared" ca="1" si="8"/>
        <v>6.3749861527019309</v>
      </c>
      <c r="R35" s="63">
        <f t="shared" ca="1" si="9"/>
        <v>21.254441237156289</v>
      </c>
      <c r="S35" s="63">
        <f t="shared" ca="1" si="10"/>
        <v>0.13549676857028825</v>
      </c>
    </row>
    <row r="36" spans="2:19">
      <c r="B36" s="192">
        <f t="shared" si="4"/>
        <v>16</v>
      </c>
      <c r="C36" s="184">
        <f t="shared" ca="1" si="5"/>
        <v>282295057</v>
      </c>
      <c r="D36" s="195">
        <f t="shared" ca="1" si="16"/>
        <v>5.1194361266021886E-2</v>
      </c>
      <c r="E36" s="184">
        <f t="shared" ca="1" si="13"/>
        <v>17952720</v>
      </c>
      <c r="F36" s="196">
        <f t="shared" ca="1" si="14"/>
        <v>17.952719999999999</v>
      </c>
      <c r="G36" s="197">
        <f ca="1">C36/Summary!C$58</f>
        <v>4.4744818037723885E-2</v>
      </c>
      <c r="H36" s="198">
        <f ca="1">H35+M36*Summary!$C$26/1000000</f>
        <v>284.98603992975649</v>
      </c>
      <c r="I36" s="198">
        <f t="shared" si="6"/>
        <v>5566.7466666666678</v>
      </c>
      <c r="J36" s="200">
        <f ca="1">C35*Summary!C$49*Summary!C$62*24*365*1000*C$11</f>
        <v>492176103.33949405</v>
      </c>
      <c r="K36" s="200">
        <f t="shared" ca="1" si="15"/>
        <v>14362176103.339495</v>
      </c>
      <c r="L36" s="184">
        <f t="shared" ca="1" si="3"/>
        <v>0</v>
      </c>
      <c r="M36" s="273">
        <f ca="1">C35*Summary!$C$49*Summary!$C$61</f>
        <v>5618.4486682590641</v>
      </c>
      <c r="N36" s="272">
        <f ca="1">M36/'Alberta Electricity Profile'!$D$49</f>
        <v>4.3039065045686588E-2</v>
      </c>
      <c r="O36" s="273">
        <f t="shared" si="7"/>
        <v>347.92166666666708</v>
      </c>
      <c r="P36" s="273">
        <f t="shared" ca="1" si="12"/>
        <v>35.817532459818125</v>
      </c>
      <c r="Q36" s="63">
        <f t="shared" ca="1" si="8"/>
        <v>6.3749861527019283</v>
      </c>
      <c r="R36" s="63">
        <f t="shared" ca="1" si="9"/>
        <v>21.254441237156286</v>
      </c>
      <c r="S36" s="63">
        <f t="shared" ca="1" si="10"/>
        <v>0.13549676857028817</v>
      </c>
    </row>
    <row r="37" spans="2:19">
      <c r="B37" s="192">
        <f t="shared" si="4"/>
        <v>17</v>
      </c>
      <c r="C37" s="184">
        <f t="shared" ca="1" si="5"/>
        <v>300289559</v>
      </c>
      <c r="D37" s="195">
        <f t="shared" ca="1" si="16"/>
        <v>5.4649912678105372E-2</v>
      </c>
      <c r="E37" s="184">
        <f t="shared" ca="1" si="13"/>
        <v>17994502</v>
      </c>
      <c r="F37" s="196">
        <f t="shared" ca="1" si="14"/>
        <v>17.994502000000001</v>
      </c>
      <c r="G37" s="197">
        <f ca="1">C37/Summary!C$58</f>
        <v>4.7597013631320337E-2</v>
      </c>
      <c r="H37" s="198">
        <f ca="1">H36+M37*Summary!$C$26/1000000</f>
        <v>323.23610793662181</v>
      </c>
      <c r="I37" s="198">
        <f t="shared" si="6"/>
        <v>5914.6683333333349</v>
      </c>
      <c r="J37" s="200">
        <f ca="1">C36*Summary!C$49*Summary!C$62*24*365*1000*C$11</f>
        <v>525602076.16784596</v>
      </c>
      <c r="K37" s="200">
        <f t="shared" ca="1" si="15"/>
        <v>14395602076.167847</v>
      </c>
      <c r="L37" s="184">
        <f t="shared" ca="1" si="3"/>
        <v>0</v>
      </c>
      <c r="M37" s="273">
        <f ca="1">C36*Summary!$C$49*Summary!$C$61</f>
        <v>6000.023700546185</v>
      </c>
      <c r="N37" s="272">
        <f ca="1">M37/'Alberta Electricity Profile'!$D$49</f>
        <v>4.5962048524594845E-2</v>
      </c>
      <c r="O37" s="273">
        <f t="shared" si="7"/>
        <v>347.92166666666708</v>
      </c>
      <c r="P37" s="273">
        <f t="shared" ca="1" si="12"/>
        <v>38.25006800686532</v>
      </c>
      <c r="Q37" s="63">
        <f t="shared" ca="1" si="8"/>
        <v>6.37498615270193</v>
      </c>
      <c r="R37" s="63">
        <f t="shared" ca="1" si="9"/>
        <v>21.254441237156286</v>
      </c>
      <c r="S37" s="63">
        <f t="shared" ca="1" si="10"/>
        <v>0.13549676857028822</v>
      </c>
    </row>
    <row r="38" spans="2:19">
      <c r="B38" s="192">
        <f t="shared" si="4"/>
        <v>18</v>
      </c>
      <c r="C38" s="184">
        <f t="shared" ca="1" si="5"/>
        <v>318325941</v>
      </c>
      <c r="D38" s="195">
        <f t="shared" ca="1" si="16"/>
        <v>5.8110841172185727E-2</v>
      </c>
      <c r="E38" s="184">
        <f t="shared" ca="1" si="13"/>
        <v>18036382</v>
      </c>
      <c r="F38" s="196">
        <f t="shared" ca="1" si="14"/>
        <v>18.036382</v>
      </c>
      <c r="G38" s="197">
        <f ca="1">C38/Summary!C$58</f>
        <v>5.0455847360912978E-2</v>
      </c>
      <c r="H38" s="198">
        <f ca="1">H37+M38*Summary!$C$26/1000000</f>
        <v>363.92437281651871</v>
      </c>
      <c r="I38" s="198">
        <f t="shared" si="6"/>
        <v>6262.590000000002</v>
      </c>
      <c r="J38" s="200">
        <f ca="1">C37*Summary!C$49*Summary!C$62*24*365*1000*C$11</f>
        <v>559105842.44458389</v>
      </c>
      <c r="K38" s="200">
        <f t="shared" ca="1" si="15"/>
        <v>14429105842.444584</v>
      </c>
      <c r="L38" s="184">
        <f t="shared" ca="1" si="3"/>
        <v>0</v>
      </c>
      <c r="M38" s="273">
        <f ca="1">C37*Summary!$C$49*Summary!$C$61</f>
        <v>6382.4867858970765</v>
      </c>
      <c r="N38" s="272">
        <f ca="1">M38/'Alberta Electricity Profile'!$D$49</f>
        <v>4.889183476629981E-2</v>
      </c>
      <c r="O38" s="273">
        <f t="shared" si="7"/>
        <v>347.92166666666708</v>
      </c>
      <c r="P38" s="273">
        <f t="shared" ca="1" si="12"/>
        <v>40.688264879896906</v>
      </c>
      <c r="Q38" s="63">
        <f t="shared" ca="1" si="8"/>
        <v>6.3749861527019291</v>
      </c>
      <c r="R38" s="63">
        <f t="shared" ca="1" si="9"/>
        <v>21.254441237156289</v>
      </c>
      <c r="S38" s="63">
        <f t="shared" ca="1" si="10"/>
        <v>0.13549676857028822</v>
      </c>
    </row>
    <row r="39" spans="2:19">
      <c r="B39" s="192">
        <f t="shared" si="4"/>
        <v>19</v>
      </c>
      <c r="C39" s="184">
        <f t="shared" ca="1" si="5"/>
        <v>336404300</v>
      </c>
      <c r="D39" s="195">
        <f t="shared" ca="1" si="16"/>
        <v>6.1577156156714261E-2</v>
      </c>
      <c r="E39" s="184">
        <f t="shared" ca="1" si="13"/>
        <v>18078359</v>
      </c>
      <c r="F39" s="196">
        <f t="shared" ca="1" si="14"/>
        <v>18.078358999999999</v>
      </c>
      <c r="G39" s="197">
        <f ca="1">C39/Summary!C$58</f>
        <v>5.3321334601363131E-2</v>
      </c>
      <c r="H39" s="198">
        <f ca="1">H38+M39*Summary!$C$26/1000000</f>
        <v>407.05650917411492</v>
      </c>
      <c r="I39" s="198">
        <f t="shared" si="6"/>
        <v>6610.511666666669</v>
      </c>
      <c r="J39" s="200">
        <f ca="1">C38*Summary!C$49*Summary!C$62*24*365*1000*C$11</f>
        <v>592687584.63483536</v>
      </c>
      <c r="K39" s="200">
        <f t="shared" ca="1" si="15"/>
        <v>14462687584.634836</v>
      </c>
      <c r="L39" s="184">
        <f t="shared" ca="1" si="3"/>
        <v>0</v>
      </c>
      <c r="M39" s="273">
        <f ca="1">C38*Summary!$C$49*Summary!$C$61</f>
        <v>6765.8400072469794</v>
      </c>
      <c r="N39" s="272">
        <f ca="1">M39/'Alberta Electricity Profile'!$D$49</f>
        <v>5.1828439726733559E-2</v>
      </c>
      <c r="O39" s="273">
        <f t="shared" si="7"/>
        <v>347.92166666666708</v>
      </c>
      <c r="P39" s="273">
        <f t="shared" ca="1" si="12"/>
        <v>43.13213635759621</v>
      </c>
      <c r="Q39" s="63">
        <f t="shared" ca="1" si="8"/>
        <v>6.3749861527019283</v>
      </c>
      <c r="R39" s="63">
        <f t="shared" ca="1" si="9"/>
        <v>21.254441237156289</v>
      </c>
      <c r="S39" s="63">
        <f t="shared" ca="1" si="10"/>
        <v>0.1354967685702882</v>
      </c>
    </row>
    <row r="40" spans="2:19">
      <c r="B40" s="192">
        <f t="shared" si="4"/>
        <v>20</v>
      </c>
      <c r="C40" s="184">
        <f t="shared" ca="1" si="5"/>
        <v>354524734</v>
      </c>
      <c r="D40" s="195">
        <f t="shared" ca="1" si="16"/>
        <v>6.5048867047266076E-2</v>
      </c>
      <c r="E40" s="184">
        <f t="shared" ca="1" si="13"/>
        <v>18120434</v>
      </c>
      <c r="F40" s="196">
        <f t="shared" ca="1" si="14"/>
        <v>18.120433999999999</v>
      </c>
      <c r="G40" s="197">
        <f ca="1">C40/Summary!C$58</f>
        <v>5.619349088603582E-2</v>
      </c>
      <c r="H40" s="198">
        <f ca="1">H39+M40*Summary!$C$26/1000000</f>
        <v>452.6382047572647</v>
      </c>
      <c r="I40" s="198">
        <f t="shared" si="6"/>
        <v>6958.4333333333361</v>
      </c>
      <c r="J40" s="200">
        <f ca="1">C39*Summary!C$49*Summary!C$62*24*365*1000*C$11</f>
        <v>626347483.34183872</v>
      </c>
      <c r="K40" s="200">
        <f t="shared" ca="1" si="15"/>
        <v>14496347483.341839</v>
      </c>
      <c r="L40" s="184">
        <f t="shared" ca="1" si="3"/>
        <v>0</v>
      </c>
      <c r="M40" s="273">
        <f ca="1">C39*Summary!$C$49*Summary!$C$61</f>
        <v>7150.0854262766961</v>
      </c>
      <c r="N40" s="272">
        <f ca="1">M40/'Alberta Electricity Profile'!$D$49</f>
        <v>5.4771879199012559E-2</v>
      </c>
      <c r="O40" s="273">
        <f t="shared" si="7"/>
        <v>347.92166666666708</v>
      </c>
      <c r="P40" s="273">
        <f t="shared" ca="1" si="12"/>
        <v>45.581695583149781</v>
      </c>
      <c r="Q40" s="63">
        <f t="shared" ca="1" si="8"/>
        <v>6.3749861527019247</v>
      </c>
      <c r="R40" s="63">
        <f t="shared" ca="1" si="9"/>
        <v>21.254441237156293</v>
      </c>
      <c r="S40" s="63">
        <f t="shared" ca="1" si="10"/>
        <v>0.13549676857028814</v>
      </c>
    </row>
    <row r="41" spans="2:19">
      <c r="B41" s="192">
        <f t="shared" si="4"/>
        <v>21</v>
      </c>
      <c r="C41" s="184">
        <f t="shared" ca="1" si="5"/>
        <v>372687341</v>
      </c>
      <c r="D41" s="195">
        <f t="shared" ca="1" si="16"/>
        <v>6.8525983283388978E-2</v>
      </c>
      <c r="E41" s="184">
        <f t="shared" ca="1" si="13"/>
        <v>18162607</v>
      </c>
      <c r="F41" s="196">
        <f t="shared" ca="1" si="14"/>
        <v>18.162607000000001</v>
      </c>
      <c r="G41" s="197">
        <f ca="1">C41/Summary!C$58</f>
        <v>5.9072331748296084E-2</v>
      </c>
      <c r="H41" s="198">
        <f ca="1">H40+M41*Summary!$C$26/1000000</f>
        <v>500.67516059250568</v>
      </c>
      <c r="I41" s="198">
        <f t="shared" si="6"/>
        <v>7306.3550000000032</v>
      </c>
      <c r="J41" s="200">
        <f ca="1">C40*Summary!C$49*Summary!C$62*24*365*1000*C$11</f>
        <v>660085721.03072023</v>
      </c>
      <c r="K41" s="200">
        <f t="shared" ca="1" si="15"/>
        <v>14530085721.03072</v>
      </c>
      <c r="L41" s="184">
        <f t="shared" ca="1" si="3"/>
        <v>0</v>
      </c>
      <c r="M41" s="273">
        <f ca="1">C40*Summary!$C$49*Summary!$C$61</f>
        <v>7535.2251259214636</v>
      </c>
      <c r="N41" s="272">
        <f ca="1">M41/'Alberta Electricity Profile'!$D$49</f>
        <v>5.7722169139068844E-2</v>
      </c>
      <c r="O41" s="273">
        <f t="shared" si="7"/>
        <v>347.92166666666708</v>
      </c>
      <c r="P41" s="273">
        <f t="shared" ca="1" si="12"/>
        <v>48.036955835240974</v>
      </c>
      <c r="Q41" s="63">
        <f t="shared" ca="1" si="8"/>
        <v>6.3749861527019283</v>
      </c>
      <c r="R41" s="63">
        <f t="shared" ca="1" si="9"/>
        <v>21.254441237156289</v>
      </c>
      <c r="S41" s="63">
        <f t="shared" ca="1" si="10"/>
        <v>0.13549676857028817</v>
      </c>
    </row>
    <row r="42" spans="2:19">
      <c r="B42" s="192">
        <f t="shared" si="4"/>
        <v>22</v>
      </c>
      <c r="C42" s="184">
        <f t="shared" ca="1" si="5"/>
        <v>390892219</v>
      </c>
      <c r="D42" s="195">
        <f t="shared" ca="1" si="16"/>
        <v>7.2008514323155082E-2</v>
      </c>
      <c r="E42" s="184">
        <f t="shared" ca="1" si="13"/>
        <v>18204878</v>
      </c>
      <c r="F42" s="196">
        <f t="shared" ca="1" si="14"/>
        <v>18.204878000000001</v>
      </c>
      <c r="G42" s="197">
        <f ca="1">C42/Summary!C$58</f>
        <v>6.1957872721508954E-2</v>
      </c>
      <c r="H42" s="198">
        <f ca="1">H41+M42*Summary!$C$26/1000000</f>
        <v>551.17309098505871</v>
      </c>
      <c r="I42" s="198">
        <f t="shared" si="6"/>
        <v>7654.2766666666703</v>
      </c>
      <c r="J42" s="200">
        <f ca="1">C41*Summary!C$49*Summary!C$62*24*365*1000*C$11</f>
        <v>693902480.16660786</v>
      </c>
      <c r="K42" s="200">
        <f t="shared" ca="1" si="15"/>
        <v>14563902480.166607</v>
      </c>
      <c r="L42" s="184">
        <f t="shared" ca="1" si="3"/>
        <v>0</v>
      </c>
      <c r="M42" s="273">
        <f ca="1">C41*Summary!$C$49*Summary!$C$61</f>
        <v>7921.261189116527</v>
      </c>
      <c r="N42" s="272">
        <f ca="1">M42/'Alberta Electricity Profile'!$D$49</f>
        <v>6.0679325502834523E-2</v>
      </c>
      <c r="O42" s="273">
        <f t="shared" si="7"/>
        <v>347.92166666666708</v>
      </c>
      <c r="P42" s="273">
        <f t="shared" ca="1" si="12"/>
        <v>50.49793039255303</v>
      </c>
      <c r="Q42" s="63">
        <f t="shared" ca="1" si="8"/>
        <v>6.3749861527019229</v>
      </c>
      <c r="R42" s="63">
        <f t="shared" ca="1" si="9"/>
        <v>21.254441237156286</v>
      </c>
      <c r="S42" s="63">
        <f t="shared" ca="1" si="10"/>
        <v>0.13549676857028806</v>
      </c>
    </row>
    <row r="43" spans="2:19">
      <c r="B43" s="192">
        <f t="shared" si="4"/>
        <v>23</v>
      </c>
      <c r="C43" s="184">
        <f t="shared" ca="1" si="5"/>
        <v>409139466</v>
      </c>
      <c r="D43" s="195">
        <f t="shared" ca="1" si="16"/>
        <v>7.5496469639133895E-2</v>
      </c>
      <c r="E43" s="184">
        <f t="shared" ca="1" si="13"/>
        <v>18247247</v>
      </c>
      <c r="F43" s="196">
        <f t="shared" ca="1" si="14"/>
        <v>18.247247000000002</v>
      </c>
      <c r="G43" s="197">
        <f ca="1">C43/Summary!C$58</f>
        <v>6.485012933903947E-2</v>
      </c>
      <c r="H43" s="198">
        <f ca="1">H42+M43*Summary!$C$26/1000000</f>
        <v>604.13772351882812</v>
      </c>
      <c r="I43" s="198">
        <f t="shared" si="6"/>
        <v>8002.1983333333374</v>
      </c>
      <c r="J43" s="200">
        <f ca="1">C42*Summary!C$49*Summary!C$62*24*365*1000*C$11</f>
        <v>727797943.21462846</v>
      </c>
      <c r="K43" s="200">
        <f t="shared" ca="1" si="15"/>
        <v>14597797943.214628</v>
      </c>
      <c r="L43" s="184">
        <f t="shared" ca="1" si="3"/>
        <v>0</v>
      </c>
      <c r="M43" s="273">
        <f ca="1">C42*Summary!$C$49*Summary!$C$61</f>
        <v>8308.1956987971262</v>
      </c>
      <c r="N43" s="272">
        <f ca="1">M43/'Alberta Electricity Profile'!$D$49</f>
        <v>6.3643364246241674E-2</v>
      </c>
      <c r="O43" s="273">
        <f t="shared" si="7"/>
        <v>347.92166666666708</v>
      </c>
      <c r="P43" s="273">
        <f t="shared" ca="1" si="12"/>
        <v>52.964632533769418</v>
      </c>
      <c r="Q43" s="63">
        <f t="shared" ca="1" si="8"/>
        <v>6.37498615270193</v>
      </c>
      <c r="R43" s="63">
        <f t="shared" ca="1" si="9"/>
        <v>21.254441237156286</v>
      </c>
      <c r="S43" s="63">
        <f t="shared" ca="1" si="10"/>
        <v>0.13549676857028822</v>
      </c>
    </row>
    <row r="44" spans="2:19">
      <c r="B44" s="192">
        <f t="shared" si="4"/>
        <v>24</v>
      </c>
      <c r="C44" s="184">
        <f t="shared" ca="1" si="5"/>
        <v>427429181</v>
      </c>
      <c r="D44" s="195">
        <f t="shared" ca="1" si="16"/>
        <v>7.8989858715371883E-2</v>
      </c>
      <c r="E44" s="184">
        <f t="shared" ca="1" si="13"/>
        <v>18289715</v>
      </c>
      <c r="F44" s="196">
        <f t="shared" ca="1" si="14"/>
        <v>18.289715000000001</v>
      </c>
      <c r="G44" s="197">
        <f ca="1">C44/Summary!C$58</f>
        <v>6.7749117292756386E-2</v>
      </c>
      <c r="H44" s="198">
        <f ca="1">H43+M44*Summary!$C$26/1000000</f>
        <v>659.57479905640139</v>
      </c>
      <c r="I44" s="198">
        <f t="shared" si="6"/>
        <v>8350.1200000000044</v>
      </c>
      <c r="J44" s="200">
        <f ca="1">C43*Summary!C$49*Summary!C$62*24*365*1000*C$11</f>
        <v>761772292.63990891</v>
      </c>
      <c r="K44" s="200">
        <f t="shared" ca="1" si="15"/>
        <v>14631772292.63991</v>
      </c>
      <c r="L44" s="184">
        <f t="shared" ca="1" si="3"/>
        <v>0</v>
      </c>
      <c r="M44" s="273">
        <f ca="1">C43*Summary!$C$49*Summary!$C$61</f>
        <v>8696.0307378985035</v>
      </c>
      <c r="N44" s="272">
        <f ca="1">M44/'Alberta Electricity Profile'!$D$49</f>
        <v>6.6614301325222364E-2</v>
      </c>
      <c r="O44" s="273">
        <f t="shared" si="7"/>
        <v>347.92166666666708</v>
      </c>
      <c r="P44" s="273">
        <f t="shared" ca="1" si="12"/>
        <v>55.437075537573264</v>
      </c>
      <c r="Q44" s="63">
        <f t="shared" ca="1" si="8"/>
        <v>6.3749861527019247</v>
      </c>
      <c r="R44" s="63">
        <f t="shared" ca="1" si="9"/>
        <v>21.254441237156293</v>
      </c>
      <c r="S44" s="63">
        <f t="shared" ca="1" si="10"/>
        <v>0.13549676857028811</v>
      </c>
    </row>
    <row r="45" spans="2:19">
      <c r="B45" s="192">
        <f t="shared" si="4"/>
        <v>25</v>
      </c>
      <c r="C45" s="184">
        <f t="shared" ca="1" si="5"/>
        <v>445761463</v>
      </c>
      <c r="D45" s="195">
        <f t="shared" ca="1" si="16"/>
        <v>8.2488691060675051E-2</v>
      </c>
      <c r="E45" s="184">
        <f t="shared" ca="1" si="13"/>
        <v>18332282</v>
      </c>
      <c r="F45" s="196">
        <f t="shared" ca="1" si="14"/>
        <v>18.332281999999999</v>
      </c>
      <c r="G45" s="197">
        <f ca="1">C45/Summary!C$58</f>
        <v>7.0654852274528446E-2</v>
      </c>
      <c r="H45" s="198">
        <f ca="1">H44+M45*Summary!$C$26/1000000</f>
        <v>717.49007187454617</v>
      </c>
      <c r="I45" s="198">
        <f t="shared" si="6"/>
        <v>8698.0416666666715</v>
      </c>
      <c r="J45" s="200">
        <f ca="1">C44*Summary!C$49*Summary!C$62*24*365*1000*C$11</f>
        <v>795825712.7694658</v>
      </c>
      <c r="K45" s="200">
        <f t="shared" ca="1" si="15"/>
        <v>14665825712.769466</v>
      </c>
      <c r="L45" s="184">
        <f t="shared" ca="1" si="3"/>
        <v>0</v>
      </c>
      <c r="M45" s="273">
        <f ca="1">C44*Summary!$C$49*Summary!$C$61</f>
        <v>9084.7684106103388</v>
      </c>
      <c r="N45" s="272">
        <f ca="1">M45/'Alberta Electricity Profile'!$D$49</f>
        <v>6.9592152858524312E-2</v>
      </c>
      <c r="O45" s="273">
        <f t="shared" si="7"/>
        <v>347.92166666666708</v>
      </c>
      <c r="P45" s="273">
        <f t="shared" ca="1" si="12"/>
        <v>57.915272818144786</v>
      </c>
      <c r="Q45" s="63">
        <f t="shared" ca="1" si="8"/>
        <v>6.3749861527019247</v>
      </c>
      <c r="R45" s="63">
        <f t="shared" ca="1" si="9"/>
        <v>21.254441237156286</v>
      </c>
      <c r="S45" s="63">
        <f t="shared" ca="1" si="10"/>
        <v>0.13549676857028811</v>
      </c>
    </row>
    <row r="46" spans="2:19">
      <c r="B46" s="192">
        <f t="shared" si="4"/>
        <v>26</v>
      </c>
      <c r="C46" s="184">
        <f t="shared" ca="1" si="5"/>
        <v>446798910</v>
      </c>
      <c r="D46" s="195">
        <f t="shared" ca="1" si="16"/>
        <v>8.5992976203847438E-2</v>
      </c>
      <c r="E46" s="184">
        <f t="shared" ca="1" si="13"/>
        <v>18374947</v>
      </c>
      <c r="F46" s="196">
        <f t="shared" ca="1" si="14"/>
        <v>18.374946999999999</v>
      </c>
      <c r="G46" s="197">
        <f ca="1">C46/Summary!C$58</f>
        <v>7.0819291488349978E-2</v>
      </c>
      <c r="H46" s="198">
        <f ca="1">H45+M46*Summary!$C$26/1000000</f>
        <v>777.88930966421026</v>
      </c>
      <c r="I46" s="198">
        <f t="shared" si="6"/>
        <v>9045.9633333333386</v>
      </c>
      <c r="J46" s="200">
        <f ca="1">C45*Summary!C$49*Summary!C$62*24*365*1000*C$11</f>
        <v>829958387.93031502</v>
      </c>
      <c r="K46" s="200">
        <f t="shared" ca="1" si="15"/>
        <v>14699958387.930315</v>
      </c>
      <c r="L46" s="184">
        <f t="shared" ca="1" si="3"/>
        <v>17337500</v>
      </c>
      <c r="M46" s="273">
        <f ca="1">C45*Summary!$C$49*Summary!$C$61</f>
        <v>9474.4108211223174</v>
      </c>
      <c r="N46" s="272">
        <f ca="1">M46/'Alberta Electricity Profile'!$D$49</f>
        <v>7.2576934964895229E-2</v>
      </c>
      <c r="O46" s="273">
        <f t="shared" si="7"/>
        <v>347.92166666666708</v>
      </c>
      <c r="P46" s="273">
        <f t="shared" ca="1" si="12"/>
        <v>60.399237789664085</v>
      </c>
      <c r="Q46" s="63">
        <f t="shared" ca="1" si="8"/>
        <v>6.3749861527019283</v>
      </c>
      <c r="R46" s="63">
        <f t="shared" ca="1" si="9"/>
        <v>21.254441237156293</v>
      </c>
      <c r="S46" s="63">
        <f t="shared" ca="1" si="10"/>
        <v>0.1354967685702882</v>
      </c>
    </row>
    <row r="47" spans="2:19">
      <c r="B47" s="192">
        <f t="shared" si="4"/>
        <v>27</v>
      </c>
      <c r="C47" s="184">
        <f t="shared" ca="1" si="5"/>
        <v>447798422</v>
      </c>
      <c r="D47" s="195">
        <f t="shared" ref="D47:D57" ca="1" si="17">H47/I47</f>
        <v>8.9252648735846429E-2</v>
      </c>
      <c r="E47" s="184">
        <f t="shared" ref="E47:E57" ca="1" si="18">ROUNDDOWN(K47/C$16,0)</f>
        <v>18377362</v>
      </c>
      <c r="F47" s="196">
        <f t="shared" ref="F47:F57" ca="1" si="19">E47*C$18/1000000</f>
        <v>18.377362000000002</v>
      </c>
      <c r="G47" s="197">
        <f ca="1">C47/Summary!C$58</f>
        <v>7.0977717863369788E-2</v>
      </c>
      <c r="H47" s="198">
        <f ca="1">H46+M47*Summary!$C$26/1000000</f>
        <v>838.42911816993728</v>
      </c>
      <c r="I47" s="198">
        <f t="shared" si="6"/>
        <v>9393.8850000000057</v>
      </c>
      <c r="J47" s="200">
        <f ca="1">C46*Summary!C$49*Summary!C$62*24*365*1000*C$11</f>
        <v>831889999.14203417</v>
      </c>
      <c r="K47" s="200">
        <f t="shared" ref="K47:K57" ca="1" si="20">C$10+J47</f>
        <v>14701889999.142035</v>
      </c>
      <c r="L47" s="184">
        <f t="shared" ca="1" si="3"/>
        <v>17377850</v>
      </c>
      <c r="M47" s="273">
        <f ca="1">C46*Summary!$C$49*Summary!$C$61</f>
        <v>9496.4611774204823</v>
      </c>
      <c r="N47" s="272">
        <f ca="1">M47/'Alberta Electricity Profile'!$D$49</f>
        <v>7.2745847555368587E-2</v>
      </c>
      <c r="O47" s="273">
        <f t="shared" si="7"/>
        <v>347.92166666666708</v>
      </c>
      <c r="P47" s="273">
        <f t="shared" ca="1" si="12"/>
        <v>60.539808505727024</v>
      </c>
      <c r="Q47" s="63">
        <f t="shared" ca="1" si="8"/>
        <v>6.3749861527019283</v>
      </c>
      <c r="R47" s="63">
        <f t="shared" ca="1" si="9"/>
        <v>21.254441237156293</v>
      </c>
      <c r="S47" s="63">
        <f t="shared" ca="1" si="10"/>
        <v>0.1354967685702882</v>
      </c>
    </row>
    <row r="48" spans="2:19">
      <c r="B48" s="192">
        <f t="shared" si="4"/>
        <v>28</v>
      </c>
      <c r="C48" s="184">
        <f t="shared" ca="1" si="5"/>
        <v>448759815</v>
      </c>
      <c r="D48" s="195">
        <f t="shared" ca="1" si="17"/>
        <v>9.229338952067867E-2</v>
      </c>
      <c r="E48" s="184">
        <f t="shared" ca="1" si="18"/>
        <v>18379688</v>
      </c>
      <c r="F48" s="196">
        <f t="shared" ca="1" si="19"/>
        <v>18.379688000000002</v>
      </c>
      <c r="G48" s="197">
        <f ca="1">C48/Summary!C$58</f>
        <v>7.1130102234902515E-2</v>
      </c>
      <c r="H48" s="198">
        <f ca="1">H47+M48*Summary!$C$26/1000000</f>
        <v>899.10435732181156</v>
      </c>
      <c r="I48" s="198">
        <f t="shared" si="6"/>
        <v>9741.8066666666728</v>
      </c>
      <c r="J48" s="200">
        <f ca="1">C47*Summary!C$49*Summary!C$62*24*365*1000*C$11</f>
        <v>833750979.59255171</v>
      </c>
      <c r="K48" s="200">
        <f t="shared" ca="1" si="20"/>
        <v>14703750979.592552</v>
      </c>
      <c r="L48" s="184">
        <f t="shared" ca="1" si="3"/>
        <v>17418295</v>
      </c>
      <c r="M48" s="273">
        <f ca="1">C47*Summary!$C$49*Summary!$C$61</f>
        <v>9517.7052464903154</v>
      </c>
      <c r="N48" s="272">
        <f ca="1">M48/'Alberta Electricity Profile'!$D$49</f>
        <v>7.2908583734787119E-2</v>
      </c>
      <c r="O48" s="273">
        <f t="shared" si="7"/>
        <v>347.92166666666708</v>
      </c>
      <c r="P48" s="273">
        <f t="shared" ca="1" si="12"/>
        <v>60.67523915187428</v>
      </c>
      <c r="Q48" s="63">
        <f t="shared" ca="1" si="8"/>
        <v>6.3749861527019309</v>
      </c>
      <c r="R48" s="63">
        <f t="shared" ca="1" si="9"/>
        <v>21.254441237156289</v>
      </c>
      <c r="S48" s="63">
        <f t="shared" ca="1" si="10"/>
        <v>0.13549676857028828</v>
      </c>
    </row>
    <row r="49" spans="2:19">
      <c r="B49" s="192">
        <f t="shared" si="4"/>
        <v>29</v>
      </c>
      <c r="C49" s="184">
        <f t="shared" ca="1" si="5"/>
        <v>449682908</v>
      </c>
      <c r="D49" s="195">
        <f t="shared" ca="1" si="17"/>
        <v>9.5137334763243014E-2</v>
      </c>
      <c r="E49" s="184">
        <f t="shared" ca="1" si="18"/>
        <v>18381926</v>
      </c>
      <c r="F49" s="196">
        <f t="shared" ca="1" si="19"/>
        <v>18.381926</v>
      </c>
      <c r="G49" s="197">
        <f ca="1">C49/Summary!C$58</f>
        <v>7.1276415913773969E-2</v>
      </c>
      <c r="H49" s="198">
        <f ca="1">H48+M49*Summary!$C$26/1000000</f>
        <v>959.90986211851191</v>
      </c>
      <c r="I49" s="198">
        <f t="shared" si="6"/>
        <v>10089.72833333334</v>
      </c>
      <c r="J49" s="200">
        <f ca="1">C48*Summary!C$49*Summary!C$62*24*365*1000*C$11</f>
        <v>835540986.69428146</v>
      </c>
      <c r="K49" s="200">
        <f t="shared" ca="1" si="20"/>
        <v>14705540986.694281</v>
      </c>
      <c r="L49" s="184">
        <f t="shared" ca="1" si="3"/>
        <v>17458833</v>
      </c>
      <c r="M49" s="273">
        <f ca="1">C48*Summary!$C$49*Summary!$C$61</f>
        <v>9538.1391175146273</v>
      </c>
      <c r="N49" s="272">
        <f ca="1">M49/'Alberta Electricity Profile'!$D$49</f>
        <v>7.3065113545074251E-2</v>
      </c>
      <c r="O49" s="273">
        <f t="shared" si="7"/>
        <v>347.92166666666708</v>
      </c>
      <c r="P49" s="273">
        <f t="shared" ca="1" si="12"/>
        <v>60.805504796700347</v>
      </c>
      <c r="Q49" s="63">
        <f t="shared" ca="1" si="8"/>
        <v>6.3749861527019291</v>
      </c>
      <c r="R49" s="63">
        <f t="shared" ca="1" si="9"/>
        <v>21.254441237156289</v>
      </c>
      <c r="S49" s="63">
        <f t="shared" ca="1" si="10"/>
        <v>0.1354967685702882</v>
      </c>
    </row>
    <row r="50" spans="2:19">
      <c r="B50" s="192">
        <f t="shared" si="4"/>
        <v>30</v>
      </c>
      <c r="C50" s="184">
        <f t="shared" ca="1" si="5"/>
        <v>450567516</v>
      </c>
      <c r="D50" s="195">
        <f t="shared" ca="1" si="17"/>
        <v>9.7803666824793078E-2</v>
      </c>
      <c r="E50" s="184">
        <f t="shared" ca="1" si="18"/>
        <v>18384074</v>
      </c>
      <c r="F50" s="196">
        <f t="shared" ca="1" si="19"/>
        <v>18.384073999999998</v>
      </c>
      <c r="G50" s="197">
        <f ca="1">C50/Summary!C$58</f>
        <v>7.1416629576795052E-2</v>
      </c>
      <c r="H50" s="198">
        <f ca="1">H49+M50*Summary!$C$26/1000000</f>
        <v>1020.8404430338021</v>
      </c>
      <c r="I50" s="198">
        <f t="shared" si="6"/>
        <v>10437.650000000007</v>
      </c>
      <c r="J50" s="200">
        <f ca="1">C49*Summary!C$49*Summary!C$62*24*365*1000*C$11</f>
        <v>837259683.44530535</v>
      </c>
      <c r="K50" s="200">
        <f t="shared" ca="1" si="20"/>
        <v>14707259683.445305</v>
      </c>
      <c r="L50" s="184">
        <f t="shared" ca="1" si="3"/>
        <v>17499466</v>
      </c>
      <c r="M50" s="273">
        <f ca="1">C49*Summary!$C$49*Summary!$C$61</f>
        <v>9557.7589434395577</v>
      </c>
      <c r="N50" s="272">
        <f ca="1">M50/'Alberta Electricity Profile'!$D$49</f>
        <v>7.3215407516600342E-2</v>
      </c>
      <c r="O50" s="273">
        <f t="shared" si="7"/>
        <v>347.92166666666708</v>
      </c>
      <c r="P50" s="273">
        <f t="shared" ca="1" si="12"/>
        <v>60.930580915290193</v>
      </c>
      <c r="Q50" s="63">
        <f t="shared" ca="1" si="8"/>
        <v>6.3749861527019283</v>
      </c>
      <c r="R50" s="63">
        <f t="shared" ca="1" si="9"/>
        <v>21.254441237156289</v>
      </c>
      <c r="S50" s="63">
        <f t="shared" ca="1" si="10"/>
        <v>0.1354967685702882</v>
      </c>
    </row>
    <row r="51" spans="2:19">
      <c r="B51" s="192">
        <f t="shared" si="4"/>
        <v>31</v>
      </c>
      <c r="C51" s="184">
        <f t="shared" ca="1" si="5"/>
        <v>451413455</v>
      </c>
      <c r="D51" s="195">
        <f t="shared" ca="1" si="17"/>
        <v>0.10030909059908055</v>
      </c>
      <c r="E51" s="184">
        <f t="shared" ca="1" si="18"/>
        <v>18386133</v>
      </c>
      <c r="F51" s="196">
        <f t="shared" ca="1" si="19"/>
        <v>18.386133000000001</v>
      </c>
      <c r="G51" s="197">
        <f ca="1">C51/Summary!C$58</f>
        <v>7.1550714059280388E-2</v>
      </c>
      <c r="H51" s="198">
        <f ca="1">H50+M51*Summary!$C$26/1000000</f>
        <v>1081.8908854745437</v>
      </c>
      <c r="I51" s="198">
        <f t="shared" si="6"/>
        <v>10785.571666666674</v>
      </c>
      <c r="J51" s="200">
        <f ca="1">C50*Summary!C$49*Summary!C$62*24*365*1000*C$11</f>
        <v>838906725.39614868</v>
      </c>
      <c r="K51" s="200">
        <f t="shared" ca="1" si="20"/>
        <v>14708906725.396149</v>
      </c>
      <c r="L51" s="184">
        <f t="shared" ca="1" si="3"/>
        <v>17540194</v>
      </c>
      <c r="M51" s="273">
        <f ca="1">C50*Summary!$C$49*Summary!$C$61</f>
        <v>9576.560792193477</v>
      </c>
      <c r="N51" s="272">
        <f ca="1">M51/'Alberta Electricity Profile'!$D$49</f>
        <v>7.3359435528473196E-2</v>
      </c>
      <c r="O51" s="273">
        <f t="shared" si="7"/>
        <v>347.92166666666708</v>
      </c>
      <c r="P51" s="273">
        <f t="shared" ca="1" si="12"/>
        <v>61.050442440741563</v>
      </c>
      <c r="Q51" s="63">
        <f t="shared" ca="1" si="8"/>
        <v>6.3749861527019211</v>
      </c>
      <c r="R51" s="63">
        <f t="shared" ca="1" si="9"/>
        <v>21.254441237156293</v>
      </c>
      <c r="S51" s="63">
        <f t="shared" ca="1" si="10"/>
        <v>0.13549676857028806</v>
      </c>
    </row>
    <row r="52" spans="2:19">
      <c r="B52" s="192">
        <f t="shared" si="4"/>
        <v>32</v>
      </c>
      <c r="C52" s="184">
        <f t="shared" ca="1" si="5"/>
        <v>452220541</v>
      </c>
      <c r="D52" s="195">
        <f t="shared" ca="1" si="17"/>
        <v>0.1026682206288226</v>
      </c>
      <c r="E52" s="184">
        <f t="shared" ca="1" si="18"/>
        <v>18388102</v>
      </c>
      <c r="F52" s="196">
        <f t="shared" ca="1" si="19"/>
        <v>18.388102</v>
      </c>
      <c r="G52" s="197">
        <f ca="1">C52/Summary!C$58</f>
        <v>7.1678640196544616E-2</v>
      </c>
      <c r="H52" s="198">
        <f ca="1">H51+M52*Summary!$C$26/1000000</f>
        <v>1143.055949916193</v>
      </c>
      <c r="I52" s="198">
        <f t="shared" si="6"/>
        <v>11133.493333333341</v>
      </c>
      <c r="J52" s="200">
        <f ca="1">C51*Summary!C$49*Summary!C$62*24*365*1000*C$11</f>
        <v>840481769.95922554</v>
      </c>
      <c r="K52" s="200">
        <f t="shared" ca="1" si="20"/>
        <v>14710481769.959225</v>
      </c>
      <c r="L52" s="184">
        <f t="shared" ca="1" si="3"/>
        <v>17581016</v>
      </c>
      <c r="M52" s="273">
        <f ca="1">C51*Summary!$C$49*Summary!$C$61</f>
        <v>9594.5407529591939</v>
      </c>
      <c r="N52" s="272">
        <f ca="1">M52/'Alberta Electricity Profile'!$D$49</f>
        <v>7.3497167622616252E-2</v>
      </c>
      <c r="O52" s="273">
        <f t="shared" si="7"/>
        <v>347.92166666666708</v>
      </c>
      <c r="P52" s="273">
        <f t="shared" ca="1" si="12"/>
        <v>61.165064441649292</v>
      </c>
      <c r="Q52" s="63">
        <f t="shared" ca="1" si="8"/>
        <v>6.3749861527019389</v>
      </c>
      <c r="R52" s="63">
        <f t="shared" ca="1" si="9"/>
        <v>21.254441237156289</v>
      </c>
      <c r="S52" s="63">
        <f t="shared" ca="1" si="10"/>
        <v>0.13549676857028839</v>
      </c>
    </row>
    <row r="53" spans="2:19">
      <c r="B53" s="192">
        <f t="shared" si="4"/>
        <v>33</v>
      </c>
      <c r="C53" s="184">
        <f t="shared" ca="1" si="5"/>
        <v>452988587</v>
      </c>
      <c r="D53" s="195">
        <f t="shared" ca="1" si="17"/>
        <v>0.10489389782555543</v>
      </c>
      <c r="E53" s="184">
        <f t="shared" ca="1" si="18"/>
        <v>18389980</v>
      </c>
      <c r="F53" s="196">
        <f t="shared" ca="1" si="19"/>
        <v>18.389980000000001</v>
      </c>
      <c r="G53" s="197">
        <f ca="1">C53/Summary!C$58</f>
        <v>7.1800378348391189E-2</v>
      </c>
      <c r="H53" s="198">
        <f ca="1">H52+M53*Summary!$C$26/1000000</f>
        <v>1204.3303719028004</v>
      </c>
      <c r="I53" s="198">
        <f t="shared" si="6"/>
        <v>11481.415000000008</v>
      </c>
      <c r="J53" s="200">
        <f ca="1">C52*Summary!C$49*Summary!C$62*24*365*1000*C$11</f>
        <v>841984474.54695082</v>
      </c>
      <c r="K53" s="200">
        <f t="shared" ca="1" si="20"/>
        <v>14711984474.546951</v>
      </c>
      <c r="L53" s="184">
        <f t="shared" ca="1" si="3"/>
        <v>17621934</v>
      </c>
      <c r="M53" s="273">
        <f ca="1">C52*Summary!$C$49*Summary!$C$61</f>
        <v>9611.6949149195261</v>
      </c>
      <c r="N53" s="272">
        <f ca="1">M53/'Alberta Electricity Profile'!$D$49</f>
        <v>7.3628573840952991E-2</v>
      </c>
      <c r="O53" s="273">
        <f t="shared" si="7"/>
        <v>347.92166666666708</v>
      </c>
      <c r="P53" s="273">
        <f t="shared" ca="1" si="12"/>
        <v>61.274421986607422</v>
      </c>
      <c r="Q53" s="63">
        <f t="shared" ca="1" si="8"/>
        <v>6.3749861527019176</v>
      </c>
      <c r="R53" s="63">
        <f t="shared" ca="1" si="9"/>
        <v>21.254441237156289</v>
      </c>
      <c r="S53" s="63">
        <f t="shared" ca="1" si="10"/>
        <v>0.13549676857028797</v>
      </c>
    </row>
    <row r="54" spans="2:19">
      <c r="B54" s="192">
        <f t="shared" si="4"/>
        <v>34</v>
      </c>
      <c r="C54" s="184">
        <f t="shared" ca="1" si="5"/>
        <v>453717409</v>
      </c>
      <c r="D54" s="195">
        <f t="shared" ca="1" si="17"/>
        <v>0.10699745026338645</v>
      </c>
      <c r="E54" s="184">
        <f t="shared" ca="1" si="18"/>
        <v>18391768</v>
      </c>
      <c r="F54" s="196">
        <f t="shared" ca="1" si="19"/>
        <v>18.391767999999999</v>
      </c>
      <c r="G54" s="197">
        <f ca="1">C54/Summary!C$58</f>
        <v>7.1915899350134732E-2</v>
      </c>
      <c r="H54" s="198">
        <f ca="1">H53+M54*Summary!$C$26/1000000</f>
        <v>1265.7088616405213</v>
      </c>
      <c r="I54" s="198">
        <f t="shared" si="6"/>
        <v>11829.336666666675</v>
      </c>
      <c r="J54" s="200">
        <f ca="1">C53*Summary!C$49*Summary!C$62*24*365*1000*C$11</f>
        <v>843414490.98607087</v>
      </c>
      <c r="K54" s="200">
        <f t="shared" ca="1" si="20"/>
        <v>14713414490.986071</v>
      </c>
      <c r="L54" s="184">
        <f t="shared" ca="1" si="3"/>
        <v>17662946</v>
      </c>
      <c r="M54" s="273">
        <f ca="1">C53*Summary!$C$49*Summary!$C$61</f>
        <v>9628.0193034939584</v>
      </c>
      <c r="N54" s="272">
        <f ca="1">M54/'Alberta Electricity Profile'!$D$49</f>
        <v>7.3753623736959914E-2</v>
      </c>
      <c r="O54" s="273">
        <f t="shared" si="7"/>
        <v>347.92166666666708</v>
      </c>
      <c r="P54" s="273">
        <f t="shared" ca="1" si="12"/>
        <v>61.378489737720884</v>
      </c>
      <c r="Q54" s="63">
        <f t="shared" ca="1" si="8"/>
        <v>6.3749861527019318</v>
      </c>
      <c r="R54" s="63">
        <f t="shared" ca="1" si="9"/>
        <v>21.254441237156286</v>
      </c>
      <c r="S54" s="63">
        <f t="shared" ca="1" si="10"/>
        <v>0.13549676857028825</v>
      </c>
    </row>
    <row r="55" spans="2:19">
      <c r="B55" s="192">
        <f t="shared" si="4"/>
        <v>35</v>
      </c>
      <c r="C55" s="184">
        <f t="shared" ca="1" si="5"/>
        <v>454406819</v>
      </c>
      <c r="D55" s="195">
        <f t="shared" ca="1" si="17"/>
        <v>0.10898890933200787</v>
      </c>
      <c r="E55" s="184">
        <f t="shared" ca="1" si="18"/>
        <v>18393464</v>
      </c>
      <c r="F55" s="196">
        <f t="shared" ca="1" si="19"/>
        <v>18.393464000000002</v>
      </c>
      <c r="G55" s="197">
        <f ca="1">C55/Summary!C$58</f>
        <v>7.2025173403074974E-2</v>
      </c>
      <c r="H55" s="198">
        <f ca="1">H54+M55*Summary!$C$26/1000000</f>
        <v>1327.186104404105</v>
      </c>
      <c r="I55" s="198">
        <f t="shared" si="6"/>
        <v>12177.258333333342</v>
      </c>
      <c r="J55" s="200">
        <f ca="1">C54*Summary!C$49*Summary!C$62*24*365*1000*C$11</f>
        <v>844771476.68900084</v>
      </c>
      <c r="K55" s="200">
        <f t="shared" ca="1" si="20"/>
        <v>14714771476.689001</v>
      </c>
      <c r="L55" s="184">
        <f t="shared" ca="1" si="3"/>
        <v>17704054</v>
      </c>
      <c r="M55" s="273">
        <f ca="1">C54*Summary!$C$49*Summary!$C$61</f>
        <v>9643.5100078653049</v>
      </c>
      <c r="N55" s="272">
        <f ca="1">M55/'Alberta Electricity Profile'!$D$49</f>
        <v>7.3872287352560503E-2</v>
      </c>
      <c r="O55" s="273">
        <f t="shared" si="7"/>
        <v>347.92166666666708</v>
      </c>
      <c r="P55" s="273">
        <f t="shared" ca="1" si="12"/>
        <v>61.477242763583718</v>
      </c>
      <c r="Q55" s="63">
        <f t="shared" ca="1" si="8"/>
        <v>6.3749861527019211</v>
      </c>
      <c r="R55" s="63">
        <f t="shared" ca="1" si="9"/>
        <v>21.254441237156286</v>
      </c>
      <c r="S55" s="63">
        <f t="shared" ca="1" si="10"/>
        <v>0.13549676857028803</v>
      </c>
    </row>
    <row r="56" spans="2:19">
      <c r="B56" s="192">
        <f t="shared" si="4"/>
        <v>36</v>
      </c>
      <c r="C56" s="184">
        <f t="shared" ca="1" si="5"/>
        <v>455056629</v>
      </c>
      <c r="D56" s="195">
        <f t="shared" ca="1" si="17"/>
        <v>0.11087718978848271</v>
      </c>
      <c r="E56" s="184">
        <f t="shared" ca="1" si="18"/>
        <v>18395068</v>
      </c>
      <c r="F56" s="196">
        <f t="shared" ca="1" si="19"/>
        <v>18.395067999999998</v>
      </c>
      <c r="G56" s="197">
        <f ca="1">C56/Summary!C$58</f>
        <v>7.2128170708511644E-2</v>
      </c>
      <c r="H56" s="198">
        <f ca="1">H55+M56*Summary!$C$26/1000000</f>
        <v>1388.7567599949089</v>
      </c>
      <c r="I56" s="198">
        <f t="shared" si="6"/>
        <v>12525.180000000009</v>
      </c>
      <c r="J56" s="200">
        <f ca="1">C55*Summary!C$49*Summary!C$62*24*365*1000*C$11</f>
        <v>846055081.62059867</v>
      </c>
      <c r="K56" s="200">
        <f t="shared" ca="1" si="20"/>
        <v>14716055081.620598</v>
      </c>
      <c r="L56" s="184">
        <f t="shared" ca="1" si="3"/>
        <v>17745258</v>
      </c>
      <c r="M56" s="273">
        <f ca="1">C55*Summary!$C$49*Summary!$C$61</f>
        <v>9658.163032198614</v>
      </c>
      <c r="N56" s="272">
        <f ca="1">M56/'Alberta Electricity Profile'!$D$49</f>
        <v>7.3984534078415654E-2</v>
      </c>
      <c r="O56" s="273">
        <f t="shared" si="7"/>
        <v>347.92166666666708</v>
      </c>
      <c r="P56" s="273">
        <f t="shared" ca="1" si="12"/>
        <v>61.570655590803881</v>
      </c>
      <c r="Q56" s="63">
        <f t="shared" ca="1" si="8"/>
        <v>6.3749861527019336</v>
      </c>
      <c r="R56" s="63">
        <f t="shared" ca="1" si="9"/>
        <v>21.254441237156289</v>
      </c>
      <c r="S56" s="63">
        <f t="shared" ca="1" si="10"/>
        <v>0.13549676857028831</v>
      </c>
    </row>
    <row r="57" spans="2:19">
      <c r="B57" s="192">
        <f t="shared" si="4"/>
        <v>37</v>
      </c>
      <c r="C57" s="184">
        <f t="shared" ca="1" si="5"/>
        <v>455666652</v>
      </c>
      <c r="D57" s="195">
        <f t="shared" ca="1" si="17"/>
        <v>0.1126702406535459</v>
      </c>
      <c r="E57" s="184">
        <f t="shared" ca="1" si="18"/>
        <v>18396581</v>
      </c>
      <c r="F57" s="196">
        <f t="shared" ca="1" si="19"/>
        <v>18.396581000000001</v>
      </c>
      <c r="G57" s="197">
        <f ca="1">C57/Summary!C$58</f>
        <v>7.2224861626248221E-2</v>
      </c>
      <c r="H57" s="198">
        <f ca="1">H56+M57*Summary!$C$26/1000000</f>
        <v>1450.4154627408973</v>
      </c>
      <c r="I57" s="198">
        <f t="shared" si="6"/>
        <v>12873.101666666676</v>
      </c>
      <c r="J57" s="200">
        <f ca="1">C56*Summary!C$49*Summary!C$62*24*365*1000*C$11</f>
        <v>847264955.74572241</v>
      </c>
      <c r="K57" s="200">
        <f t="shared" ca="1" si="20"/>
        <v>14717264955.745722</v>
      </c>
      <c r="L57" s="184">
        <f t="shared" ca="1" si="3"/>
        <v>17786558</v>
      </c>
      <c r="M57" s="273">
        <f ca="1">C56*Summary!$C$49*Summary!$C$61</f>
        <v>9671.9743806589304</v>
      </c>
      <c r="N57" s="272">
        <f ca="1">M57/'Alberta Electricity Profile'!$D$49</f>
        <v>7.4090333305186259E-2</v>
      </c>
      <c r="O57" s="273">
        <f t="shared" si="7"/>
        <v>347.92166666666708</v>
      </c>
      <c r="P57" s="273">
        <f t="shared" ca="1" si="12"/>
        <v>61.658702745988421</v>
      </c>
      <c r="Q57" s="63">
        <f t="shared" ca="1" si="8"/>
        <v>6.3749861527019211</v>
      </c>
      <c r="R57" s="63">
        <f t="shared" ca="1" si="9"/>
        <v>21.254441237156289</v>
      </c>
      <c r="S57" s="63">
        <f t="shared" ca="1" si="10"/>
        <v>0.13549676857028803</v>
      </c>
    </row>
    <row r="58" spans="2:19">
      <c r="B58" s="192">
        <f t="shared" si="4"/>
        <v>38</v>
      </c>
      <c r="C58" s="184">
        <f t="shared" ca="1" si="5"/>
        <v>456236699</v>
      </c>
      <c r="D58" s="195">
        <f t="shared" ref="D58:D70" ca="1" si="21">H58/I58</f>
        <v>0.11437517229242251</v>
      </c>
      <c r="E58" s="184">
        <f t="shared" ref="E58:E70" ca="1" si="22">ROUNDDOWN(K58/C$16,0)</f>
        <v>18398000</v>
      </c>
      <c r="F58" s="196">
        <f t="shared" ref="F58:F70" ca="1" si="23">E58*C$18/1000000</f>
        <v>18.398</v>
      </c>
      <c r="G58" s="197">
        <f ca="1">C58/Summary!C$58</f>
        <v>7.2315216199080684E-2</v>
      </c>
      <c r="H58" s="198">
        <f ca="1">H57+M58*Summary!$C$26/1000000</f>
        <v>1512.1568216321393</v>
      </c>
      <c r="I58" s="198">
        <f t="shared" si="6"/>
        <v>13221.023333333344</v>
      </c>
      <c r="J58" s="200">
        <f ca="1">C57*Summary!C$49*Summary!C$62*24*365*1000*C$11</f>
        <v>848400750.89111924</v>
      </c>
      <c r="K58" s="200">
        <f t="shared" ref="K58:K70" ca="1" si="24">C$10+J58</f>
        <v>14718400750.891119</v>
      </c>
      <c r="L58" s="184">
        <f t="shared" ca="1" si="3"/>
        <v>17827953</v>
      </c>
      <c r="M58" s="273">
        <f ca="1">C57*Summary!$C$49*Summary!$C$61</f>
        <v>9684.9400786657443</v>
      </c>
      <c r="N58" s="272">
        <f ca="1">M58/'Alberta Electricity Profile'!$D$49</f>
        <v>7.4189654586348894E-2</v>
      </c>
      <c r="O58" s="273">
        <f t="shared" si="7"/>
        <v>347.92166666666708</v>
      </c>
      <c r="P58" s="273">
        <f t="shared" ca="1" si="12"/>
        <v>61.741358891242044</v>
      </c>
      <c r="Q58" s="63">
        <f t="shared" ca="1" si="8"/>
        <v>6.3749861527019283</v>
      </c>
      <c r="R58" s="63">
        <f t="shared" ca="1" si="9"/>
        <v>21.254441237156289</v>
      </c>
      <c r="S58" s="63">
        <f t="shared" ca="1" si="10"/>
        <v>0.1354967685702882</v>
      </c>
    </row>
    <row r="59" spans="2:19">
      <c r="B59" s="192">
        <f t="shared" si="4"/>
        <v>39</v>
      </c>
      <c r="C59" s="184">
        <f t="shared" ca="1" si="5"/>
        <v>456766580</v>
      </c>
      <c r="D59" s="195">
        <f t="shared" ca="1" si="21"/>
        <v>0.11599836391479318</v>
      </c>
      <c r="E59" s="184">
        <f t="shared" ca="1" si="22"/>
        <v>18399327</v>
      </c>
      <c r="F59" s="196">
        <f t="shared" ca="1" si="23"/>
        <v>18.399327</v>
      </c>
      <c r="G59" s="197">
        <f ca="1">C59/Summary!C$58</f>
        <v>7.2399204311301313E-2</v>
      </c>
      <c r="H59" s="198">
        <f ca="1">H58+M59*Summary!$C$26/1000000</f>
        <v>1573.9754200498146</v>
      </c>
      <c r="I59" s="198">
        <f t="shared" si="6"/>
        <v>13568.945000000011</v>
      </c>
      <c r="J59" s="200">
        <f ca="1">C58*Summary!C$49*Summary!C$62*24*365*1000*C$11</f>
        <v>849462115.15975845</v>
      </c>
      <c r="K59" s="200">
        <f t="shared" ca="1" si="24"/>
        <v>14719462115.159758</v>
      </c>
      <c r="L59" s="184">
        <f t="shared" ca="1" si="3"/>
        <v>17869446</v>
      </c>
      <c r="M59" s="273">
        <f ca="1">C58*Summary!$C$49*Summary!$C$61</f>
        <v>9697.0561091296604</v>
      </c>
      <c r="N59" s="272">
        <f ca="1">M59/'Alberta Electricity Profile'!$D$49</f>
        <v>7.4282467149748815E-2</v>
      </c>
      <c r="O59" s="273">
        <f t="shared" si="7"/>
        <v>347.92166666666708</v>
      </c>
      <c r="P59" s="273">
        <f t="shared" ca="1" si="12"/>
        <v>61.818598417675275</v>
      </c>
      <c r="Q59" s="63">
        <f t="shared" ca="1" si="8"/>
        <v>6.3749861527019336</v>
      </c>
      <c r="R59" s="63">
        <f t="shared" ca="1" si="9"/>
        <v>21.254441237156286</v>
      </c>
      <c r="S59" s="63">
        <f t="shared" ca="1" si="10"/>
        <v>0.13549676857028828</v>
      </c>
    </row>
    <row r="60" spans="2:19">
      <c r="B60" s="192">
        <f t="shared" si="4"/>
        <v>40</v>
      </c>
      <c r="C60" s="184">
        <f t="shared" ca="1" si="5"/>
        <v>457256106</v>
      </c>
      <c r="D60" s="195">
        <f t="shared" ca="1" si="21"/>
        <v>0.11754555495950109</v>
      </c>
      <c r="E60" s="184">
        <f t="shared" ca="1" si="22"/>
        <v>18400560</v>
      </c>
      <c r="F60" s="196">
        <f t="shared" ca="1" si="23"/>
        <v>18.400559999999999</v>
      </c>
      <c r="G60" s="197">
        <f ca="1">C60/Summary!C$58</f>
        <v>7.247679600570614E-2</v>
      </c>
      <c r="H60" s="198">
        <f ca="1">H59+M60*Summary!$C$26/1000000</f>
        <v>1635.8658156307167</v>
      </c>
      <c r="I60" s="198">
        <f t="shared" si="6"/>
        <v>13916.866666666678</v>
      </c>
      <c r="J60" s="200">
        <f ca="1">C59*Summary!C$49*Summary!C$62*24*365*1000*C$11</f>
        <v>850448694.79271996</v>
      </c>
      <c r="K60" s="200">
        <f t="shared" ca="1" si="24"/>
        <v>14720448694.792721</v>
      </c>
      <c r="L60" s="184">
        <f t="shared" ca="1" si="3"/>
        <v>17911034</v>
      </c>
      <c r="M60" s="273">
        <f ca="1">C59*Summary!$C$49*Summary!$C$61</f>
        <v>9708.3184337068469</v>
      </c>
      <c r="N60" s="272">
        <f ca="1">M60/'Alberta Electricity Profile'!$D$49</f>
        <v>7.4368740060415703E-2</v>
      </c>
      <c r="O60" s="273">
        <f t="shared" si="7"/>
        <v>347.92166666666708</v>
      </c>
      <c r="P60" s="273">
        <f t="shared" ca="1" si="12"/>
        <v>61.890395580902123</v>
      </c>
      <c r="Q60" s="63">
        <f t="shared" ca="1" si="8"/>
        <v>6.3749861527019389</v>
      </c>
      <c r="R60" s="63">
        <f t="shared" ca="1" si="9"/>
        <v>21.254441237156286</v>
      </c>
      <c r="S60" s="63">
        <f t="shared" ca="1" si="10"/>
        <v>0.13549676857028839</v>
      </c>
    </row>
    <row r="61" spans="2:19">
      <c r="B61" s="192">
        <f t="shared" si="4"/>
        <v>41</v>
      </c>
      <c r="C61" s="184">
        <f t="shared" ca="1" si="5"/>
        <v>457705086</v>
      </c>
      <c r="D61" s="195">
        <f t="shared" ca="1" si="21"/>
        <v>0.11902192312488444</v>
      </c>
      <c r="E61" s="184">
        <f t="shared" ca="1" si="22"/>
        <v>18401700</v>
      </c>
      <c r="F61" s="196">
        <f t="shared" ca="1" si="23"/>
        <v>18.401700000000002</v>
      </c>
      <c r="G61" s="197">
        <f ca="1">C61/Summary!C$58</f>
        <v>7.2547961008083695E-2</v>
      </c>
      <c r="H61" s="198">
        <f ca="1">H60+M61*Summary!$C$26/1000000</f>
        <v>1697.8225404027498</v>
      </c>
      <c r="I61" s="198">
        <f t="shared" si="6"/>
        <v>14264.788333333345</v>
      </c>
      <c r="J61" s="200">
        <f ca="1">C60*Summary!C$49*Summary!C$62*24*365*1000*C$11</f>
        <v>851360137.89297295</v>
      </c>
      <c r="K61" s="200">
        <f t="shared" ca="1" si="24"/>
        <v>14721360137.892973</v>
      </c>
      <c r="L61" s="184">
        <f t="shared" ca="1" si="3"/>
        <v>17952720</v>
      </c>
      <c r="M61" s="273">
        <f ca="1">C60*Summary!$C$49*Summary!$C$61</f>
        <v>9718.7230353079067</v>
      </c>
      <c r="N61" s="272">
        <f ca="1">M61/'Alberta Electricity Profile'!$D$49</f>
        <v>7.4448442546194787E-2</v>
      </c>
      <c r="O61" s="273">
        <f t="shared" si="7"/>
        <v>347.92166666666708</v>
      </c>
      <c r="P61" s="273">
        <f t="shared" ca="1" si="12"/>
        <v>61.956724772033112</v>
      </c>
      <c r="Q61" s="63">
        <f t="shared" ca="1" si="8"/>
        <v>6.3749861527019229</v>
      </c>
      <c r="R61" s="63">
        <f t="shared" ca="1" si="9"/>
        <v>21.254441237156289</v>
      </c>
      <c r="S61" s="63">
        <f t="shared" ca="1" si="10"/>
        <v>0.13549676857028808</v>
      </c>
    </row>
    <row r="62" spans="2:19">
      <c r="B62" s="192">
        <f t="shared" si="4"/>
        <v>42</v>
      </c>
      <c r="C62" s="184">
        <f t="shared" ca="1" si="5"/>
        <v>458113329</v>
      </c>
      <c r="D62" s="195">
        <f t="shared" ca="1" si="21"/>
        <v>0.1204321512241011</v>
      </c>
      <c r="E62" s="184">
        <f t="shared" ca="1" si="22"/>
        <v>18402745</v>
      </c>
      <c r="F62" s="196">
        <f t="shared" ca="1" si="23"/>
        <v>18.402744999999999</v>
      </c>
      <c r="G62" s="197">
        <f ca="1">C62/Summary!C$58</f>
        <v>7.2612669044222533E-2</v>
      </c>
      <c r="H62" s="198">
        <f ca="1">H61+M62*Summary!$C$26/1000000</f>
        <v>1759.8401005139358</v>
      </c>
      <c r="I62" s="198">
        <f t="shared" si="6"/>
        <v>14612.710000000012</v>
      </c>
      <c r="J62" s="200">
        <f ca="1">C61*Summary!C$49*Summary!C$62*24*365*1000*C$11</f>
        <v>852196088.83970809</v>
      </c>
      <c r="K62" s="200">
        <f t="shared" ca="1" si="24"/>
        <v>14722196088.839708</v>
      </c>
      <c r="L62" s="184">
        <f t="shared" ca="1" si="3"/>
        <v>17994502</v>
      </c>
      <c r="M62" s="273">
        <f ca="1">C61*Summary!$C$49*Summary!$C$61</f>
        <v>9728.265854334566</v>
      </c>
      <c r="N62" s="272">
        <f ca="1">M62/'Alberta Electricity Profile'!$D$49</f>
        <v>7.4521543509300125E-2</v>
      </c>
      <c r="O62" s="273">
        <f t="shared" si="7"/>
        <v>347.92166666666708</v>
      </c>
      <c r="P62" s="273">
        <f t="shared" ca="1" si="12"/>
        <v>62.017560111185958</v>
      </c>
      <c r="Q62" s="63">
        <f t="shared" ca="1" si="8"/>
        <v>6.3749861527019389</v>
      </c>
      <c r="R62" s="63">
        <f t="shared" ca="1" si="9"/>
        <v>21.254441237156289</v>
      </c>
      <c r="S62" s="63">
        <f t="shared" ca="1" si="10"/>
        <v>0.13549676857028842</v>
      </c>
    </row>
    <row r="63" spans="2:19">
      <c r="B63" s="192">
        <f t="shared" si="4"/>
        <v>43</v>
      </c>
      <c r="C63" s="184">
        <f t="shared" ca="1" si="5"/>
        <v>458480642</v>
      </c>
      <c r="D63" s="195">
        <f t="shared" ca="1" si="21"/>
        <v>0.12178048472991693</v>
      </c>
      <c r="E63" s="184">
        <f t="shared" ca="1" si="22"/>
        <v>18403695</v>
      </c>
      <c r="F63" s="196">
        <f t="shared" ca="1" si="23"/>
        <v>18.403694999999999</v>
      </c>
      <c r="G63" s="197">
        <f ca="1">C63/Summary!C$58</f>
        <v>7.2670889522903792E-2</v>
      </c>
      <c r="H63" s="198">
        <f ca="1">H62+M63*Summary!$C$26/1000000</f>
        <v>1821.912976232413</v>
      </c>
      <c r="I63" s="198">
        <f t="shared" si="6"/>
        <v>14960.631666666679</v>
      </c>
      <c r="J63" s="200">
        <f ca="1">C62*Summary!C$49*Summary!C$62*24*365*1000*C$11</f>
        <v>852956192.01211679</v>
      </c>
      <c r="K63" s="200">
        <f t="shared" ca="1" si="24"/>
        <v>14722956192.012117</v>
      </c>
      <c r="L63" s="184">
        <f t="shared" ca="1" si="3"/>
        <v>18036382</v>
      </c>
      <c r="M63" s="273">
        <f ca="1">C62*Summary!$C$49*Summary!$C$61</f>
        <v>9736.9428311885458</v>
      </c>
      <c r="N63" s="272">
        <f ca="1">M63/'Alberta Electricity Profile'!$D$49</f>
        <v>7.458801185194569E-2</v>
      </c>
      <c r="O63" s="273">
        <f t="shared" si="7"/>
        <v>347.92166666666708</v>
      </c>
      <c r="P63" s="273">
        <f t="shared" ca="1" si="12"/>
        <v>62.072875718477235</v>
      </c>
      <c r="Q63" s="63">
        <f t="shared" ca="1" si="8"/>
        <v>6.374986152701922</v>
      </c>
      <c r="R63" s="63">
        <f t="shared" ca="1" si="9"/>
        <v>21.254441237156286</v>
      </c>
      <c r="S63" s="63">
        <f t="shared" ca="1" si="10"/>
        <v>0.13549676857028806</v>
      </c>
    </row>
    <row r="64" spans="2:19">
      <c r="B64" s="192">
        <f t="shared" si="4"/>
        <v>44</v>
      </c>
      <c r="C64" s="184">
        <f t="shared" ca="1" si="5"/>
        <v>458806833</v>
      </c>
      <c r="D64" s="195">
        <f t="shared" ca="1" si="21"/>
        <v>0.12307078145477557</v>
      </c>
      <c r="E64" s="184">
        <f t="shared" ca="1" si="22"/>
        <v>18404550</v>
      </c>
      <c r="F64" s="196">
        <f t="shared" ca="1" si="23"/>
        <v>18.40455</v>
      </c>
      <c r="G64" s="197">
        <f ca="1">C64/Summary!C$58</f>
        <v>7.2722592011412263E-2</v>
      </c>
      <c r="H64" s="198">
        <f ca="1">H63+M64*Summary!$C$26/1000000</f>
        <v>1884.0356216754442</v>
      </c>
      <c r="I64" s="198">
        <f t="shared" si="6"/>
        <v>15308.553333333346</v>
      </c>
      <c r="J64" s="200">
        <f ca="1">C63*Summary!C$49*Summary!C$62*24*365*1000*C$11</f>
        <v>853640088.06561184</v>
      </c>
      <c r="K64" s="200">
        <f t="shared" ca="1" si="24"/>
        <v>14723640088.065613</v>
      </c>
      <c r="L64" s="184">
        <f t="shared" ca="1" si="3"/>
        <v>18078359</v>
      </c>
      <c r="M64" s="273">
        <f ca="1">C63*Summary!$C$49*Summary!$C$61</f>
        <v>9744.7498637626886</v>
      </c>
      <c r="N64" s="272">
        <f ca="1">M64/'Alberta Electricity Profile'!$D$49</f>
        <v>7.4647816150714238E-2</v>
      </c>
      <c r="O64" s="273">
        <f t="shared" si="7"/>
        <v>347.92166666666708</v>
      </c>
      <c r="P64" s="273">
        <f t="shared" ca="1" si="12"/>
        <v>62.122645443031161</v>
      </c>
      <c r="Q64" s="63">
        <f t="shared" ca="1" si="8"/>
        <v>6.37498615270193</v>
      </c>
      <c r="R64" s="63">
        <f t="shared" ca="1" si="9"/>
        <v>21.254441237156286</v>
      </c>
      <c r="S64" s="63">
        <f t="shared" ca="1" si="10"/>
        <v>0.13549676857028822</v>
      </c>
    </row>
    <row r="65" spans="2:19">
      <c r="B65" s="192">
        <f t="shared" si="4"/>
        <v>45</v>
      </c>
      <c r="C65" s="184">
        <f t="shared" ca="1" si="5"/>
        <v>459091708</v>
      </c>
      <c r="D65" s="195">
        <f t="shared" ca="1" si="21"/>
        <v>0.12430655463282191</v>
      </c>
      <c r="E65" s="184">
        <f t="shared" ca="1" si="22"/>
        <v>18405309</v>
      </c>
      <c r="F65" s="196">
        <f t="shared" ca="1" si="23"/>
        <v>18.405308999999999</v>
      </c>
      <c r="G65" s="197">
        <f ca="1">C65/Summary!C$58</f>
        <v>7.2767745760025357E-2</v>
      </c>
      <c r="H65" s="198">
        <f ca="1">H64+M65*Summary!$C$26/1000000</f>
        <v>1946.202464944912</v>
      </c>
      <c r="I65" s="198">
        <f t="shared" si="6"/>
        <v>15656.475000000013</v>
      </c>
      <c r="J65" s="200">
        <f ca="1">C64*Summary!C$49*Summary!C$62*24*365*1000*C$11</f>
        <v>854247419.51749504</v>
      </c>
      <c r="K65" s="200">
        <f t="shared" ca="1" si="24"/>
        <v>14724247419.517494</v>
      </c>
      <c r="L65" s="184">
        <f t="shared" ca="1" si="3"/>
        <v>18120434</v>
      </c>
      <c r="M65" s="273">
        <f ca="1">C64*Summary!$C$49*Summary!$C$61</f>
        <v>9751.6828712042789</v>
      </c>
      <c r="N65" s="272">
        <f ca="1">M65/'Alberta Electricity Profile'!$D$49</f>
        <v>7.4700925145004163E-2</v>
      </c>
      <c r="O65" s="273">
        <f t="shared" si="7"/>
        <v>347.92166666666708</v>
      </c>
      <c r="P65" s="273">
        <f t="shared" ca="1" si="12"/>
        <v>62.16684326946779</v>
      </c>
      <c r="Q65" s="63">
        <f t="shared" ca="1" si="8"/>
        <v>6.3749861527019211</v>
      </c>
      <c r="R65" s="63">
        <f t="shared" ca="1" si="9"/>
        <v>21.254441237156289</v>
      </c>
      <c r="S65" s="63">
        <f t="shared" ca="1" si="10"/>
        <v>0.13549676857028803</v>
      </c>
    </row>
    <row r="66" spans="2:19">
      <c r="B66" s="192">
        <f t="shared" si="4"/>
        <v>46</v>
      </c>
      <c r="C66" s="184">
        <f t="shared" ca="1" si="5"/>
        <v>459335073</v>
      </c>
      <c r="D66" s="195">
        <f t="shared" ca="1" si="21"/>
        <v>0.12549101035713256</v>
      </c>
      <c r="E66" s="184">
        <f t="shared" ca="1" si="22"/>
        <v>18405972</v>
      </c>
      <c r="F66" s="196">
        <f t="shared" ca="1" si="23"/>
        <v>18.405971999999998</v>
      </c>
      <c r="G66" s="197">
        <f ca="1">C66/Summary!C$58</f>
        <v>7.2806320019020446E-2</v>
      </c>
      <c r="H66" s="198">
        <f ca="1">H65+M66*Summary!$C$26/1000000</f>
        <v>2008.4079078563263</v>
      </c>
      <c r="I66" s="198">
        <f t="shared" si="6"/>
        <v>16004.39666666668</v>
      </c>
      <c r="J66" s="200">
        <f ca="1">C65*Summary!C$49*Summary!C$62*24*365*1000*C$11</f>
        <v>854777825.16129017</v>
      </c>
      <c r="K66" s="200">
        <f t="shared" ca="1" si="24"/>
        <v>14724777825.161289</v>
      </c>
      <c r="L66" s="184">
        <f t="shared" ca="1" si="3"/>
        <v>18162607</v>
      </c>
      <c r="M66" s="273">
        <f ca="1">C65*Summary!$C$49*Summary!$C$61</f>
        <v>9757.7377301517135</v>
      </c>
      <c r="N66" s="272">
        <f ca="1">M66/'Alberta Electricity Profile'!$D$49</f>
        <v>7.474730724858257E-2</v>
      </c>
      <c r="O66" s="273">
        <f t="shared" si="7"/>
        <v>347.92166666666708</v>
      </c>
      <c r="P66" s="273">
        <f t="shared" ca="1" si="12"/>
        <v>62.205442911414366</v>
      </c>
      <c r="Q66" s="63">
        <f t="shared" ca="1" si="8"/>
        <v>6.3749861527019327</v>
      </c>
      <c r="R66" s="63">
        <f t="shared" ca="1" si="9"/>
        <v>21.254441237156289</v>
      </c>
      <c r="S66" s="63">
        <f t="shared" ca="1" si="10"/>
        <v>0.13549676857028831</v>
      </c>
    </row>
    <row r="67" spans="2:19">
      <c r="B67" s="192">
        <f t="shared" si="4"/>
        <v>47</v>
      </c>
      <c r="C67" s="184">
        <f t="shared" ca="1" si="5"/>
        <v>459536733</v>
      </c>
      <c r="D67" s="195">
        <f t="shared" ca="1" si="21"/>
        <v>0.12662708025429761</v>
      </c>
      <c r="E67" s="184">
        <f t="shared" ca="1" si="22"/>
        <v>18406538</v>
      </c>
      <c r="F67" s="196">
        <f t="shared" ca="1" si="23"/>
        <v>18.406538000000001</v>
      </c>
      <c r="G67" s="197">
        <f ca="1">C67/Summary!C$58</f>
        <v>7.283828388017119E-2</v>
      </c>
      <c r="H67" s="198">
        <f ca="1">H66+M67*Summary!$C$26/1000000</f>
        <v>2070.6463259388238</v>
      </c>
      <c r="I67" s="198">
        <f t="shared" si="6"/>
        <v>16352.318333333347</v>
      </c>
      <c r="J67" s="200">
        <f ca="1">C66*Summary!C$49*Summary!C$62*24*365*1000*C$11</f>
        <v>855230943.79052126</v>
      </c>
      <c r="K67" s="200">
        <f t="shared" ca="1" si="24"/>
        <v>14725230943.790522</v>
      </c>
      <c r="L67" s="184">
        <f t="shared" ca="1" si="3"/>
        <v>18204878</v>
      </c>
      <c r="M67" s="273">
        <f ca="1">C66*Summary!$C$49*Summary!$C$61</f>
        <v>9762.9103172433934</v>
      </c>
      <c r="N67" s="272">
        <f ca="1">M67/'Alberta Electricity Profile'!$D$49</f>
        <v>7.478693087521654E-2</v>
      </c>
      <c r="O67" s="273">
        <f t="shared" si="7"/>
        <v>347.92166666666708</v>
      </c>
      <c r="P67" s="273">
        <f t="shared" ca="1" si="12"/>
        <v>62.238418082497446</v>
      </c>
      <c r="Q67" s="63">
        <f t="shared" ca="1" si="8"/>
        <v>6.3749861527019309</v>
      </c>
      <c r="R67" s="63">
        <f t="shared" ca="1" si="9"/>
        <v>21.254441237156286</v>
      </c>
      <c r="S67" s="63">
        <f t="shared" ca="1" si="10"/>
        <v>0.13549676857028822</v>
      </c>
    </row>
    <row r="68" spans="2:19">
      <c r="B68" s="192">
        <f t="shared" si="4"/>
        <v>48</v>
      </c>
      <c r="C68" s="184">
        <f t="shared" ca="1" si="5"/>
        <v>459696494</v>
      </c>
      <c r="D68" s="195">
        <f t="shared" ca="1" si="21"/>
        <v>0.1277174500665661</v>
      </c>
      <c r="E68" s="184">
        <f t="shared" ca="1" si="22"/>
        <v>18407008</v>
      </c>
      <c r="F68" s="196">
        <f t="shared" ca="1" si="23"/>
        <v>18.407008000000001</v>
      </c>
      <c r="G68" s="197">
        <f ca="1">C68/Summary!C$58</f>
        <v>7.2863606593754959E-2</v>
      </c>
      <c r="H68" s="198">
        <f ca="1">H67+M68*Summary!$C$26/1000000</f>
        <v>2132.9120682996713</v>
      </c>
      <c r="I68" s="198">
        <f t="shared" si="6"/>
        <v>16700.240000000013</v>
      </c>
      <c r="J68" s="200">
        <f ca="1">C67*Summary!C$49*Summary!C$62*24*365*1000*C$11</f>
        <v>855606412.33682346</v>
      </c>
      <c r="K68" s="200">
        <f t="shared" ca="1" si="24"/>
        <v>14725606412.336823</v>
      </c>
      <c r="L68" s="184">
        <f t="shared" ca="1" si="3"/>
        <v>18247247</v>
      </c>
      <c r="M68" s="273">
        <f ca="1">C67*Summary!$C$49*Summary!$C$61</f>
        <v>9767.1964878632789</v>
      </c>
      <c r="N68" s="272">
        <f ca="1">M68/'Alberta Electricity Profile'!$D$49</f>
        <v>7.4819764275857598E-2</v>
      </c>
      <c r="O68" s="273">
        <f t="shared" si="7"/>
        <v>347.92166666666526</v>
      </c>
      <c r="P68" s="273">
        <f t="shared" ca="1" si="12"/>
        <v>62.265742360847526</v>
      </c>
      <c r="Q68" s="63">
        <f t="shared" ca="1" si="8"/>
        <v>6.3749861527019505</v>
      </c>
      <c r="R68" s="63">
        <f t="shared" ca="1" si="9"/>
        <v>21.254441237156289</v>
      </c>
      <c r="S68" s="63">
        <f t="shared" ca="1" si="10"/>
        <v>0.13549676857028864</v>
      </c>
    </row>
    <row r="69" spans="2:19">
      <c r="B69" s="192">
        <f t="shared" si="4"/>
        <v>49</v>
      </c>
      <c r="C69" s="184">
        <f t="shared" ca="1" si="5"/>
        <v>459814158</v>
      </c>
      <c r="D69" s="195">
        <f t="shared" ca="1" si="21"/>
        <v>0.1287645847500328</v>
      </c>
      <c r="E69" s="184">
        <f t="shared" ca="1" si="22"/>
        <v>18407379</v>
      </c>
      <c r="F69" s="196">
        <f t="shared" ca="1" si="23"/>
        <v>18.407378999999999</v>
      </c>
      <c r="G69" s="197">
        <f ca="1">C69/Summary!C$58</f>
        <v>7.2882256776034243E-2</v>
      </c>
      <c r="H69" s="198">
        <f ca="1">H68+M69*Summary!$C$26/1000000</f>
        <v>2195.199457759762</v>
      </c>
      <c r="I69" s="198">
        <f t="shared" si="6"/>
        <v>17048.161666666678</v>
      </c>
      <c r="J69" s="200">
        <f ca="1">C68*Summary!C$49*Summary!C$62*24*365*1000*C$11</f>
        <v>855903869.59371984</v>
      </c>
      <c r="K69" s="200">
        <f t="shared" ca="1" si="24"/>
        <v>14725903869.593719</v>
      </c>
      <c r="L69" s="184">
        <f t="shared" ca="1" si="3"/>
        <v>18289715</v>
      </c>
      <c r="M69" s="273">
        <f ca="1">C68*Summary!$C$49*Summary!$C$61</f>
        <v>9770.592118649769</v>
      </c>
      <c r="N69" s="272">
        <f ca="1">M69/'Alberta Electricity Profile'!$D$49</f>
        <v>7.4845775864272837E-2</v>
      </c>
      <c r="O69" s="273">
        <f t="shared" si="7"/>
        <v>347.92166666666526</v>
      </c>
      <c r="P69" s="273">
        <f t="shared" ca="1" si="12"/>
        <v>62.287389460090708</v>
      </c>
      <c r="Q69" s="63">
        <f t="shared" ca="1" si="8"/>
        <v>6.3749861527019114</v>
      </c>
      <c r="R69" s="63">
        <f t="shared" ca="1" si="9"/>
        <v>21.254441237156289</v>
      </c>
      <c r="S69" s="63">
        <f t="shared" ca="1" si="10"/>
        <v>0.13549676857028781</v>
      </c>
    </row>
    <row r="70" spans="2:19">
      <c r="B70" s="192">
        <f t="shared" si="4"/>
        <v>50</v>
      </c>
      <c r="C70" s="184">
        <f t="shared" ca="1" si="5"/>
        <v>459889529</v>
      </c>
      <c r="D70" s="195">
        <f t="shared" ca="1" si="21"/>
        <v>0.12977075052209811</v>
      </c>
      <c r="E70" s="184">
        <f t="shared" ca="1" si="22"/>
        <v>18407653</v>
      </c>
      <c r="F70" s="196">
        <f t="shared" ca="1" si="23"/>
        <v>18.407653</v>
      </c>
      <c r="G70" s="197">
        <f ca="1">C70/Summary!C$58</f>
        <v>7.2894203360278964E-2</v>
      </c>
      <c r="H70" s="198">
        <f ca="1">H69+M70*Summary!$C$26/1000000</f>
        <v>2257.5027903116302</v>
      </c>
      <c r="I70" s="198">
        <f t="shared" si="6"/>
        <v>17396.083333333343</v>
      </c>
      <c r="J70" s="200">
        <f ca="1">C69*Summary!C$49*Summary!C$62*24*365*1000*C$11</f>
        <v>856122946.90717852</v>
      </c>
      <c r="K70" s="200">
        <f t="shared" ca="1" si="24"/>
        <v>14726122946.907179</v>
      </c>
      <c r="L70" s="184">
        <f t="shared" ca="1" si="3"/>
        <v>18332282</v>
      </c>
      <c r="M70" s="273">
        <f ca="1">C69*Summary!$C$49*Summary!$C$61</f>
        <v>9773.0930012234985</v>
      </c>
      <c r="N70" s="272">
        <f ca="1">M70/'Alberta Electricity Profile'!$D$49</f>
        <v>7.4864933402966821E-2</v>
      </c>
      <c r="O70" s="273">
        <f t="shared" si="7"/>
        <v>347.92166666666526</v>
      </c>
      <c r="P70" s="273">
        <f t="shared" ca="1" si="12"/>
        <v>62.303332551868152</v>
      </c>
      <c r="Q70" s="63">
        <f t="shared" ca="1" si="8"/>
        <v>6.3749861527019513</v>
      </c>
      <c r="R70" s="63">
        <f t="shared" ca="1" si="9"/>
        <v>21.254441237156293</v>
      </c>
      <c r="S70" s="63">
        <f t="shared" ca="1" si="10"/>
        <v>0.13549676857028867</v>
      </c>
    </row>
    <row r="71" spans="2:19">
      <c r="B71" s="192">
        <f t="shared" si="4"/>
        <v>51</v>
      </c>
      <c r="C71" s="184">
        <f t="shared" ca="1" si="5"/>
        <v>459922411</v>
      </c>
      <c r="D71" s="195">
        <f t="shared" ref="D71:D77" ca="1" si="25">H71/I71</f>
        <v>0.1307380343609259</v>
      </c>
      <c r="E71" s="184">
        <f t="shared" ref="E71:E77" ca="1" si="26">ROUNDDOWN(K71/C$16,0)</f>
        <v>18407829</v>
      </c>
      <c r="F71" s="196">
        <f t="shared" ref="F71:F77" ca="1" si="27">E71*C$18/1000000</f>
        <v>18.407829</v>
      </c>
      <c r="G71" s="197">
        <f ca="1">C71/Summary!C$58</f>
        <v>7.2899415279759072E-2</v>
      </c>
      <c r="H71" s="198">
        <f ca="1">H70+M71*Summary!$C$26/1000000</f>
        <v>2319.816335390442</v>
      </c>
      <c r="I71" s="198">
        <f t="shared" si="6"/>
        <v>17744.005000000008</v>
      </c>
      <c r="J71" s="200">
        <f ca="1">C70*Summary!C$49*Summary!C$62*24*365*1000*C$11</f>
        <v>856263279.34694493</v>
      </c>
      <c r="K71" s="200">
        <f t="shared" ref="K71:K77" ca="1" si="28">C$10+J71</f>
        <v>14726263279.346945</v>
      </c>
      <c r="L71" s="184">
        <f t="shared" ca="1" si="3"/>
        <v>18374947</v>
      </c>
      <c r="M71" s="273">
        <f ca="1">C70*Summary!$C$49*Summary!$C$61</f>
        <v>9774.6949697139826</v>
      </c>
      <c r="N71" s="272">
        <f ca="1">M71/'Alberta Electricity Profile'!$D$49</f>
        <v>7.4877204980075399E-2</v>
      </c>
      <c r="O71" s="273">
        <f t="shared" si="7"/>
        <v>347.92166666666526</v>
      </c>
      <c r="P71" s="273">
        <f t="shared" ca="1" si="12"/>
        <v>62.313545078811785</v>
      </c>
      <c r="Q71" s="63">
        <f t="shared" ca="1" si="8"/>
        <v>6.3749861527019229</v>
      </c>
      <c r="R71" s="63">
        <f t="shared" ca="1" si="9"/>
        <v>21.254441237156286</v>
      </c>
      <c r="S71" s="63">
        <f t="shared" ca="1" si="10"/>
        <v>0.13549676857028808</v>
      </c>
    </row>
    <row r="72" spans="2:19">
      <c r="B72" s="192">
        <f t="shared" si="4"/>
        <v>52</v>
      </c>
      <c r="C72" s="184">
        <f t="shared" ca="1" si="5"/>
        <v>459952954</v>
      </c>
      <c r="D72" s="195">
        <f t="shared" ca="1" si="25"/>
        <v>0.13166836123998568</v>
      </c>
      <c r="E72" s="184">
        <f t="shared" ca="1" si="26"/>
        <v>18407905</v>
      </c>
      <c r="F72" s="196">
        <f t="shared" ca="1" si="27"/>
        <v>18.407905</v>
      </c>
      <c r="G72" s="197">
        <f ca="1">C72/Summary!C$58</f>
        <v>7.2904256459026789E-2</v>
      </c>
      <c r="H72" s="198">
        <f ca="1">H71+M72*Summary!$C$26/1000000</f>
        <v>2382.1343358739978</v>
      </c>
      <c r="I72" s="198">
        <f t="shared" si="6"/>
        <v>18091.926666666674</v>
      </c>
      <c r="J72" s="200">
        <f ca="1">C71*Summary!C$49*Summary!C$62*24*365*1000*C$11</f>
        <v>856324501.9827652</v>
      </c>
      <c r="K72" s="200">
        <f t="shared" ca="1" si="28"/>
        <v>14726324501.982765</v>
      </c>
      <c r="L72" s="184">
        <f t="shared" ca="1" si="3"/>
        <v>18377362</v>
      </c>
      <c r="M72" s="273">
        <f ca="1">C71*Summary!$C$49*Summary!$C$61</f>
        <v>9775.3938582507435</v>
      </c>
      <c r="N72" s="272">
        <f ca="1">M72/'Alberta Electricity Profile'!$D$49</f>
        <v>7.4882558683734432E-2</v>
      </c>
      <c r="O72" s="273">
        <f t="shared" si="7"/>
        <v>347.92166666666526</v>
      </c>
      <c r="P72" s="273">
        <f t="shared" ca="1" si="12"/>
        <v>62.318000483555807</v>
      </c>
      <c r="Q72" s="63">
        <f t="shared" ca="1" si="8"/>
        <v>6.3749861527019123</v>
      </c>
      <c r="R72" s="63">
        <f t="shared" ca="1" si="9"/>
        <v>21.254441237156289</v>
      </c>
      <c r="S72" s="63">
        <f t="shared" ca="1" si="10"/>
        <v>0.13549676857028783</v>
      </c>
    </row>
    <row r="73" spans="2:19">
      <c r="B73" s="192">
        <f t="shared" si="4"/>
        <v>53</v>
      </c>
      <c r="C73" s="184">
        <f t="shared" ca="1" si="5"/>
        <v>459981242</v>
      </c>
      <c r="D73" s="195">
        <f t="shared" ca="1" si="25"/>
        <v>0.13256380587559183</v>
      </c>
      <c r="E73" s="184">
        <f t="shared" ca="1" si="26"/>
        <v>18407976</v>
      </c>
      <c r="F73" s="196">
        <f t="shared" ca="1" si="27"/>
        <v>18.407976000000001</v>
      </c>
      <c r="G73" s="197">
        <f ca="1">C73/Summary!C$58</f>
        <v>7.290874021239499E-2</v>
      </c>
      <c r="H73" s="198">
        <f ca="1">H72+M73*Summary!$C$26/1000000</f>
        <v>2444.4564748353564</v>
      </c>
      <c r="I73" s="198">
        <f t="shared" si="6"/>
        <v>18439.848333333339</v>
      </c>
      <c r="J73" s="200">
        <f ca="1">C72*Summary!C$49*Summary!C$62*24*365*1000*C$11</f>
        <v>856381369.660092</v>
      </c>
      <c r="K73" s="200">
        <f t="shared" ca="1" si="28"/>
        <v>14726381369.660091</v>
      </c>
      <c r="L73" s="184">
        <f t="shared" ca="1" si="3"/>
        <v>18379688</v>
      </c>
      <c r="M73" s="273">
        <f ca="1">C72*Summary!$C$49*Summary!$C$61</f>
        <v>9776.0430326494497</v>
      </c>
      <c r="N73" s="272">
        <f ca="1">M73/'Alberta Electricity Profile'!$D$49</f>
        <v>7.4887531561626822E-2</v>
      </c>
      <c r="O73" s="273">
        <f t="shared" si="7"/>
        <v>347.92166666666526</v>
      </c>
      <c r="P73" s="273">
        <f t="shared" ca="1" si="12"/>
        <v>62.322138961358633</v>
      </c>
      <c r="Q73" s="63">
        <f t="shared" ca="1" si="8"/>
        <v>6.3749861527019513</v>
      </c>
      <c r="R73" s="63">
        <f t="shared" ca="1" si="9"/>
        <v>21.254441237156289</v>
      </c>
      <c r="S73" s="63">
        <f t="shared" ca="1" si="10"/>
        <v>0.13549676857028867</v>
      </c>
    </row>
    <row r="74" spans="2:19">
      <c r="B74" s="192">
        <f t="shared" si="4"/>
        <v>54</v>
      </c>
      <c r="C74" s="184">
        <f t="shared" ca="1" si="5"/>
        <v>460007358</v>
      </c>
      <c r="D74" s="195">
        <f t="shared" ca="1" si="25"/>
        <v>0.13342628990717384</v>
      </c>
      <c r="E74" s="184">
        <f t="shared" ca="1" si="26"/>
        <v>18408042</v>
      </c>
      <c r="F74" s="196">
        <f t="shared" ca="1" si="27"/>
        <v>18.408041999999998</v>
      </c>
      <c r="G74" s="197">
        <f ca="1">C74/Summary!C$58</f>
        <v>7.2912879695672853E-2</v>
      </c>
      <c r="H74" s="198">
        <f ca="1">H73+M74*Summary!$C$26/1000000</f>
        <v>2506.782446729304</v>
      </c>
      <c r="I74" s="198">
        <f t="shared" si="6"/>
        <v>18787.770000000004</v>
      </c>
      <c r="J74" s="200">
        <f ca="1">C73*Summary!C$49*Summary!C$62*24*365*1000*C$11</f>
        <v>856434038.77760565</v>
      </c>
      <c r="K74" s="200">
        <f t="shared" ca="1" si="28"/>
        <v>14726434038.777605</v>
      </c>
      <c r="L74" s="184">
        <f t="shared" ca="1" si="3"/>
        <v>18381926</v>
      </c>
      <c r="M74" s="273">
        <f ca="1">C73*Summary!$C$49*Summary!$C$61</f>
        <v>9776.6442782831673</v>
      </c>
      <c r="N74" s="272">
        <f ca="1">M74/'Alberta Electricity Profile'!$D$49</f>
        <v>7.4892137290265795E-2</v>
      </c>
      <c r="O74" s="273">
        <f t="shared" si="7"/>
        <v>347.92166666666526</v>
      </c>
      <c r="P74" s="273">
        <f t="shared" ca="1" si="12"/>
        <v>62.325971893947553</v>
      </c>
      <c r="Q74" s="63">
        <f t="shared" ca="1" si="8"/>
        <v>6.3749861527019105</v>
      </c>
      <c r="R74" s="63">
        <f t="shared" ca="1" si="9"/>
        <v>21.254441237156289</v>
      </c>
      <c r="S74" s="63">
        <f t="shared" ca="1" si="10"/>
        <v>0.13549676857028781</v>
      </c>
    </row>
    <row r="75" spans="2:19">
      <c r="B75" s="192">
        <f t="shared" si="4"/>
        <v>55</v>
      </c>
      <c r="C75" s="184">
        <f t="shared" ca="1" si="5"/>
        <v>460031387</v>
      </c>
      <c r="D75" s="195">
        <f t="shared" ca="1" si="25"/>
        <v>0.13425759580627611</v>
      </c>
      <c r="E75" s="184">
        <f t="shared" ca="1" si="26"/>
        <v>18408103</v>
      </c>
      <c r="F75" s="196">
        <f t="shared" ca="1" si="27"/>
        <v>18.408103000000001</v>
      </c>
      <c r="G75" s="197">
        <f ca="1">C75/Summary!C$58</f>
        <v>7.2916688381676975E-2</v>
      </c>
      <c r="H75" s="198">
        <f ca="1">H74+M75*Summary!$C$26/1000000</f>
        <v>2569.1119572568596</v>
      </c>
      <c r="I75" s="198">
        <f t="shared" si="6"/>
        <v>19135.691666666669</v>
      </c>
      <c r="J75" s="200">
        <f ca="1">C74*Summary!C$49*Summary!C$62*24*365*1000*C$11</f>
        <v>856482663.87209725</v>
      </c>
      <c r="K75" s="200">
        <f t="shared" ca="1" si="28"/>
        <v>14726482663.872097</v>
      </c>
      <c r="L75" s="184">
        <f t="shared" ca="1" si="3"/>
        <v>18384074</v>
      </c>
      <c r="M75" s="273">
        <f ca="1">C74*Summary!$C$49*Summary!$C$61</f>
        <v>9777.1993592705148</v>
      </c>
      <c r="N75" s="272">
        <f ca="1">M75/'Alberta Electricity Profile'!$D$49</f>
        <v>7.4896389383348902E-2</v>
      </c>
      <c r="O75" s="273">
        <f t="shared" si="7"/>
        <v>347.92166666666526</v>
      </c>
      <c r="P75" s="273">
        <f t="shared" ca="1" si="12"/>
        <v>62.329510527555612</v>
      </c>
      <c r="Q75" s="63">
        <f t="shared" ca="1" si="8"/>
        <v>6.3749861527019194</v>
      </c>
      <c r="R75" s="63">
        <f t="shared" ca="1" si="9"/>
        <v>21.254441237156289</v>
      </c>
      <c r="S75" s="63">
        <f t="shared" ca="1" si="10"/>
        <v>0.13549676857028797</v>
      </c>
    </row>
    <row r="76" spans="2:19">
      <c r="B76" s="192">
        <f t="shared" si="4"/>
        <v>56</v>
      </c>
      <c r="C76" s="184">
        <f t="shared" ca="1" si="5"/>
        <v>460053413</v>
      </c>
      <c r="D76" s="195">
        <f t="shared" ca="1" si="25"/>
        <v>0.13505937931617065</v>
      </c>
      <c r="E76" s="184">
        <f t="shared" ca="1" si="26"/>
        <v>18408159</v>
      </c>
      <c r="F76" s="196">
        <f t="shared" ca="1" si="27"/>
        <v>18.408159000000001</v>
      </c>
      <c r="G76" s="197">
        <f ca="1">C76/Summary!C$58</f>
        <v>7.2920179584720246E-2</v>
      </c>
      <c r="H76" s="198">
        <f ca="1">H75+M76*Summary!$C$26/1000000</f>
        <v>2631.4447236362671</v>
      </c>
      <c r="I76" s="198">
        <f t="shared" si="6"/>
        <v>19483.613333333335</v>
      </c>
      <c r="J76" s="200">
        <f ca="1">C75*Summary!C$49*Summary!C$62*24*365*1000*C$11</f>
        <v>856527403.20413697</v>
      </c>
      <c r="K76" s="200">
        <f t="shared" ca="1" si="28"/>
        <v>14726527403.204138</v>
      </c>
      <c r="L76" s="184">
        <f t="shared" ca="1" si="3"/>
        <v>18386133</v>
      </c>
      <c r="M76" s="273">
        <f ca="1">C75*Summary!$C$49*Summary!$C$61</f>
        <v>9777.7100822390039</v>
      </c>
      <c r="N76" s="272">
        <f ca="1">M76/'Alberta Electricity Profile'!$D$49</f>
        <v>7.490030168020502E-2</v>
      </c>
      <c r="O76" s="273">
        <f t="shared" si="7"/>
        <v>347.92166666666526</v>
      </c>
      <c r="P76" s="273">
        <f t="shared" ca="1" si="12"/>
        <v>62.332766379407531</v>
      </c>
      <c r="Q76" s="63">
        <f t="shared" ca="1" si="8"/>
        <v>6.3749861527019132</v>
      </c>
      <c r="R76" s="63">
        <f t="shared" ca="1" si="9"/>
        <v>21.254441237156289</v>
      </c>
      <c r="S76" s="63">
        <f t="shared" ca="1" si="10"/>
        <v>0.13549676857028783</v>
      </c>
    </row>
    <row r="77" spans="2:19">
      <c r="B77" s="192">
        <f t="shared" si="4"/>
        <v>57</v>
      </c>
      <c r="C77" s="184">
        <f t="shared" ca="1" si="5"/>
        <v>460073521</v>
      </c>
      <c r="D77" s="195">
        <f t="shared" ca="1" si="25"/>
        <v>0.13583318056153998</v>
      </c>
      <c r="E77" s="184">
        <f t="shared" ca="1" si="26"/>
        <v>18408210</v>
      </c>
      <c r="F77" s="196">
        <f t="shared" ca="1" si="27"/>
        <v>18.40821</v>
      </c>
      <c r="G77" s="197">
        <f ca="1">C77/Summary!C$58</f>
        <v>7.2923366777619278E-2</v>
      </c>
      <c r="H77" s="198">
        <f ca="1">H76+M77*Summary!$C$26/1000000</f>
        <v>2693.7804744674995</v>
      </c>
      <c r="I77" s="198">
        <f t="shared" si="6"/>
        <v>19831.535</v>
      </c>
      <c r="J77" s="200">
        <f ca="1">C76*Summary!C$49*Summary!C$62*24*365*1000*C$11</f>
        <v>856568413.17240429</v>
      </c>
      <c r="K77" s="200">
        <f t="shared" ca="1" si="28"/>
        <v>14726568413.172405</v>
      </c>
      <c r="L77" s="184">
        <f t="shared" ca="1" si="3"/>
        <v>18388102</v>
      </c>
      <c r="M77" s="273">
        <f ca="1">C76*Summary!$C$49*Summary!$C$61</f>
        <v>9778.1782325616932</v>
      </c>
      <c r="N77" s="272">
        <f ca="1">M77/'Alberta Electricity Profile'!$D$49</f>
        <v>7.4903887857347334E-2</v>
      </c>
      <c r="O77" s="273">
        <f t="shared" si="7"/>
        <v>347.92166666666526</v>
      </c>
      <c r="P77" s="273">
        <f t="shared" ca="1" si="12"/>
        <v>62.335750831232417</v>
      </c>
      <c r="Q77" s="63">
        <f t="shared" ca="1" si="8"/>
        <v>6.3749861527019496</v>
      </c>
      <c r="R77" s="63">
        <f t="shared" ca="1" si="9"/>
        <v>21.254441237156289</v>
      </c>
      <c r="S77" s="63">
        <f t="shared" ca="1" si="10"/>
        <v>0.13549676857028864</v>
      </c>
    </row>
    <row r="78" spans="2:19">
      <c r="B78" s="192">
        <f t="shared" si="4"/>
        <v>58</v>
      </c>
      <c r="C78" s="184">
        <f t="shared" ca="1" si="5"/>
        <v>460091798</v>
      </c>
      <c r="D78" s="195">
        <f t="shared" ref="D78:D86" ca="1" si="29">H78/I78</f>
        <v>0.13658043402231118</v>
      </c>
      <c r="E78" s="184">
        <f t="shared" ref="E78:E86" ca="1" si="30">ROUNDDOWN(K78/C$16,0)</f>
        <v>18408257</v>
      </c>
      <c r="F78" s="196">
        <f t="shared" ref="F78:F86" ca="1" si="31">E78*C$18/1000000</f>
        <v>18.408256999999999</v>
      </c>
      <c r="G78" s="197">
        <f ca="1">C78/Summary!C$58</f>
        <v>7.2926263750198131E-2</v>
      </c>
      <c r="H78" s="198">
        <f ca="1">H77+M78*Summary!$C$26/1000000</f>
        <v>2756.1189498677541</v>
      </c>
      <c r="I78" s="198">
        <f t="shared" si="6"/>
        <v>20179.456666666665</v>
      </c>
      <c r="J78" s="200">
        <f ca="1">C77*Summary!C$49*Summary!C$62*24*365*1000*C$11</f>
        <v>856605852.03746951</v>
      </c>
      <c r="K78" s="200">
        <f t="shared" ref="K78:K86" ca="1" si="32">C$10+J78</f>
        <v>14726605852.03747</v>
      </c>
      <c r="L78" s="184">
        <f t="shared" ca="1" si="3"/>
        <v>18389980</v>
      </c>
      <c r="M78" s="273">
        <f ca="1">C77*Summary!$C$49*Summary!$C$61</f>
        <v>9778.6056168660889</v>
      </c>
      <c r="N78" s="272">
        <f ca="1">M78/'Alberta Electricity Profile'!$D$49</f>
        <v>7.4907161754104695E-2</v>
      </c>
      <c r="O78" s="273">
        <f t="shared" si="7"/>
        <v>347.92166666666526</v>
      </c>
      <c r="P78" s="273">
        <f t="shared" ca="1" si="12"/>
        <v>62.338475400254538</v>
      </c>
      <c r="Q78" s="63">
        <f t="shared" ca="1" si="8"/>
        <v>6.3749861527019203</v>
      </c>
      <c r="R78" s="63">
        <f t="shared" ca="1" si="9"/>
        <v>21.254441237156286</v>
      </c>
      <c r="S78" s="63">
        <f t="shared" ca="1" si="10"/>
        <v>0.135496768570288</v>
      </c>
    </row>
    <row r="79" spans="2:19">
      <c r="B79" s="192">
        <f t="shared" si="4"/>
        <v>59</v>
      </c>
      <c r="C79" s="184">
        <f t="shared" ca="1" si="5"/>
        <v>460108329</v>
      </c>
      <c r="D79" s="195">
        <f t="shared" ca="1" si="29"/>
        <v>0.13730247749980323</v>
      </c>
      <c r="E79" s="184">
        <f t="shared" ca="1" si="30"/>
        <v>18408299</v>
      </c>
      <c r="F79" s="196">
        <f t="shared" ca="1" si="31"/>
        <v>18.408299</v>
      </c>
      <c r="G79" s="197">
        <f ca="1">C79/Summary!C$58</f>
        <v>7.2928883975273417E-2</v>
      </c>
      <c r="H79" s="198">
        <f ca="1">H78+M79*Summary!$C$26/1000000</f>
        <v>2818.459901742448</v>
      </c>
      <c r="I79" s="198">
        <f t="shared" si="6"/>
        <v>20527.37833333333</v>
      </c>
      <c r="J79" s="200">
        <f ca="1">C78*Summary!C$49*Summary!C$62*24*365*1000*C$11</f>
        <v>856639881.78367996</v>
      </c>
      <c r="K79" s="200">
        <f t="shared" ca="1" si="32"/>
        <v>14726639881.78368</v>
      </c>
      <c r="L79" s="184">
        <f t="shared" ca="1" si="3"/>
        <v>18391768</v>
      </c>
      <c r="M79" s="273">
        <f ca="1">C78*Summary!$C$49*Summary!$C$61</f>
        <v>9778.9940842885808</v>
      </c>
      <c r="N79" s="272">
        <f ca="1">M79/'Alberta Electricity Profile'!$D$49</f>
        <v>7.4910137535437224E-2</v>
      </c>
      <c r="O79" s="273">
        <f t="shared" si="7"/>
        <v>347.92166666666526</v>
      </c>
      <c r="P79" s="273">
        <f t="shared" ca="1" si="12"/>
        <v>62.340951874693928</v>
      </c>
      <c r="Q79" s="63">
        <f t="shared" ca="1" si="8"/>
        <v>6.3749861527019442</v>
      </c>
      <c r="R79" s="63">
        <f t="shared" ca="1" si="9"/>
        <v>21.254441237156286</v>
      </c>
      <c r="S79" s="63">
        <f t="shared" ca="1" si="10"/>
        <v>0.1354967685702885</v>
      </c>
    </row>
    <row r="80" spans="2:19">
      <c r="B80" s="192">
        <f t="shared" si="4"/>
        <v>60</v>
      </c>
      <c r="C80" s="184">
        <f t="shared" ca="1" si="5"/>
        <v>460123203</v>
      </c>
      <c r="D80" s="195">
        <f t="shared" ca="1" si="29"/>
        <v>0.13800056016029583</v>
      </c>
      <c r="E80" s="184">
        <f t="shared" ca="1" si="30"/>
        <v>18408338</v>
      </c>
      <c r="F80" s="196">
        <f t="shared" ca="1" si="31"/>
        <v>18.408338000000001</v>
      </c>
      <c r="G80" s="197">
        <f ca="1">C80/Summary!C$58</f>
        <v>7.2931241559676646E-2</v>
      </c>
      <c r="H80" s="198">
        <f ca="1">H79+M80*Summary!$C$26/1000000</f>
        <v>2880.8030935142228</v>
      </c>
      <c r="I80" s="198">
        <f t="shared" si="6"/>
        <v>20875.299999999996</v>
      </c>
      <c r="J80" s="200">
        <f ca="1">C79*Summary!C$49*Summary!C$62*24*365*1000*C$11</f>
        <v>856670660.67160463</v>
      </c>
      <c r="K80" s="200">
        <f t="shared" ca="1" si="32"/>
        <v>14726670660.671604</v>
      </c>
      <c r="L80" s="184">
        <f t="shared" ca="1" si="3"/>
        <v>18393464</v>
      </c>
      <c r="M80" s="273">
        <f ca="1">C79*Summary!$C$49*Summary!$C$61</f>
        <v>9779.3454414566731</v>
      </c>
      <c r="N80" s="272">
        <f ca="1">M80/'Alberta Electricity Profile'!$D$49</f>
        <v>7.4912829040673742E-2</v>
      </c>
      <c r="O80" s="273">
        <f t="shared" si="7"/>
        <v>347.92166666666526</v>
      </c>
      <c r="P80" s="273">
        <f t="shared" ca="1" si="12"/>
        <v>62.343191771774855</v>
      </c>
      <c r="Q80" s="63">
        <f t="shared" ca="1" si="8"/>
        <v>6.3749861527019123</v>
      </c>
      <c r="R80" s="63">
        <f t="shared" ca="1" si="9"/>
        <v>21.254441237156289</v>
      </c>
      <c r="S80" s="63">
        <f t="shared" ca="1" si="10"/>
        <v>0.13549676857028783</v>
      </c>
    </row>
    <row r="81" spans="2:19">
      <c r="B81" s="192">
        <f t="shared" si="4"/>
        <v>61</v>
      </c>
      <c r="C81" s="184">
        <f t="shared" ca="1" si="5"/>
        <v>460136507</v>
      </c>
      <c r="D81" s="195">
        <f t="shared" ca="1" si="29"/>
        <v>0.13867584982573417</v>
      </c>
      <c r="E81" s="184">
        <f t="shared" ca="1" si="30"/>
        <v>18408372</v>
      </c>
      <c r="F81" s="196">
        <f t="shared" ca="1" si="31"/>
        <v>18.408372</v>
      </c>
      <c r="G81" s="197">
        <f ca="1">C81/Summary!C$58</f>
        <v>7.2933350293231891E-2</v>
      </c>
      <c r="H81" s="198">
        <f ca="1">H80+M81*Summary!$C$26/1000000</f>
        <v>2943.1483006649337</v>
      </c>
      <c r="I81" s="198">
        <f t="shared" si="6"/>
        <v>21223.221666666661</v>
      </c>
      <c r="J81" s="200">
        <f ca="1">C80*Summary!C$49*Summary!C$62*24*365*1000*C$11</f>
        <v>856698354.40936971</v>
      </c>
      <c r="K81" s="200">
        <f t="shared" ca="1" si="32"/>
        <v>14726698354.40937</v>
      </c>
      <c r="L81" s="184">
        <f t="shared" ca="1" si="3"/>
        <v>18395068</v>
      </c>
      <c r="M81" s="273">
        <f ca="1">C80*Summary!$C$49*Summary!$C$61</f>
        <v>9779.6615800156342</v>
      </c>
      <c r="N81" s="272">
        <f ca="1">M81/'Alberta Electricity Profile'!$D$49</f>
        <v>7.4915250760405644E-2</v>
      </c>
      <c r="O81" s="273">
        <f t="shared" si="7"/>
        <v>347.92166666666526</v>
      </c>
      <c r="P81" s="273">
        <f t="shared" ca="1" si="12"/>
        <v>62.345207150710849</v>
      </c>
      <c r="Q81" s="63">
        <f t="shared" ca="1" si="8"/>
        <v>6.3749861527019407</v>
      </c>
      <c r="R81" s="63">
        <f t="shared" ca="1" si="9"/>
        <v>21.254441237156289</v>
      </c>
      <c r="S81" s="63">
        <f t="shared" ca="1" si="10"/>
        <v>0.13549676857028845</v>
      </c>
    </row>
    <row r="82" spans="2:19">
      <c r="B82" s="192">
        <f t="shared" si="4"/>
        <v>62</v>
      </c>
      <c r="C82" s="184">
        <f t="shared" ca="1" si="5"/>
        <v>460148329</v>
      </c>
      <c r="D82" s="195">
        <f t="shared" ca="1" si="29"/>
        <v>0.13932943952119309</v>
      </c>
      <c r="E82" s="184">
        <f t="shared" ca="1" si="30"/>
        <v>18408403</v>
      </c>
      <c r="F82" s="196">
        <f t="shared" ca="1" si="31"/>
        <v>18.408403</v>
      </c>
      <c r="G82" s="197">
        <f ca="1">C82/Summary!C$58</f>
        <v>7.2935224124266923E-2</v>
      </c>
      <c r="H82" s="198">
        <f ca="1">H81+M82*Summary!$C$26/1000000</f>
        <v>3005.4953104646534</v>
      </c>
      <c r="I82" s="198">
        <f t="shared" si="6"/>
        <v>21571.143333333326</v>
      </c>
      <c r="J82" s="200">
        <f ca="1">C81*Summary!C$49*Summary!C$62*24*365*1000*C$11</f>
        <v>856723124.98132253</v>
      </c>
      <c r="K82" s="200">
        <f t="shared" ca="1" si="32"/>
        <v>14726723124.981323</v>
      </c>
      <c r="L82" s="184">
        <f t="shared" ca="1" si="3"/>
        <v>18396581</v>
      </c>
      <c r="M82" s="273">
        <f ca="1">C81*Summary!$C$49*Summary!$C$61</f>
        <v>9779.9443491018537</v>
      </c>
      <c r="N82" s="272">
        <f ca="1">M82/'Alberta Electricity Profile'!$D$49</f>
        <v>7.4917416859593036E-2</v>
      </c>
      <c r="O82" s="273">
        <f t="shared" si="7"/>
        <v>347.92166666666526</v>
      </c>
      <c r="P82" s="273">
        <f t="shared" ca="1" si="12"/>
        <v>62.347009799719672</v>
      </c>
      <c r="Q82" s="63">
        <f t="shared" ca="1" si="8"/>
        <v>6.3749861527019158</v>
      </c>
      <c r="R82" s="63">
        <f t="shared" ca="1" si="9"/>
        <v>21.254441237156289</v>
      </c>
      <c r="S82" s="63">
        <f t="shared" ca="1" si="10"/>
        <v>0.13549676857028792</v>
      </c>
    </row>
    <row r="83" spans="2:19">
      <c r="B83" s="192">
        <f t="shared" si="4"/>
        <v>63</v>
      </c>
      <c r="C83" s="184">
        <f t="shared" ca="1" si="5"/>
        <v>460158760</v>
      </c>
      <c r="D83" s="195">
        <f t="shared" ca="1" si="29"/>
        <v>0.13996235341731833</v>
      </c>
      <c r="E83" s="184">
        <f t="shared" ca="1" si="30"/>
        <v>18408431</v>
      </c>
      <c r="F83" s="196">
        <f t="shared" ca="1" si="31"/>
        <v>18.408431</v>
      </c>
      <c r="G83" s="197">
        <f ca="1">C83/Summary!C$58</f>
        <v>7.2936877476620698E-2</v>
      </c>
      <c r="H83" s="198">
        <f ca="1">H82+M83*Summary!$C$26/1000000</f>
        <v>3067.8439221071712</v>
      </c>
      <c r="I83" s="198">
        <f t="shared" si="6"/>
        <v>21919.064999999991</v>
      </c>
      <c r="J83" s="200">
        <f ca="1">C82*Summary!C$49*Summary!C$62*24*365*1000*C$11</f>
        <v>856745136.23369956</v>
      </c>
      <c r="K83" s="200">
        <f t="shared" ca="1" si="32"/>
        <v>14726745136.2337</v>
      </c>
      <c r="L83" s="184">
        <f t="shared" ca="1" si="3"/>
        <v>18398000</v>
      </c>
      <c r="M83" s="273">
        <f ca="1">C82*Summary!$C$49*Summary!$C$61</f>
        <v>9780.1956191061581</v>
      </c>
      <c r="N83" s="272">
        <f ca="1">M83/'Alberta Electricity Profile'!$D$49</f>
        <v>7.4919341666011649E-2</v>
      </c>
      <c r="O83" s="273">
        <f t="shared" si="7"/>
        <v>347.92166666666526</v>
      </c>
      <c r="P83" s="273">
        <f t="shared" ca="1" si="12"/>
        <v>62.348611642517881</v>
      </c>
      <c r="Q83" s="63">
        <f t="shared" ca="1" si="8"/>
        <v>6.3749861527019345</v>
      </c>
      <c r="R83" s="63">
        <f t="shared" ca="1" si="9"/>
        <v>21.254441237156286</v>
      </c>
      <c r="S83" s="63">
        <f t="shared" ca="1" si="10"/>
        <v>0.13549676857028831</v>
      </c>
    </row>
    <row r="84" spans="2:19">
      <c r="B84" s="192">
        <f t="shared" si="4"/>
        <v>64</v>
      </c>
      <c r="C84" s="184">
        <f t="shared" ca="1" si="5"/>
        <v>460167888</v>
      </c>
      <c r="D84" s="195">
        <f t="shared" ca="1" si="29"/>
        <v>0.14057555222783399</v>
      </c>
      <c r="E84" s="184">
        <f t="shared" ca="1" si="30"/>
        <v>18408455</v>
      </c>
      <c r="F84" s="196">
        <f t="shared" ca="1" si="31"/>
        <v>18.408455</v>
      </c>
      <c r="G84" s="197">
        <f ca="1">C84/Summary!C$58</f>
        <v>7.2938324298621016E-2</v>
      </c>
      <c r="H84" s="198">
        <f ca="1">H83+M84*Summary!$C$26/1000000</f>
        <v>3130.1939471164819</v>
      </c>
      <c r="I84" s="198">
        <f t="shared" si="6"/>
        <v>22266.986666666657</v>
      </c>
      <c r="J84" s="200">
        <f ca="1">C83*Summary!C$49*Summary!C$62*24*365*1000*C$11</f>
        <v>856764557.59840488</v>
      </c>
      <c r="K84" s="200">
        <f t="shared" ca="1" si="32"/>
        <v>14726764557.598404</v>
      </c>
      <c r="L84" s="184">
        <f t="shared" ca="1" si="3"/>
        <v>18399327</v>
      </c>
      <c r="M84" s="273">
        <f ca="1">C83*Summary!$C$49*Summary!$C$61</f>
        <v>9780.4173241827029</v>
      </c>
      <c r="N84" s="272">
        <f ca="1">M84/'Alberta Electricity Profile'!$D$49</f>
        <v>7.4921039995884134E-2</v>
      </c>
      <c r="O84" s="273">
        <f t="shared" si="7"/>
        <v>347.92166666666526</v>
      </c>
      <c r="P84" s="273">
        <f t="shared" ca="1" si="12"/>
        <v>62.350025009310684</v>
      </c>
      <c r="Q84" s="63">
        <f t="shared" ca="1" si="8"/>
        <v>6.3749861527019185</v>
      </c>
      <c r="R84" s="63">
        <f t="shared" ca="1" si="9"/>
        <v>21.254441237156286</v>
      </c>
      <c r="S84" s="63">
        <f t="shared" ca="1" si="10"/>
        <v>0.13549676857028797</v>
      </c>
    </row>
    <row r="85" spans="2:19">
      <c r="B85" s="192">
        <f t="shared" si="4"/>
        <v>65</v>
      </c>
      <c r="C85" s="184">
        <f t="shared" ca="1" si="5"/>
        <v>460175804</v>
      </c>
      <c r="D85" s="195">
        <f t="shared" ca="1" si="29"/>
        <v>0.14116993807286998</v>
      </c>
      <c r="E85" s="184">
        <f t="shared" ca="1" si="30"/>
        <v>18408476</v>
      </c>
      <c r="F85" s="196">
        <f t="shared" ca="1" si="31"/>
        <v>18.408476</v>
      </c>
      <c r="G85" s="197">
        <f ca="1">C85/Summary!C$58</f>
        <v>7.2939579014106831E-2</v>
      </c>
      <c r="H85" s="198">
        <f ca="1">H84+M85*Summary!$C$26/1000000</f>
        <v>3192.5452089402961</v>
      </c>
      <c r="I85" s="198">
        <f t="shared" si="6"/>
        <v>22614.908333333322</v>
      </c>
      <c r="J85" s="200">
        <f ca="1">C84*Summary!C$49*Summary!C$62*24*365*1000*C$11</f>
        <v>856781552.92167497</v>
      </c>
      <c r="K85" s="200">
        <f t="shared" ca="1" si="32"/>
        <v>14726781552.921675</v>
      </c>
      <c r="L85" s="184">
        <f t="shared" ca="1" si="3"/>
        <v>18400560</v>
      </c>
      <c r="M85" s="273">
        <f ca="1">C84*Summary!$C$49*Summary!$C$61</f>
        <v>9780.6113347223163</v>
      </c>
      <c r="N85" s="272">
        <f ca="1">M85/'Alberta Electricity Profile'!$D$49</f>
        <v>7.4922526176986248E-2</v>
      </c>
      <c r="O85" s="273">
        <f t="shared" si="7"/>
        <v>347.92166666666526</v>
      </c>
      <c r="P85" s="273">
        <f t="shared" ca="1" si="12"/>
        <v>62.351261823814184</v>
      </c>
      <c r="Q85" s="63">
        <f t="shared" ca="1" si="8"/>
        <v>6.3749861527019167</v>
      </c>
      <c r="R85" s="63">
        <f t="shared" ca="1" si="9"/>
        <v>21.254441237156289</v>
      </c>
      <c r="S85" s="63">
        <f t="shared" ca="1" si="10"/>
        <v>0.13549676857028795</v>
      </c>
    </row>
    <row r="86" spans="2:19">
      <c r="B86" s="192">
        <f t="shared" si="4"/>
        <v>66</v>
      </c>
      <c r="C86" s="184">
        <f t="shared" ca="1" si="5"/>
        <v>460182599</v>
      </c>
      <c r="D86" s="195">
        <f t="shared" ca="1" si="29"/>
        <v>0.1417463589355725</v>
      </c>
      <c r="E86" s="184">
        <f t="shared" ca="1" si="30"/>
        <v>18408495</v>
      </c>
      <c r="F86" s="196">
        <f t="shared" ca="1" si="31"/>
        <v>18.408494999999998</v>
      </c>
      <c r="G86" s="197">
        <f ca="1">C86/Summary!C$58</f>
        <v>7.2940656046917102E-2</v>
      </c>
      <c r="H86" s="198">
        <f ca="1">H85+M86*Summary!$C$26/1000000</f>
        <v>3254.8975433565306</v>
      </c>
      <c r="I86" s="198">
        <f t="shared" si="6"/>
        <v>22962.829999999987</v>
      </c>
      <c r="J86" s="200">
        <f ca="1">C85*Summary!C$49*Summary!C$62*24*365*1000*C$11</f>
        <v>856796291.63541353</v>
      </c>
      <c r="K86" s="200">
        <f t="shared" ca="1" si="32"/>
        <v>14726796291.635414</v>
      </c>
      <c r="L86" s="184">
        <f t="shared" ref="L86:L120" ca="1" si="33">ROUNDUP(IF(B86&gt;$C$7,OFFSET(E86,-1*$C$7,0),0),0)</f>
        <v>18401700</v>
      </c>
      <c r="M86" s="273">
        <f ca="1">C85*Summary!$C$49*Summary!$C$61</f>
        <v>9780.7795848791502</v>
      </c>
      <c r="N86" s="272">
        <f ca="1">M86/'Alberta Electricity Profile'!$D$49</f>
        <v>7.492381502554063E-2</v>
      </c>
      <c r="O86" s="273">
        <f t="shared" si="7"/>
        <v>347.92166666666526</v>
      </c>
      <c r="P86" s="273">
        <f t="shared" ca="1" si="12"/>
        <v>62.352334416234498</v>
      </c>
      <c r="Q86" s="63">
        <f t="shared" ca="1" si="8"/>
        <v>6.3749861527019496</v>
      </c>
      <c r="R86" s="63">
        <f t="shared" ca="1" si="9"/>
        <v>21.254441237156289</v>
      </c>
      <c r="S86" s="63">
        <f t="shared" ca="1" si="10"/>
        <v>0.13549676857028861</v>
      </c>
    </row>
    <row r="87" spans="2:19">
      <c r="B87" s="192">
        <f t="shared" ref="B87:B120" si="34">B86+1</f>
        <v>67</v>
      </c>
      <c r="C87" s="184">
        <f t="shared" ref="C87:C120" ca="1" si="35">C86+E87-L87</f>
        <v>460188365</v>
      </c>
      <c r="D87" s="195">
        <f t="shared" ref="D87:D100" ca="1" si="36">H87/I87</f>
        <v>0.14230561270217768</v>
      </c>
      <c r="E87" s="184">
        <f t="shared" ref="E87:E100" ca="1" si="37">ROUNDDOWN(K87/C$16,0)</f>
        <v>18408511</v>
      </c>
      <c r="F87" s="196">
        <f t="shared" ref="F87:F100" ca="1" si="38">E87*C$18/1000000</f>
        <v>18.408511000000001</v>
      </c>
      <c r="G87" s="197">
        <f ca="1">C87/Summary!C$58</f>
        <v>7.2941569979394522E-2</v>
      </c>
      <c r="H87" s="198">
        <f ca="1">H86+M87*Summary!$C$26/1000000</f>
        <v>3317.2507984733074</v>
      </c>
      <c r="I87" s="198">
        <f t="shared" ref="I87:I120" si="39">I86+I$21</f>
        <v>23310.751666666652</v>
      </c>
      <c r="J87" s="200">
        <f ca="1">C86*Summary!C$49*Summary!C$62*24*365*1000*C$11</f>
        <v>856808943.17152452</v>
      </c>
      <c r="K87" s="200">
        <f t="shared" ref="K87:K100" ca="1" si="40">C$10+J87</f>
        <v>14726808943.171524</v>
      </c>
      <c r="L87" s="184">
        <f t="shared" ca="1" si="33"/>
        <v>18402745</v>
      </c>
      <c r="M87" s="273">
        <f ca="1">C86*Summary!$C$49*Summary!$C$61</f>
        <v>9780.9240088073566</v>
      </c>
      <c r="N87" s="272">
        <f ca="1">M87/'Alberta Electricity Profile'!$D$49</f>
        <v>7.4924921357769902E-2</v>
      </c>
      <c r="O87" s="273">
        <f t="shared" ref="O87:O120" si="41">I87-I86</f>
        <v>347.92166666666526</v>
      </c>
      <c r="P87" s="273">
        <f t="shared" ref="P87:P120" ca="1" si="42">H87-H86</f>
        <v>62.353255116776836</v>
      </c>
      <c r="Q87" s="63">
        <f t="shared" ref="Q87:Q120" ca="1" si="43">P87/M87*1000</f>
        <v>6.3749861527019389</v>
      </c>
      <c r="R87" s="63">
        <f t="shared" ref="R87:R120" ca="1" si="44">M87*10^6/C86</f>
        <v>21.254441237156289</v>
      </c>
      <c r="S87" s="63">
        <f t="shared" ref="S87:S120" ca="1" si="45">P87/C86*1000000</f>
        <v>0.13549676857028839</v>
      </c>
    </row>
    <row r="88" spans="2:19">
      <c r="B88" s="192">
        <f t="shared" si="34"/>
        <v>68</v>
      </c>
      <c r="C88" s="184">
        <f t="shared" ca="1" si="35"/>
        <v>460193194</v>
      </c>
      <c r="D88" s="195">
        <f t="shared" ca="1" si="36"/>
        <v>0.14284845085133488</v>
      </c>
      <c r="E88" s="184">
        <f t="shared" ca="1" si="37"/>
        <v>18408524</v>
      </c>
      <c r="F88" s="196">
        <f t="shared" ca="1" si="38"/>
        <v>18.408524</v>
      </c>
      <c r="G88" s="197">
        <f ca="1">C88/Summary!C$58</f>
        <v>7.2942335393881758E-2</v>
      </c>
      <c r="H88" s="198">
        <f ca="1">H87+M88*Summary!$C$26/1000000</f>
        <v>3379.6048348644517</v>
      </c>
      <c r="I88" s="198">
        <f t="shared" si="39"/>
        <v>23658.673333333318</v>
      </c>
      <c r="J88" s="200">
        <f ca="1">C87*Summary!C$49*Summary!C$62*24*365*1000*C$11</f>
        <v>856819678.82380044</v>
      </c>
      <c r="K88" s="200">
        <f t="shared" ca="1" si="40"/>
        <v>14726819678.823801</v>
      </c>
      <c r="L88" s="184">
        <f t="shared" ca="1" si="33"/>
        <v>18403695</v>
      </c>
      <c r="M88" s="273">
        <f ca="1">C87*Summary!$C$49*Summary!$C$61</f>
        <v>9781.0465619155293</v>
      </c>
      <c r="N88" s="272">
        <f ca="1">M88/'Alberta Electricity Profile'!$D$49</f>
        <v>7.4925860152712354E-2</v>
      </c>
      <c r="O88" s="273">
        <f t="shared" si="41"/>
        <v>347.92166666666526</v>
      </c>
      <c r="P88" s="273">
        <f t="shared" ca="1" si="42"/>
        <v>62.354036391144291</v>
      </c>
      <c r="Q88" s="63">
        <f t="shared" ca="1" si="43"/>
        <v>6.3749861527019265</v>
      </c>
      <c r="R88" s="63">
        <f t="shared" ca="1" si="44"/>
        <v>21.254441237156289</v>
      </c>
      <c r="S88" s="63">
        <f t="shared" ca="1" si="45"/>
        <v>0.13549676857028814</v>
      </c>
    </row>
    <row r="89" spans="2:19">
      <c r="B89" s="192">
        <f t="shared" si="34"/>
        <v>69</v>
      </c>
      <c r="C89" s="184">
        <f t="shared" ca="1" si="35"/>
        <v>460197179</v>
      </c>
      <c r="D89" s="195">
        <f t="shared" ca="1" si="36"/>
        <v>0.14337558181697546</v>
      </c>
      <c r="E89" s="184">
        <f t="shared" ca="1" si="37"/>
        <v>18408535</v>
      </c>
      <c r="F89" s="196">
        <f t="shared" ca="1" si="38"/>
        <v>18.408535000000001</v>
      </c>
      <c r="G89" s="197">
        <f ca="1">C89/Summary!C$58</f>
        <v>7.2942967031225228E-2</v>
      </c>
      <c r="H89" s="198">
        <f ca="1">H88+M89*Summary!$C$26/1000000</f>
        <v>3441.9595255694917</v>
      </c>
      <c r="I89" s="198">
        <f t="shared" si="39"/>
        <v>24006.594999999983</v>
      </c>
      <c r="J89" s="200">
        <f ca="1">C88*Summary!C$49*Summary!C$62*24*365*1000*C$11</f>
        <v>856828669.88603461</v>
      </c>
      <c r="K89" s="200">
        <f t="shared" ca="1" si="40"/>
        <v>14726828669.886034</v>
      </c>
      <c r="L89" s="184">
        <f t="shared" ca="1" si="33"/>
        <v>18404550</v>
      </c>
      <c r="M89" s="273">
        <f ca="1">C88*Summary!$C$49*Summary!$C$61</f>
        <v>9781.1491996122641</v>
      </c>
      <c r="N89" s="272">
        <f ca="1">M89/'Alberta Electricity Profile'!$D$49</f>
        <v>7.4926646389406285E-2</v>
      </c>
      <c r="O89" s="273">
        <f t="shared" si="41"/>
        <v>347.92166666666526</v>
      </c>
      <c r="P89" s="273">
        <f t="shared" ca="1" si="42"/>
        <v>62.354690705039957</v>
      </c>
      <c r="Q89" s="63">
        <f t="shared" ca="1" si="43"/>
        <v>6.3749861527019513</v>
      </c>
      <c r="R89" s="63">
        <f t="shared" ca="1" si="44"/>
        <v>21.254441237156289</v>
      </c>
      <c r="S89" s="63">
        <f t="shared" ca="1" si="45"/>
        <v>0.13549676857028867</v>
      </c>
    </row>
    <row r="90" spans="2:19">
      <c r="B90" s="192">
        <f t="shared" si="34"/>
        <v>70</v>
      </c>
      <c r="C90" s="184">
        <f t="shared" ca="1" si="35"/>
        <v>460200415</v>
      </c>
      <c r="D90" s="195">
        <f t="shared" ca="1" si="36"/>
        <v>0.14388767406849887</v>
      </c>
      <c r="E90" s="184">
        <f t="shared" ca="1" si="37"/>
        <v>18408545</v>
      </c>
      <c r="F90" s="196">
        <f t="shared" ca="1" si="38"/>
        <v>18.408545</v>
      </c>
      <c r="G90" s="197">
        <f ca="1">C90/Summary!C$58</f>
        <v>7.2943479949278814E-2</v>
      </c>
      <c r="H90" s="198">
        <f ca="1">H89+M90*Summary!$C$26/1000000</f>
        <v>3504.3147562291542</v>
      </c>
      <c r="I90" s="198">
        <f t="shared" si="39"/>
        <v>24354.516666666648</v>
      </c>
      <c r="J90" s="200">
        <f ca="1">C89*Summary!C$49*Summary!C$62*24*365*1000*C$11</f>
        <v>856836089.51390815</v>
      </c>
      <c r="K90" s="200">
        <f t="shared" ca="1" si="40"/>
        <v>14726836089.513908</v>
      </c>
      <c r="L90" s="184">
        <f t="shared" ca="1" si="33"/>
        <v>18405309</v>
      </c>
      <c r="M90" s="273">
        <f ca="1">C89*Summary!$C$49*Summary!$C$61</f>
        <v>9781.2338985605948</v>
      </c>
      <c r="N90" s="272">
        <f ca="1">M90/'Alberta Electricity Profile'!$D$49</f>
        <v>7.4927295209705577E-2</v>
      </c>
      <c r="O90" s="273">
        <f t="shared" si="41"/>
        <v>347.92166666666526</v>
      </c>
      <c r="P90" s="273">
        <f t="shared" ca="1" si="42"/>
        <v>62.355230659662539</v>
      </c>
      <c r="Q90" s="63">
        <f t="shared" ca="1" si="43"/>
        <v>6.3749861527019336</v>
      </c>
      <c r="R90" s="63">
        <f t="shared" ca="1" si="44"/>
        <v>21.254441237156289</v>
      </c>
      <c r="S90" s="63">
        <f t="shared" ca="1" si="45"/>
        <v>0.13549676857028831</v>
      </c>
    </row>
    <row r="91" spans="2:19">
      <c r="B91" s="192">
        <f t="shared" si="34"/>
        <v>71</v>
      </c>
      <c r="C91" s="184">
        <f t="shared" ca="1" si="35"/>
        <v>460202995</v>
      </c>
      <c r="D91" s="195">
        <f t="shared" ca="1" si="36"/>
        <v>0.14438535893614671</v>
      </c>
      <c r="E91" s="184">
        <f t="shared" ca="1" si="37"/>
        <v>18408552</v>
      </c>
      <c r="F91" s="196">
        <f t="shared" ca="1" si="38"/>
        <v>18.408552</v>
      </c>
      <c r="G91" s="197">
        <f ca="1">C91/Summary!C$58</f>
        <v>7.2943888888888891E-2</v>
      </c>
      <c r="H91" s="198">
        <f ca="1">H90+M91*Summary!$C$26/1000000</f>
        <v>3566.6704253563598</v>
      </c>
      <c r="I91" s="198">
        <f t="shared" si="39"/>
        <v>24702.438333333313</v>
      </c>
      <c r="J91" s="200">
        <f ca="1">C90*Summary!C$49*Summary!C$62*24*365*1000*C$11</f>
        <v>856842114.58688164</v>
      </c>
      <c r="K91" s="200">
        <f t="shared" ca="1" si="40"/>
        <v>14726842114.586882</v>
      </c>
      <c r="L91" s="184">
        <f t="shared" ca="1" si="33"/>
        <v>18405972</v>
      </c>
      <c r="M91" s="273">
        <f ca="1">C90*Summary!$C$49*Summary!$C$61</f>
        <v>9781.3026779324373</v>
      </c>
      <c r="N91" s="272">
        <f ca="1">M91/'Alberta Electricity Profile'!$D$49</f>
        <v>7.4927822081095399E-2</v>
      </c>
      <c r="O91" s="273">
        <f t="shared" si="41"/>
        <v>347.92166666666526</v>
      </c>
      <c r="P91" s="273">
        <f t="shared" ca="1" si="42"/>
        <v>62.355669127205601</v>
      </c>
      <c r="Q91" s="63">
        <f t="shared" ca="1" si="43"/>
        <v>6.3749861527019309</v>
      </c>
      <c r="R91" s="63">
        <f t="shared" ca="1" si="44"/>
        <v>21.254441237156289</v>
      </c>
      <c r="S91" s="63">
        <f t="shared" ca="1" si="45"/>
        <v>0.13549676857028825</v>
      </c>
    </row>
    <row r="92" spans="2:19">
      <c r="B92" s="192">
        <f t="shared" si="34"/>
        <v>72</v>
      </c>
      <c r="C92" s="184">
        <f t="shared" ca="1" si="35"/>
        <v>460205015</v>
      </c>
      <c r="D92" s="195">
        <f t="shared" ca="1" si="36"/>
        <v>0.14486923317929287</v>
      </c>
      <c r="E92" s="184">
        <f t="shared" ca="1" si="37"/>
        <v>18408558</v>
      </c>
      <c r="F92" s="196">
        <f t="shared" ca="1" si="38"/>
        <v>18.408557999999999</v>
      </c>
      <c r="G92" s="197">
        <f ca="1">C92/Summary!C$58</f>
        <v>7.2944209066413065E-2</v>
      </c>
      <c r="H92" s="198">
        <f ca="1">H91+M92*Summary!$C$26/1000000</f>
        <v>3629.0264440652281</v>
      </c>
      <c r="I92" s="198">
        <f t="shared" si="39"/>
        <v>25050.359999999979</v>
      </c>
      <c r="J92" s="200">
        <f ca="1">C91*Summary!C$49*Summary!C$62*24*365*1000*C$11</f>
        <v>856846918.26063657</v>
      </c>
      <c r="K92" s="200">
        <f t="shared" ca="1" si="40"/>
        <v>14726846918.260637</v>
      </c>
      <c r="L92" s="184">
        <f t="shared" ca="1" si="33"/>
        <v>18406538</v>
      </c>
      <c r="M92" s="273">
        <f ca="1">C91*Summary!$C$49*Summary!$C$61</f>
        <v>9781.3575143908292</v>
      </c>
      <c r="N92" s="272">
        <f ca="1">M92/'Alberta Electricity Profile'!$D$49</f>
        <v>7.4928242145429702E-2</v>
      </c>
      <c r="O92" s="273">
        <f t="shared" si="41"/>
        <v>347.92166666666526</v>
      </c>
      <c r="P92" s="273">
        <f t="shared" ca="1" si="42"/>
        <v>62.356018708868305</v>
      </c>
      <c r="Q92" s="63">
        <f t="shared" ca="1" si="43"/>
        <v>6.3749861527019096</v>
      </c>
      <c r="R92" s="63">
        <f t="shared" ca="1" si="44"/>
        <v>21.254441237156289</v>
      </c>
      <c r="S92" s="63">
        <f t="shared" ca="1" si="45"/>
        <v>0.13549676857028781</v>
      </c>
    </row>
    <row r="93" spans="2:19">
      <c r="B93" s="192">
        <f t="shared" si="34"/>
        <v>73</v>
      </c>
      <c r="C93" s="184">
        <f t="shared" ca="1" si="35"/>
        <v>460206570</v>
      </c>
      <c r="D93" s="195">
        <f t="shared" ca="1" si="36"/>
        <v>0.14533986137031604</v>
      </c>
      <c r="E93" s="184">
        <f t="shared" ca="1" si="37"/>
        <v>18408563</v>
      </c>
      <c r="F93" s="196">
        <f t="shared" ca="1" si="38"/>
        <v>18.408563000000001</v>
      </c>
      <c r="G93" s="197">
        <f ca="1">C93/Summary!C$58</f>
        <v>7.2944455539705189E-2</v>
      </c>
      <c r="H93" s="198">
        <f ca="1">H92+M93*Summary!$C$26/1000000</f>
        <v>3691.3827364775693</v>
      </c>
      <c r="I93" s="198">
        <f t="shared" si="39"/>
        <v>25398.281666666644</v>
      </c>
      <c r="J93" s="200">
        <f ca="1">C92*Summary!C$49*Summary!C$62*24*365*1000*C$11</f>
        <v>856850679.27652252</v>
      </c>
      <c r="K93" s="200">
        <f t="shared" ca="1" si="40"/>
        <v>14726850679.276522</v>
      </c>
      <c r="L93" s="184">
        <f t="shared" ca="1" si="33"/>
        <v>18407008</v>
      </c>
      <c r="M93" s="273">
        <f ca="1">C92*Summary!$C$49*Summary!$C$61</f>
        <v>9781.4004483621284</v>
      </c>
      <c r="N93" s="272">
        <f ca="1">M93/'Alberta Electricity Profile'!$D$49</f>
        <v>7.4928571033009261E-2</v>
      </c>
      <c r="O93" s="273">
        <f t="shared" si="41"/>
        <v>347.92166666666526</v>
      </c>
      <c r="P93" s="273">
        <f t="shared" ca="1" si="42"/>
        <v>62.35629241234119</v>
      </c>
      <c r="Q93" s="63">
        <f t="shared" ca="1" si="43"/>
        <v>6.3749861527019478</v>
      </c>
      <c r="R93" s="63">
        <f t="shared" ca="1" si="44"/>
        <v>21.254441237156289</v>
      </c>
      <c r="S93" s="63">
        <f t="shared" ca="1" si="45"/>
        <v>0.13549676857028858</v>
      </c>
    </row>
    <row r="94" spans="2:19">
      <c r="B94" s="192">
        <f t="shared" si="34"/>
        <v>74</v>
      </c>
      <c r="C94" s="184">
        <f t="shared" ca="1" si="35"/>
        <v>460207757</v>
      </c>
      <c r="D94" s="195">
        <f t="shared" ca="1" si="36"/>
        <v>0.14579777806413355</v>
      </c>
      <c r="E94" s="184">
        <f t="shared" ca="1" si="37"/>
        <v>18408566</v>
      </c>
      <c r="F94" s="196">
        <f t="shared" ca="1" si="38"/>
        <v>18.408566</v>
      </c>
      <c r="G94" s="197">
        <f ca="1">C94/Summary!C$58</f>
        <v>7.2944643683626562E-2</v>
      </c>
      <c r="H94" s="198">
        <f ca="1">H93+M94*Summary!$C$26/1000000</f>
        <v>3753.7392395873853</v>
      </c>
      <c r="I94" s="198">
        <f t="shared" si="39"/>
        <v>25746.203333333309</v>
      </c>
      <c r="J94" s="200">
        <f ca="1">C93*Summary!C$49*Summary!C$62*24*365*1000*C$11</f>
        <v>856853574.51399899</v>
      </c>
      <c r="K94" s="200">
        <f t="shared" ca="1" si="40"/>
        <v>14726853574.514</v>
      </c>
      <c r="L94" s="184">
        <f t="shared" ca="1" si="33"/>
        <v>18407379</v>
      </c>
      <c r="M94" s="273">
        <f ca="1">C93*Summary!$C$49*Summary!$C$61</f>
        <v>9781.4334990182524</v>
      </c>
      <c r="N94" s="272">
        <f ca="1">M94/'Alberta Electricity Profile'!$D$49</f>
        <v>7.4928824211319273E-2</v>
      </c>
      <c r="O94" s="273">
        <f t="shared" si="41"/>
        <v>347.92166666666526</v>
      </c>
      <c r="P94" s="273">
        <f t="shared" ca="1" si="42"/>
        <v>62.356503109816003</v>
      </c>
      <c r="Q94" s="63">
        <f t="shared" ca="1" si="43"/>
        <v>6.3749861527019149</v>
      </c>
      <c r="R94" s="63">
        <f t="shared" ca="1" si="44"/>
        <v>21.254441237156293</v>
      </c>
      <c r="S94" s="63">
        <f t="shared" ca="1" si="45"/>
        <v>0.13549676857028789</v>
      </c>
    </row>
    <row r="95" spans="2:19">
      <c r="B95" s="192">
        <f t="shared" si="34"/>
        <v>75</v>
      </c>
      <c r="C95" s="184">
        <f t="shared" ca="1" si="35"/>
        <v>460208673</v>
      </c>
      <c r="D95" s="195">
        <f t="shared" ca="1" si="36"/>
        <v>0.14624348980975102</v>
      </c>
      <c r="E95" s="184">
        <f t="shared" ca="1" si="37"/>
        <v>18408569</v>
      </c>
      <c r="F95" s="196">
        <f t="shared" ca="1" si="38"/>
        <v>18.408569</v>
      </c>
      <c r="G95" s="197">
        <f ca="1">C95/Summary!C$58</f>
        <v>7.2944788873038513E-2</v>
      </c>
      <c r="H95" s="198">
        <f ca="1">H94+M95*Summary!$C$26/1000000</f>
        <v>3816.0959035318656</v>
      </c>
      <c r="I95" s="198">
        <f t="shared" si="39"/>
        <v>26094.124999999975</v>
      </c>
      <c r="J95" s="200">
        <f ca="1">C94*Summary!C$49*Summary!C$62*24*365*1000*C$11</f>
        <v>856855784.57630408</v>
      </c>
      <c r="K95" s="200">
        <f t="shared" ca="1" si="40"/>
        <v>14726855784.576303</v>
      </c>
      <c r="L95" s="184">
        <f t="shared" ca="1" si="33"/>
        <v>18407653</v>
      </c>
      <c r="M95" s="273">
        <f ca="1">C94*Summary!$C$49*Summary!$C$61</f>
        <v>9781.458728040001</v>
      </c>
      <c r="N95" s="272">
        <f ca="1">M95/'Alberta Electricity Profile'!$D$49</f>
        <v>7.4929017473476175E-2</v>
      </c>
      <c r="O95" s="273">
        <f t="shared" si="41"/>
        <v>347.92166666666526</v>
      </c>
      <c r="P95" s="273">
        <f t="shared" ca="1" si="42"/>
        <v>62.35666394448026</v>
      </c>
      <c r="Q95" s="63">
        <f t="shared" ca="1" si="43"/>
        <v>6.3749861527019123</v>
      </c>
      <c r="R95" s="63">
        <f t="shared" ca="1" si="44"/>
        <v>21.254441237156289</v>
      </c>
      <c r="S95" s="63">
        <f t="shared" ca="1" si="45"/>
        <v>0.13549676857028783</v>
      </c>
    </row>
    <row r="96" spans="2:19">
      <c r="B96" s="192">
        <f t="shared" si="34"/>
        <v>76</v>
      </c>
      <c r="C96" s="184">
        <f t="shared" ca="1" si="35"/>
        <v>460209415</v>
      </c>
      <c r="D96" s="195">
        <f t="shared" ca="1" si="36"/>
        <v>0.14667747699275635</v>
      </c>
      <c r="E96" s="184">
        <f t="shared" ca="1" si="37"/>
        <v>18408571</v>
      </c>
      <c r="F96" s="196">
        <f t="shared" ca="1" si="38"/>
        <v>18.408570999999998</v>
      </c>
      <c r="G96" s="197">
        <f ca="1">C96/Summary!C$58</f>
        <v>7.2944906482802344E-2</v>
      </c>
      <c r="H96" s="198">
        <f ca="1">H95+M96*Summary!$C$26/1000000</f>
        <v>3878.4526915913862</v>
      </c>
      <c r="I96" s="198">
        <f t="shared" si="39"/>
        <v>26442.04666666664</v>
      </c>
      <c r="J96" s="200">
        <f ca="1">C95*Summary!C$49*Summary!C$62*24*365*1000*C$11</f>
        <v>856857490.06667626</v>
      </c>
      <c r="K96" s="200">
        <f t="shared" ca="1" si="40"/>
        <v>14726857490.066677</v>
      </c>
      <c r="L96" s="184">
        <f t="shared" ca="1" si="33"/>
        <v>18407829</v>
      </c>
      <c r="M96" s="273">
        <f ca="1">C95*Summary!$C$49*Summary!$C$61</f>
        <v>9781.4781971081738</v>
      </c>
      <c r="N96" s="272">
        <f ca="1">M96/'Alberta Electricity Profile'!$D$49</f>
        <v>7.492916661259641E-2</v>
      </c>
      <c r="O96" s="273">
        <f t="shared" si="41"/>
        <v>347.92166666666526</v>
      </c>
      <c r="P96" s="273">
        <f t="shared" ca="1" si="42"/>
        <v>62.356788059520568</v>
      </c>
      <c r="Q96" s="63">
        <f t="shared" ca="1" si="43"/>
        <v>6.3749861527019425</v>
      </c>
      <c r="R96" s="63">
        <f t="shared" ca="1" si="44"/>
        <v>21.254441237156289</v>
      </c>
      <c r="S96" s="63">
        <f t="shared" ca="1" si="45"/>
        <v>0.13549676857028847</v>
      </c>
    </row>
    <row r="97" spans="2:19">
      <c r="B97" s="192">
        <f t="shared" si="34"/>
        <v>77</v>
      </c>
      <c r="C97" s="184">
        <f t="shared" ca="1" si="35"/>
        <v>460210083</v>
      </c>
      <c r="D97" s="195">
        <f t="shared" ca="1" si="36"/>
        <v>0.14710019553424306</v>
      </c>
      <c r="E97" s="184">
        <f t="shared" ca="1" si="37"/>
        <v>18408573</v>
      </c>
      <c r="F97" s="196">
        <f t="shared" ca="1" si="38"/>
        <v>18.408573000000001</v>
      </c>
      <c r="G97" s="197">
        <f ca="1">C97/Summary!C$58</f>
        <v>7.294501236329054E-2</v>
      </c>
      <c r="H97" s="198">
        <f ca="1">H96+M97*Summary!$C$26/1000000</f>
        <v>3940.8095801895088</v>
      </c>
      <c r="I97" s="198">
        <f t="shared" si="39"/>
        <v>26789.968333333305</v>
      </c>
      <c r="J97" s="200">
        <f ca="1">C96*Summary!C$49*Summary!C$62*24*365*1000*C$11</f>
        <v>856858871.58835316</v>
      </c>
      <c r="K97" s="200">
        <f t="shared" ca="1" si="40"/>
        <v>14726858871.588352</v>
      </c>
      <c r="L97" s="184">
        <f t="shared" ca="1" si="33"/>
        <v>18407905</v>
      </c>
      <c r="M97" s="273">
        <f ca="1">C96*Summary!$C$49*Summary!$C$61</f>
        <v>9781.4939679035724</v>
      </c>
      <c r="N97" s="272">
        <f ca="1">M97/'Alberta Electricity Profile'!$D$49</f>
        <v>7.4929287421796442E-2</v>
      </c>
      <c r="O97" s="273">
        <f t="shared" si="41"/>
        <v>347.92166666666526</v>
      </c>
      <c r="P97" s="273">
        <f t="shared" ca="1" si="42"/>
        <v>62.356888598122623</v>
      </c>
      <c r="Q97" s="63">
        <f t="shared" ca="1" si="43"/>
        <v>6.3749861527019185</v>
      </c>
      <c r="R97" s="63">
        <f t="shared" ca="1" si="44"/>
        <v>21.254441237156289</v>
      </c>
      <c r="S97" s="63">
        <f t="shared" ca="1" si="45"/>
        <v>0.135496768570288</v>
      </c>
    </row>
    <row r="98" spans="2:19">
      <c r="B98" s="192">
        <f t="shared" si="34"/>
        <v>78</v>
      </c>
      <c r="C98" s="184">
        <f t="shared" ca="1" si="35"/>
        <v>460210682</v>
      </c>
      <c r="D98" s="195">
        <f t="shared" ca="1" si="36"/>
        <v>0.1475120784740257</v>
      </c>
      <c r="E98" s="184">
        <f t="shared" ca="1" si="37"/>
        <v>18408575</v>
      </c>
      <c r="F98" s="196">
        <f t="shared" ca="1" si="38"/>
        <v>18.408574999999999</v>
      </c>
      <c r="G98" s="197">
        <f ca="1">C98/Summary!C$58</f>
        <v>7.2945107307021709E-2</v>
      </c>
      <c r="H98" s="198">
        <f ca="1">H97+M98*Summary!$C$26/1000000</f>
        <v>4003.1665592994727</v>
      </c>
      <c r="I98" s="198">
        <f t="shared" si="39"/>
        <v>27137.88999999997</v>
      </c>
      <c r="J98" s="200">
        <f ca="1">C97*Summary!C$49*Summary!C$62*24*365*1000*C$11</f>
        <v>856860115.33024001</v>
      </c>
      <c r="K98" s="200">
        <f t="shared" ca="1" si="40"/>
        <v>14726860115.33024</v>
      </c>
      <c r="L98" s="184">
        <f t="shared" ca="1" si="33"/>
        <v>18407976</v>
      </c>
      <c r="M98" s="273">
        <f ca="1">C97*Summary!$C$49*Summary!$C$61</f>
        <v>9781.5081658703184</v>
      </c>
      <c r="N98" s="272">
        <f ca="1">M98/'Alberta Electricity Profile'!$D$49</f>
        <v>7.4929396182639579E-2</v>
      </c>
      <c r="O98" s="273">
        <f t="shared" si="41"/>
        <v>347.92166666666526</v>
      </c>
      <c r="P98" s="273">
        <f t="shared" ca="1" si="42"/>
        <v>62.356979109963959</v>
      </c>
      <c r="Q98" s="63">
        <f t="shared" ca="1" si="43"/>
        <v>6.3749861527019123</v>
      </c>
      <c r="R98" s="63">
        <f t="shared" ca="1" si="44"/>
        <v>21.254441237156286</v>
      </c>
      <c r="S98" s="63">
        <f t="shared" ca="1" si="45"/>
        <v>0.13549676857028783</v>
      </c>
    </row>
    <row r="99" spans="2:19">
      <c r="B99" s="192">
        <f t="shared" si="34"/>
        <v>79</v>
      </c>
      <c r="C99" s="184">
        <f t="shared" ca="1" si="35"/>
        <v>460211216</v>
      </c>
      <c r="D99" s="195">
        <f t="shared" ca="1" si="36"/>
        <v>0.1479135369505008</v>
      </c>
      <c r="E99" s="184">
        <f t="shared" ca="1" si="37"/>
        <v>18408576</v>
      </c>
      <c r="F99" s="196">
        <f t="shared" ca="1" si="38"/>
        <v>18.408576</v>
      </c>
      <c r="G99" s="197">
        <f ca="1">C99/Summary!C$58</f>
        <v>7.2945191948010774E-2</v>
      </c>
      <c r="H99" s="198">
        <f ca="1">H98+M99*Summary!$C$26/1000000</f>
        <v>4065.5236195720013</v>
      </c>
      <c r="I99" s="198">
        <f t="shared" si="39"/>
        <v>27485.811666666636</v>
      </c>
      <c r="J99" s="200">
        <f ca="1">C98*Summary!C$49*Summary!C$62*24*365*1000*C$11</f>
        <v>856861230.60178232</v>
      </c>
      <c r="K99" s="200">
        <f t="shared" ca="1" si="40"/>
        <v>14726861230.601782</v>
      </c>
      <c r="L99" s="184">
        <f t="shared" ca="1" si="33"/>
        <v>18408042</v>
      </c>
      <c r="M99" s="273">
        <f ca="1">C98*Summary!$C$49*Summary!$C$61</f>
        <v>9781.5208972806195</v>
      </c>
      <c r="N99" s="272">
        <f ca="1">M99/'Alberta Electricity Profile'!$D$49</f>
        <v>7.4929493709204015E-2</v>
      </c>
      <c r="O99" s="273">
        <f t="shared" si="41"/>
        <v>347.92166666666526</v>
      </c>
      <c r="P99" s="273">
        <f t="shared" ca="1" si="42"/>
        <v>62.357060272528543</v>
      </c>
      <c r="Q99" s="63">
        <f t="shared" ca="1" si="43"/>
        <v>6.3749861527019336</v>
      </c>
      <c r="R99" s="63">
        <f t="shared" ca="1" si="44"/>
        <v>21.254441237156286</v>
      </c>
      <c r="S99" s="63">
        <f t="shared" ca="1" si="45"/>
        <v>0.13549676857028831</v>
      </c>
    </row>
    <row r="100" spans="2:19">
      <c r="B100" s="192">
        <f t="shared" si="34"/>
        <v>80</v>
      </c>
      <c r="C100" s="184">
        <f t="shared" ca="1" si="35"/>
        <v>460211690</v>
      </c>
      <c r="D100" s="195">
        <f t="shared" ca="1" si="36"/>
        <v>0.14830496156461737</v>
      </c>
      <c r="E100" s="184">
        <f t="shared" ca="1" si="37"/>
        <v>18408577</v>
      </c>
      <c r="F100" s="196">
        <f t="shared" ca="1" si="38"/>
        <v>18.408577000000001</v>
      </c>
      <c r="G100" s="197">
        <f ca="1">C100/Summary!C$58</f>
        <v>7.2945267078776355E-2</v>
      </c>
      <c r="H100" s="198">
        <f ca="1">H99+M100*Summary!$C$26/1000000</f>
        <v>4127.8807521998042</v>
      </c>
      <c r="I100" s="198">
        <f t="shared" si="39"/>
        <v>27833.733333333301</v>
      </c>
      <c r="J100" s="200">
        <f ca="1">C99*Summary!C$49*Summary!C$62*24*365*1000*C$11</f>
        <v>856862224.85053635</v>
      </c>
      <c r="K100" s="200">
        <f t="shared" ca="1" si="40"/>
        <v>14726862224.850536</v>
      </c>
      <c r="L100" s="184">
        <f t="shared" ca="1" si="33"/>
        <v>18408103</v>
      </c>
      <c r="M100" s="273">
        <f ca="1">C99*Summary!$C$49*Summary!$C$61</f>
        <v>9781.5322471522395</v>
      </c>
      <c r="N100" s="272">
        <f ca="1">M100/'Alberta Electricity Profile'!$D$49</f>
        <v>7.4929580652752265E-2</v>
      </c>
      <c r="O100" s="273">
        <f t="shared" si="41"/>
        <v>347.92166666666526</v>
      </c>
      <c r="P100" s="273">
        <f t="shared" ca="1" si="42"/>
        <v>62.357132627802912</v>
      </c>
      <c r="Q100" s="63">
        <f t="shared" ca="1" si="43"/>
        <v>6.3749861527019291</v>
      </c>
      <c r="R100" s="63">
        <f t="shared" ca="1" si="44"/>
        <v>21.254441237156286</v>
      </c>
      <c r="S100" s="63">
        <f t="shared" ca="1" si="45"/>
        <v>0.1354967685702882</v>
      </c>
    </row>
    <row r="101" spans="2:19">
      <c r="B101" s="192">
        <f t="shared" si="34"/>
        <v>81</v>
      </c>
      <c r="C101" s="184">
        <f t="shared" ca="1" si="35"/>
        <v>460212109</v>
      </c>
      <c r="D101" s="195">
        <f t="shared" ref="D101:D114" ca="1" si="46">H101/I101</f>
        <v>0.14868672365242852</v>
      </c>
      <c r="E101" s="184">
        <f t="shared" ref="E101:E114" ca="1" si="47">ROUNDDOWN(K101/C$16,0)</f>
        <v>18408578</v>
      </c>
      <c r="F101" s="196">
        <f t="shared" ref="F101:F114" ca="1" si="48">E101*C$18/1000000</f>
        <v>18.408577999999999</v>
      </c>
      <c r="G101" s="197">
        <f ca="1">C101/Summary!C$58</f>
        <v>7.2945333491837058E-2</v>
      </c>
      <c r="H101" s="198">
        <f ca="1">H100+M101*Summary!$C$26/1000000</f>
        <v>4190.2379490530757</v>
      </c>
      <c r="I101" s="198">
        <f t="shared" si="39"/>
        <v>28181.654999999966</v>
      </c>
      <c r="J101" s="200">
        <f ca="1">C100*Summary!C$49*Summary!C$62*24*365*1000*C$11</f>
        <v>856863107.38594723</v>
      </c>
      <c r="K101" s="200">
        <f t="shared" ref="K101:K114" ca="1" si="49">C$10+J101</f>
        <v>14726863107.385948</v>
      </c>
      <c r="L101" s="184">
        <f t="shared" ca="1" si="33"/>
        <v>18408159</v>
      </c>
      <c r="M101" s="273">
        <f ca="1">C100*Summary!$C$49*Summary!$C$61</f>
        <v>9781.542321757388</v>
      </c>
      <c r="N101" s="272">
        <f ca="1">M101/'Alberta Electricity Profile'!$D$49</f>
        <v>7.4929657827362536E-2</v>
      </c>
      <c r="O101" s="273">
        <f t="shared" si="41"/>
        <v>347.92166666666526</v>
      </c>
      <c r="P101" s="273">
        <f t="shared" ca="1" si="42"/>
        <v>62.357196853271489</v>
      </c>
      <c r="Q101" s="63">
        <f t="shared" ca="1" si="43"/>
        <v>6.3749861527019558</v>
      </c>
      <c r="R101" s="63">
        <f t="shared" ca="1" si="44"/>
        <v>21.254441237156289</v>
      </c>
      <c r="S101" s="63">
        <f t="shared" ca="1" si="45"/>
        <v>0.13549676857028881</v>
      </c>
    </row>
    <row r="102" spans="2:19">
      <c r="B102" s="192">
        <f t="shared" si="34"/>
        <v>82</v>
      </c>
      <c r="C102" s="184">
        <f t="shared" ca="1" si="35"/>
        <v>460212478</v>
      </c>
      <c r="D102" s="195">
        <f t="shared" ca="1" si="46"/>
        <v>0.14905917645978034</v>
      </c>
      <c r="E102" s="184">
        <f t="shared" ca="1" si="47"/>
        <v>18408579</v>
      </c>
      <c r="F102" s="196">
        <f t="shared" ca="1" si="48"/>
        <v>18.408579</v>
      </c>
      <c r="G102" s="197">
        <f ca="1">C102/Summary!C$58</f>
        <v>7.2945391979711519E-2</v>
      </c>
      <c r="H102" s="198">
        <f ca="1">H101+M102*Summary!$C$26/1000000</f>
        <v>4252.595202679493</v>
      </c>
      <c r="I102" s="198">
        <f t="shared" si="39"/>
        <v>28529.576666666631</v>
      </c>
      <c r="J102" s="200">
        <f ca="1">C101*Summary!C$49*Summary!C$62*24*365*1000*C$11</f>
        <v>856863887.51746011</v>
      </c>
      <c r="K102" s="200">
        <f t="shared" ca="1" si="49"/>
        <v>14726863887.51746</v>
      </c>
      <c r="L102" s="184">
        <f t="shared" ca="1" si="33"/>
        <v>18408210</v>
      </c>
      <c r="M102" s="273">
        <f ca="1">C101*Summary!$C$49*Summary!$C$61</f>
        <v>9781.5512273682634</v>
      </c>
      <c r="N102" s="272">
        <f ca="1">M102/'Alberta Electricity Profile'!$D$49</f>
        <v>7.4929726047112927E-2</v>
      </c>
      <c r="O102" s="273">
        <f t="shared" si="41"/>
        <v>347.92166666666526</v>
      </c>
      <c r="P102" s="273">
        <f t="shared" ca="1" si="42"/>
        <v>62.357253626417332</v>
      </c>
      <c r="Q102" s="63">
        <f t="shared" ca="1" si="43"/>
        <v>6.3749861527019389</v>
      </c>
      <c r="R102" s="63">
        <f t="shared" ca="1" si="44"/>
        <v>21.254441237156286</v>
      </c>
      <c r="S102" s="63">
        <f t="shared" ca="1" si="45"/>
        <v>0.13549676857028836</v>
      </c>
    </row>
    <row r="103" spans="2:19">
      <c r="B103" s="192">
        <f t="shared" si="34"/>
        <v>83</v>
      </c>
      <c r="C103" s="184">
        <f t="shared" ca="1" si="35"/>
        <v>460212801</v>
      </c>
      <c r="D103" s="195">
        <f t="shared" ca="1" si="46"/>
        <v>0.14942265623208323</v>
      </c>
      <c r="E103" s="184">
        <f t="shared" ca="1" si="47"/>
        <v>18408580</v>
      </c>
      <c r="F103" s="196">
        <f t="shared" ca="1" si="48"/>
        <v>18.408580000000001</v>
      </c>
      <c r="G103" s="197">
        <f ca="1">C103/Summary!C$58</f>
        <v>7.2945443176414645E-2</v>
      </c>
      <c r="H103" s="198">
        <f ca="1">H102+M103*Summary!$C$26/1000000</f>
        <v>4314.9525063042174</v>
      </c>
      <c r="I103" s="198">
        <f t="shared" si="39"/>
        <v>28877.498333333297</v>
      </c>
      <c r="J103" s="200">
        <f ca="1">C102*Summary!C$49*Summary!C$62*24*365*1000*C$11</f>
        <v>856864574.55452061</v>
      </c>
      <c r="K103" s="200">
        <f t="shared" ca="1" si="49"/>
        <v>14726864574.55452</v>
      </c>
      <c r="L103" s="184">
        <f t="shared" ca="1" si="33"/>
        <v>18408257</v>
      </c>
      <c r="M103" s="273">
        <f ca="1">C102*Summary!$C$49*Summary!$C$61</f>
        <v>9781.5590702570826</v>
      </c>
      <c r="N103" s="272">
        <f ca="1">M103/'Alberta Electricity Profile'!$D$49</f>
        <v>7.4929786126081699E-2</v>
      </c>
      <c r="O103" s="273">
        <f t="shared" si="41"/>
        <v>347.92166666666526</v>
      </c>
      <c r="P103" s="273">
        <f t="shared" ca="1" si="42"/>
        <v>62.357303624724409</v>
      </c>
      <c r="Q103" s="63">
        <f t="shared" ca="1" si="43"/>
        <v>6.374986152701883</v>
      </c>
      <c r="R103" s="63">
        <f t="shared" ca="1" si="44"/>
        <v>21.254441237156289</v>
      </c>
      <c r="S103" s="63">
        <f t="shared" ca="1" si="45"/>
        <v>0.13549676857028722</v>
      </c>
    </row>
    <row r="104" spans="2:19">
      <c r="B104" s="192">
        <f t="shared" si="34"/>
        <v>84</v>
      </c>
      <c r="C104" s="184">
        <f t="shared" ca="1" si="35"/>
        <v>460213083</v>
      </c>
      <c r="D104" s="195">
        <f t="shared" ca="1" si="46"/>
        <v>0.14977748322160656</v>
      </c>
      <c r="E104" s="184">
        <f t="shared" ca="1" si="47"/>
        <v>18408581</v>
      </c>
      <c r="F104" s="196">
        <f t="shared" ca="1" si="48"/>
        <v>18.408581000000002</v>
      </c>
      <c r="G104" s="197">
        <f ca="1">C104/Summary!C$58</f>
        <v>7.2945487874465045E-2</v>
      </c>
      <c r="H104" s="198">
        <f ca="1">H103+M104*Summary!$C$26/1000000</f>
        <v>4377.309853694399</v>
      </c>
      <c r="I104" s="198">
        <f t="shared" si="39"/>
        <v>29225.419999999962</v>
      </c>
      <c r="J104" s="200">
        <f ca="1">C103*Summary!C$49*Summary!C$62*24*365*1000*C$11</f>
        <v>856865175.94468427</v>
      </c>
      <c r="K104" s="200">
        <f t="shared" ca="1" si="49"/>
        <v>14726865175.944685</v>
      </c>
      <c r="L104" s="184">
        <f t="shared" ca="1" si="33"/>
        <v>18408299</v>
      </c>
      <c r="M104" s="273">
        <f ca="1">C103*Summary!$C$49*Summary!$C$61</f>
        <v>9781.5659354416002</v>
      </c>
      <c r="N104" s="272">
        <f ca="1">M104/'Alberta Electricity Profile'!$D$49</f>
        <v>7.4929838715531286E-2</v>
      </c>
      <c r="O104" s="273">
        <f t="shared" si="41"/>
        <v>347.92166666666526</v>
      </c>
      <c r="P104" s="273">
        <f t="shared" ca="1" si="42"/>
        <v>62.35734739018153</v>
      </c>
      <c r="Q104" s="63">
        <f t="shared" ca="1" si="43"/>
        <v>6.3749861527019736</v>
      </c>
      <c r="R104" s="63">
        <f t="shared" ca="1" si="44"/>
        <v>21.254441237156289</v>
      </c>
      <c r="S104" s="63">
        <f t="shared" ca="1" si="45"/>
        <v>0.13549676857028914</v>
      </c>
    </row>
    <row r="105" spans="2:19">
      <c r="B105" s="192">
        <f t="shared" si="34"/>
        <v>85</v>
      </c>
      <c r="C105" s="184">
        <f t="shared" ca="1" si="35"/>
        <v>460213327</v>
      </c>
      <c r="D105" s="195">
        <f t="shared" ca="1" si="46"/>
        <v>0.15012396263283315</v>
      </c>
      <c r="E105" s="184">
        <f t="shared" ca="1" si="47"/>
        <v>18408582</v>
      </c>
      <c r="F105" s="196">
        <f t="shared" ca="1" si="48"/>
        <v>18.408581999999999</v>
      </c>
      <c r="G105" s="197">
        <f ca="1">C105/Summary!C$58</f>
        <v>7.2945526549373904E-2</v>
      </c>
      <c r="H105" s="198">
        <f ca="1">H104+M105*Summary!$C$26/1000000</f>
        <v>4439.6672392946684</v>
      </c>
      <c r="I105" s="198">
        <f t="shared" si="39"/>
        <v>29573.341666666627</v>
      </c>
      <c r="J105" s="200">
        <f ca="1">C104*Summary!C$49*Summary!C$62*24*365*1000*C$11</f>
        <v>856865700.99739718</v>
      </c>
      <c r="K105" s="200">
        <f t="shared" ca="1" si="49"/>
        <v>14726865700.997396</v>
      </c>
      <c r="L105" s="184">
        <f t="shared" ca="1" si="33"/>
        <v>18408338</v>
      </c>
      <c r="M105" s="273">
        <f ca="1">C104*Summary!$C$49*Summary!$C$61</f>
        <v>9781.5719291940295</v>
      </c>
      <c r="N105" s="272">
        <f ca="1">M105/'Alberta Electricity Profile'!$D$49</f>
        <v>7.4929884629539922E-2</v>
      </c>
      <c r="O105" s="273">
        <f t="shared" si="41"/>
        <v>347.92166666666526</v>
      </c>
      <c r="P105" s="273">
        <f t="shared" ca="1" si="42"/>
        <v>62.357385600269481</v>
      </c>
      <c r="Q105" s="63">
        <f t="shared" ca="1" si="43"/>
        <v>6.3749861527018927</v>
      </c>
      <c r="R105" s="63">
        <f t="shared" ca="1" si="44"/>
        <v>21.254441237156286</v>
      </c>
      <c r="S105" s="63">
        <f t="shared" ca="1" si="45"/>
        <v>0.13549676857028742</v>
      </c>
    </row>
    <row r="106" spans="2:19">
      <c r="B106" s="192">
        <f t="shared" si="34"/>
        <v>86</v>
      </c>
      <c r="C106" s="184">
        <f t="shared" ca="1" si="35"/>
        <v>460213537</v>
      </c>
      <c r="D106" s="195">
        <f t="shared" ca="1" si="46"/>
        <v>0.15046238548827393</v>
      </c>
      <c r="E106" s="184">
        <f t="shared" ca="1" si="47"/>
        <v>18408582</v>
      </c>
      <c r="F106" s="196">
        <f t="shared" ca="1" si="48"/>
        <v>18.408581999999999</v>
      </c>
      <c r="G106" s="197">
        <f ca="1">C106/Summary!C$58</f>
        <v>7.2945559835156132E-2</v>
      </c>
      <c r="H106" s="198">
        <f ca="1">H105+M106*Summary!$C$26/1000000</f>
        <v>4502.0246579561499</v>
      </c>
      <c r="I106" s="198">
        <f t="shared" si="39"/>
        <v>29921.263333333292</v>
      </c>
      <c r="J106" s="200">
        <f ca="1">C105*Summary!C$49*Summary!C$62*24*365*1000*C$11</f>
        <v>856866155.29832602</v>
      </c>
      <c r="K106" s="200">
        <f t="shared" ca="1" si="49"/>
        <v>14726866155.298326</v>
      </c>
      <c r="L106" s="184">
        <f t="shared" ca="1" si="33"/>
        <v>18408372</v>
      </c>
      <c r="M106" s="273">
        <f ca="1">C105*Summary!$C$49*Summary!$C$61</f>
        <v>9781.5771152776924</v>
      </c>
      <c r="N106" s="272">
        <f ca="1">M106/'Alberta Electricity Profile'!$D$49</f>
        <v>7.4929924356554489E-2</v>
      </c>
      <c r="O106" s="273">
        <f t="shared" si="41"/>
        <v>347.92166666666526</v>
      </c>
      <c r="P106" s="273">
        <f t="shared" ca="1" si="42"/>
        <v>62.357418661481461</v>
      </c>
      <c r="Q106" s="63">
        <f t="shared" ca="1" si="43"/>
        <v>6.374986152701938</v>
      </c>
      <c r="R106" s="63">
        <f t="shared" ca="1" si="44"/>
        <v>21.254441237156293</v>
      </c>
      <c r="S106" s="63">
        <f t="shared" ca="1" si="45"/>
        <v>0.13549676857028839</v>
      </c>
    </row>
    <row r="107" spans="2:19">
      <c r="B107" s="192">
        <f t="shared" si="34"/>
        <v>87</v>
      </c>
      <c r="C107" s="184">
        <f t="shared" ca="1" si="35"/>
        <v>460213717</v>
      </c>
      <c r="D107" s="195">
        <f t="shared" ca="1" si="46"/>
        <v>0.15079302944799997</v>
      </c>
      <c r="E107" s="184">
        <f t="shared" ca="1" si="47"/>
        <v>18408583</v>
      </c>
      <c r="F107" s="196">
        <f t="shared" ca="1" si="48"/>
        <v>18.408583</v>
      </c>
      <c r="G107" s="197">
        <f ca="1">C107/Summary!C$58</f>
        <v>7.2945588365826597E-2</v>
      </c>
      <c r="H107" s="198">
        <f ca="1">H106+M107*Summary!$C$26/1000000</f>
        <v>4564.3821050719525</v>
      </c>
      <c r="I107" s="198">
        <f t="shared" si="39"/>
        <v>30269.184999999958</v>
      </c>
      <c r="J107" s="200">
        <f ca="1">C106*Summary!C$49*Summary!C$62*24*365*1000*C$11</f>
        <v>856866546.2950269</v>
      </c>
      <c r="K107" s="200">
        <f t="shared" ca="1" si="49"/>
        <v>14726866546.295027</v>
      </c>
      <c r="L107" s="184">
        <f t="shared" ca="1" si="33"/>
        <v>18408403</v>
      </c>
      <c r="M107" s="273">
        <f ca="1">C106*Summary!$C$49*Summary!$C$61</f>
        <v>9781.5815787103511</v>
      </c>
      <c r="N107" s="272">
        <f ca="1">M107/'Alberta Electricity Profile'!$D$49</f>
        <v>7.4929958547837502E-2</v>
      </c>
      <c r="O107" s="273">
        <f t="shared" si="41"/>
        <v>347.92166666666526</v>
      </c>
      <c r="P107" s="273">
        <f t="shared" ca="1" si="42"/>
        <v>62.357447115802643</v>
      </c>
      <c r="Q107" s="63">
        <f t="shared" ca="1" si="43"/>
        <v>6.3749861527019167</v>
      </c>
      <c r="R107" s="63">
        <f t="shared" ca="1" si="44"/>
        <v>21.254441237156289</v>
      </c>
      <c r="S107" s="63">
        <f t="shared" ca="1" si="45"/>
        <v>0.13549676857028792</v>
      </c>
    </row>
    <row r="108" spans="2:19">
      <c r="B108" s="192">
        <f t="shared" si="34"/>
        <v>88</v>
      </c>
      <c r="C108" s="184">
        <f t="shared" ca="1" si="35"/>
        <v>460213869</v>
      </c>
      <c r="D108" s="195">
        <f t="shared" ca="1" si="46"/>
        <v>0.15111615956887217</v>
      </c>
      <c r="E108" s="184">
        <f t="shared" ca="1" si="47"/>
        <v>18408583</v>
      </c>
      <c r="F108" s="196">
        <f t="shared" ca="1" si="48"/>
        <v>18.408583</v>
      </c>
      <c r="G108" s="197">
        <f ca="1">C108/Summary!C$58</f>
        <v>7.2945612458392775E-2</v>
      </c>
      <c r="H108" s="198">
        <f ca="1">H107+M108*Summary!$C$26/1000000</f>
        <v>4626.7395765771735</v>
      </c>
      <c r="I108" s="198">
        <f t="shared" si="39"/>
        <v>30617.106666666623</v>
      </c>
      <c r="J108" s="200">
        <f ca="1">C107*Summary!C$49*Summary!C$62*24*365*1000*C$11</f>
        <v>856866881.43505645</v>
      </c>
      <c r="K108" s="200">
        <f t="shared" ca="1" si="49"/>
        <v>14726866881.435057</v>
      </c>
      <c r="L108" s="184">
        <f t="shared" ca="1" si="33"/>
        <v>18408431</v>
      </c>
      <c r="M108" s="273">
        <f ca="1">C107*Summary!$C$49*Summary!$C$61</f>
        <v>9781.5854045097731</v>
      </c>
      <c r="N108" s="272">
        <f ca="1">M108/'Alberta Electricity Profile'!$D$49</f>
        <v>7.492998785465152E-2</v>
      </c>
      <c r="O108" s="273">
        <f t="shared" si="41"/>
        <v>347.92166666666526</v>
      </c>
      <c r="P108" s="273">
        <f t="shared" ca="1" si="42"/>
        <v>62.357471505220929</v>
      </c>
      <c r="Q108" s="63">
        <f t="shared" ca="1" si="43"/>
        <v>6.3749861527019114</v>
      </c>
      <c r="R108" s="63">
        <f t="shared" ca="1" si="44"/>
        <v>21.254441237156286</v>
      </c>
      <c r="S108" s="63">
        <f t="shared" ca="1" si="45"/>
        <v>0.13549676857028781</v>
      </c>
    </row>
    <row r="109" spans="2:19">
      <c r="B109" s="192">
        <f t="shared" si="34"/>
        <v>89</v>
      </c>
      <c r="C109" s="184">
        <f t="shared" ca="1" si="35"/>
        <v>460213997</v>
      </c>
      <c r="D109" s="195">
        <f t="shared" ca="1" si="46"/>
        <v>0.15143202900383515</v>
      </c>
      <c r="E109" s="184">
        <f t="shared" ca="1" si="47"/>
        <v>18408583</v>
      </c>
      <c r="F109" s="196">
        <f t="shared" ca="1" si="48"/>
        <v>18.408583</v>
      </c>
      <c r="G109" s="197">
        <f ca="1">C109/Summary!C$58</f>
        <v>7.2945632746869549E-2</v>
      </c>
      <c r="H109" s="198">
        <f ca="1">H108+M109*Summary!$C$26/1000000</f>
        <v>4689.0970686779037</v>
      </c>
      <c r="I109" s="198">
        <f t="shared" si="39"/>
        <v>30965.028333333288</v>
      </c>
      <c r="J109" s="200">
        <f ca="1">C108*Summary!C$49*Summary!C$62*24*365*1000*C$11</f>
        <v>856867164.4421922</v>
      </c>
      <c r="K109" s="200">
        <f t="shared" ca="1" si="49"/>
        <v>14726867164.442192</v>
      </c>
      <c r="L109" s="184">
        <f t="shared" ca="1" si="33"/>
        <v>18408455</v>
      </c>
      <c r="M109" s="273">
        <f ca="1">C108*Summary!$C$49*Summary!$C$61</f>
        <v>9781.5886351848421</v>
      </c>
      <c r="N109" s="272">
        <f ca="1">M109/'Alberta Electricity Profile'!$D$49</f>
        <v>7.4930012602627813E-2</v>
      </c>
      <c r="O109" s="273">
        <f t="shared" si="41"/>
        <v>347.92166666666526</v>
      </c>
      <c r="P109" s="273">
        <f t="shared" ca="1" si="42"/>
        <v>62.357492100730269</v>
      </c>
      <c r="Q109" s="63">
        <f t="shared" ca="1" si="43"/>
        <v>6.3749861527019638</v>
      </c>
      <c r="R109" s="63">
        <f t="shared" ca="1" si="44"/>
        <v>21.254441237156289</v>
      </c>
      <c r="S109" s="63">
        <f t="shared" ca="1" si="45"/>
        <v>0.13549676857028894</v>
      </c>
    </row>
    <row r="110" spans="2:19">
      <c r="B110" s="192">
        <f t="shared" si="34"/>
        <v>90</v>
      </c>
      <c r="C110" s="184">
        <f t="shared" ca="1" si="35"/>
        <v>460214105</v>
      </c>
      <c r="D110" s="195">
        <f t="shared" ca="1" si="46"/>
        <v>0.1517408796719002</v>
      </c>
      <c r="E110" s="184">
        <f t="shared" ca="1" si="47"/>
        <v>18408584</v>
      </c>
      <c r="F110" s="196">
        <f t="shared" ca="1" si="48"/>
        <v>18.408584000000001</v>
      </c>
      <c r="G110" s="197">
        <f ca="1">C110/Summary!C$58</f>
        <v>7.2945649865271828E-2</v>
      </c>
      <c r="H110" s="198">
        <f ca="1">H109+M110*Summary!$C$26/1000000</f>
        <v>4751.4545781222205</v>
      </c>
      <c r="I110" s="198">
        <f t="shared" si="39"/>
        <v>31312.949999999953</v>
      </c>
      <c r="J110" s="200">
        <f ca="1">C109*Summary!C$49*Summary!C$62*24*365*1000*C$11</f>
        <v>856867402.76399088</v>
      </c>
      <c r="K110" s="200">
        <f t="shared" ca="1" si="49"/>
        <v>14726867402.76399</v>
      </c>
      <c r="L110" s="184">
        <f t="shared" ca="1" si="33"/>
        <v>18408476</v>
      </c>
      <c r="M110" s="273">
        <f ca="1">C109*Summary!$C$49*Summary!$C$61</f>
        <v>9781.5913557533204</v>
      </c>
      <c r="N110" s="272">
        <f ca="1">M110/'Alberta Electricity Profile'!$D$49</f>
        <v>7.4930033443028884E-2</v>
      </c>
      <c r="O110" s="273">
        <f t="shared" si="41"/>
        <v>347.92166666666526</v>
      </c>
      <c r="P110" s="273">
        <f t="shared" ca="1" si="42"/>
        <v>62.357509444316747</v>
      </c>
      <c r="Q110" s="63">
        <f t="shared" ca="1" si="43"/>
        <v>6.3749861527019744</v>
      </c>
      <c r="R110" s="63">
        <f t="shared" ca="1" si="44"/>
        <v>21.254441237156289</v>
      </c>
      <c r="S110" s="63">
        <f t="shared" ca="1" si="45"/>
        <v>0.13549676857028914</v>
      </c>
    </row>
    <row r="111" spans="2:19">
      <c r="B111" s="192">
        <f t="shared" si="34"/>
        <v>91</v>
      </c>
      <c r="C111" s="184">
        <f t="shared" ca="1" si="35"/>
        <v>460214194</v>
      </c>
      <c r="D111" s="195">
        <f t="shared" ca="1" si="46"/>
        <v>0.15204294287539447</v>
      </c>
      <c r="E111" s="184">
        <f t="shared" ca="1" si="47"/>
        <v>18408584</v>
      </c>
      <c r="F111" s="196">
        <f t="shared" ca="1" si="48"/>
        <v>18.408584000000001</v>
      </c>
      <c r="G111" s="197">
        <f ca="1">C111/Summary!C$58</f>
        <v>7.294566397210335E-2</v>
      </c>
      <c r="H111" s="198">
        <f ca="1">H110+M111*Summary!$C$26/1000000</f>
        <v>4813.8121022001878</v>
      </c>
      <c r="I111" s="198">
        <f t="shared" si="39"/>
        <v>31660.871666666619</v>
      </c>
      <c r="J111" s="200">
        <f ca="1">C110*Summary!C$49*Summary!C$62*24*365*1000*C$11</f>
        <v>856867603.84800863</v>
      </c>
      <c r="K111" s="200">
        <f t="shared" ca="1" si="49"/>
        <v>14726867603.848009</v>
      </c>
      <c r="L111" s="184">
        <f t="shared" ca="1" si="33"/>
        <v>18408495</v>
      </c>
      <c r="M111" s="273">
        <f ca="1">C110*Summary!$C$49*Summary!$C$61</f>
        <v>9781.5936512329736</v>
      </c>
      <c r="N111" s="272">
        <f ca="1">M111/'Alberta Electricity Profile'!$D$49</f>
        <v>7.4930051027117306E-2</v>
      </c>
      <c r="O111" s="273">
        <f t="shared" si="41"/>
        <v>347.92166666666526</v>
      </c>
      <c r="P111" s="273">
        <f t="shared" ca="1" si="42"/>
        <v>62.357524077967355</v>
      </c>
      <c r="Q111" s="63">
        <f t="shared" ca="1" si="43"/>
        <v>6.3749861527019336</v>
      </c>
      <c r="R111" s="63">
        <f t="shared" ca="1" si="44"/>
        <v>21.254441237156286</v>
      </c>
      <c r="S111" s="63">
        <f t="shared" ca="1" si="45"/>
        <v>0.13549676857028831</v>
      </c>
    </row>
    <row r="112" spans="2:19">
      <c r="B112" s="192">
        <f t="shared" si="34"/>
        <v>92</v>
      </c>
      <c r="C112" s="184">
        <f t="shared" ca="1" si="35"/>
        <v>460214267</v>
      </c>
      <c r="D112" s="195">
        <f t="shared" ca="1" si="46"/>
        <v>0.15233843986425527</v>
      </c>
      <c r="E112" s="184">
        <f t="shared" ca="1" si="47"/>
        <v>18408584</v>
      </c>
      <c r="F112" s="196">
        <f t="shared" ca="1" si="48"/>
        <v>18.408584000000001</v>
      </c>
      <c r="G112" s="197">
        <f ca="1">C112/Summary!C$58</f>
        <v>7.294567554287526E-2</v>
      </c>
      <c r="H112" s="198">
        <f ca="1">H111+M112*Summary!$C$26/1000000</f>
        <v>4876.1696383373674</v>
      </c>
      <c r="I112" s="198">
        <f t="shared" si="39"/>
        <v>32008.793333333284</v>
      </c>
      <c r="J112" s="200">
        <f ca="1">C111*Summary!C$49*Summary!C$62*24*365*1000*C$11</f>
        <v>856867769.55613422</v>
      </c>
      <c r="K112" s="200">
        <f t="shared" ca="1" si="49"/>
        <v>14726867769.556133</v>
      </c>
      <c r="L112" s="184">
        <f t="shared" ca="1" si="33"/>
        <v>18408511</v>
      </c>
      <c r="M112" s="273">
        <f ca="1">C111*Summary!$C$49*Summary!$C$61</f>
        <v>9781.5955428782436</v>
      </c>
      <c r="N112" s="272">
        <f ca="1">M112/'Alberta Electricity Profile'!$D$49</f>
        <v>7.4930065517708672E-2</v>
      </c>
      <c r="O112" s="273">
        <f t="shared" si="41"/>
        <v>347.92166666666526</v>
      </c>
      <c r="P112" s="273">
        <f t="shared" ca="1" si="42"/>
        <v>62.357536137179522</v>
      </c>
      <c r="Q112" s="63">
        <f t="shared" ca="1" si="43"/>
        <v>6.3749861527019105</v>
      </c>
      <c r="R112" s="63">
        <f t="shared" ca="1" si="44"/>
        <v>21.254441237156289</v>
      </c>
      <c r="S112" s="63">
        <f t="shared" ca="1" si="45"/>
        <v>0.13549676857028778</v>
      </c>
    </row>
    <row r="113" spans="2:19">
      <c r="B113" s="192">
        <f t="shared" si="34"/>
        <v>93</v>
      </c>
      <c r="C113" s="184">
        <f t="shared" ca="1" si="35"/>
        <v>460214327</v>
      </c>
      <c r="D113" s="195">
        <f t="shared" ca="1" si="46"/>
        <v>0.15262758238485641</v>
      </c>
      <c r="E113" s="184">
        <f t="shared" ca="1" si="47"/>
        <v>18408584</v>
      </c>
      <c r="F113" s="196">
        <f t="shared" ca="1" si="48"/>
        <v>18.408584000000001</v>
      </c>
      <c r="G113" s="197">
        <f ca="1">C113/Summary!C$58</f>
        <v>7.2945685053098744E-2</v>
      </c>
      <c r="H113" s="198">
        <f ca="1">H112+M113*Summary!$C$26/1000000</f>
        <v>4938.5271843658111</v>
      </c>
      <c r="I113" s="198">
        <f t="shared" si="39"/>
        <v>32356.714999999949</v>
      </c>
      <c r="J113" s="200">
        <f ca="1">C112*Summary!C$49*Summary!C$62*24*365*1000*C$11</f>
        <v>856867905.47403514</v>
      </c>
      <c r="K113" s="200">
        <f t="shared" ca="1" si="49"/>
        <v>14726867905.474035</v>
      </c>
      <c r="L113" s="184">
        <f t="shared" ca="1" si="33"/>
        <v>18408524</v>
      </c>
      <c r="M113" s="273">
        <f ca="1">C112*Summary!$C$49*Summary!$C$61</f>
        <v>9781.5970944524543</v>
      </c>
      <c r="N113" s="272">
        <f ca="1">M113/'Alberta Electricity Profile'!$D$49</f>
        <v>7.4930077403249917E-2</v>
      </c>
      <c r="O113" s="273">
        <f t="shared" si="41"/>
        <v>347.92166666666526</v>
      </c>
      <c r="P113" s="273">
        <f t="shared" ca="1" si="42"/>
        <v>62.357546028443721</v>
      </c>
      <c r="Q113" s="63">
        <f t="shared" ca="1" si="43"/>
        <v>6.3749861527019185</v>
      </c>
      <c r="R113" s="63">
        <f t="shared" ca="1" si="44"/>
        <v>21.254441237156286</v>
      </c>
      <c r="S113" s="63">
        <f t="shared" ca="1" si="45"/>
        <v>0.13549676857028797</v>
      </c>
    </row>
    <row r="114" spans="2:19">
      <c r="B114" s="192">
        <f t="shared" si="34"/>
        <v>94</v>
      </c>
      <c r="C114" s="184">
        <f t="shared" ca="1" si="35"/>
        <v>460214377</v>
      </c>
      <c r="D114" s="195">
        <f t="shared" ca="1" si="46"/>
        <v>0.15291057318551676</v>
      </c>
      <c r="E114" s="184">
        <f t="shared" ca="1" si="47"/>
        <v>18408585</v>
      </c>
      <c r="F114" s="196">
        <f t="shared" ca="1" si="48"/>
        <v>18.408584999999999</v>
      </c>
      <c r="G114" s="197">
        <f ca="1">C114/Summary!C$58</f>
        <v>7.2945692978284987E-2</v>
      </c>
      <c r="H114" s="198">
        <f ca="1">H113+M114*Summary!$C$26/1000000</f>
        <v>5000.8847385240606</v>
      </c>
      <c r="I114" s="198">
        <f t="shared" si="39"/>
        <v>32704.636666666614</v>
      </c>
      <c r="J114" s="200">
        <f ca="1">C113*Summary!C$49*Summary!C$62*24*365*1000*C$11</f>
        <v>856868017.18737829</v>
      </c>
      <c r="K114" s="200">
        <f t="shared" ca="1" si="49"/>
        <v>14726868017.187378</v>
      </c>
      <c r="L114" s="184">
        <f t="shared" ca="1" si="33"/>
        <v>18408535</v>
      </c>
      <c r="M114" s="273">
        <f ca="1">C113*Summary!$C$49*Summary!$C$61</f>
        <v>9781.5983697189276</v>
      </c>
      <c r="N114" s="272">
        <f ca="1">M114/'Alberta Electricity Profile'!$D$49</f>
        <v>7.4930087172187923E-2</v>
      </c>
      <c r="O114" s="273">
        <f t="shared" si="41"/>
        <v>347.92166666666526</v>
      </c>
      <c r="P114" s="273">
        <f t="shared" ca="1" si="42"/>
        <v>62.357554158249513</v>
      </c>
      <c r="Q114" s="63">
        <f t="shared" ca="1" si="43"/>
        <v>6.3749861527018865</v>
      </c>
      <c r="R114" s="63">
        <f t="shared" ca="1" si="44"/>
        <v>21.254441237156286</v>
      </c>
      <c r="S114" s="63">
        <f t="shared" ca="1" si="45"/>
        <v>0.13549676857028728</v>
      </c>
    </row>
    <row r="115" spans="2:19">
      <c r="B115" s="192">
        <f t="shared" si="34"/>
        <v>95</v>
      </c>
      <c r="C115" s="184">
        <f t="shared" ca="1" si="35"/>
        <v>460214417</v>
      </c>
      <c r="D115" s="195">
        <f t="shared" ref="D115:D119" ca="1" si="50">H115/I115</f>
        <v>0.15318760649008228</v>
      </c>
      <c r="E115" s="184">
        <f t="shared" ref="E115:E120" ca="1" si="51">ROUNDDOWN(K115/C$16,0)</f>
        <v>18408585</v>
      </c>
      <c r="F115" s="196">
        <f t="shared" ref="F115:F120" ca="1" si="52">E115*C$18/1000000</f>
        <v>18.408584999999999</v>
      </c>
      <c r="G115" s="197">
        <f ca="1">C115/Summary!C$58</f>
        <v>7.2945699318433976E-2</v>
      </c>
      <c r="H115" s="198">
        <f ca="1">H114+M115*Summary!$C$26/1000000</f>
        <v>5063.2422994571489</v>
      </c>
      <c r="I115" s="198">
        <f t="shared" si="39"/>
        <v>33052.558333333283</v>
      </c>
      <c r="J115" s="200">
        <f ca="1">C114*Summary!C$49*Summary!C$62*24*365*1000*C$11</f>
        <v>856868110.28183103</v>
      </c>
      <c r="K115" s="200">
        <f t="shared" ref="K115:K120" ca="1" si="53">C$10+J115</f>
        <v>14726868110.281832</v>
      </c>
      <c r="L115" s="184">
        <f t="shared" ca="1" si="33"/>
        <v>18408545</v>
      </c>
      <c r="M115" s="273">
        <f ca="1">C114*Summary!$C$49*Summary!$C$61</f>
        <v>9781.5994324409912</v>
      </c>
      <c r="N115" s="272">
        <f ca="1">M115/'Alberta Electricity Profile'!$D$49</f>
        <v>7.4930095312969611E-2</v>
      </c>
      <c r="O115" s="273">
        <f t="shared" si="41"/>
        <v>347.9216666666689</v>
      </c>
      <c r="P115" s="273">
        <f t="shared" ca="1" si="42"/>
        <v>62.35756093308828</v>
      </c>
      <c r="Q115" s="63">
        <f t="shared" ca="1" si="43"/>
        <v>6.3749861527019194</v>
      </c>
      <c r="R115" s="63">
        <f t="shared" ca="1" si="44"/>
        <v>21.254441237156289</v>
      </c>
      <c r="S115" s="63">
        <f t="shared" ca="1" si="45"/>
        <v>0.135496768570288</v>
      </c>
    </row>
    <row r="116" spans="2:19">
      <c r="B116" s="192">
        <f t="shared" si="34"/>
        <v>96</v>
      </c>
      <c r="C116" s="184">
        <f t="shared" ca="1" si="35"/>
        <v>460214450</v>
      </c>
      <c r="D116" s="195">
        <f t="shared" ca="1" si="50"/>
        <v>0.1534588684297386</v>
      </c>
      <c r="E116" s="184">
        <f t="shared" ca="1" si="51"/>
        <v>18408585</v>
      </c>
      <c r="F116" s="196">
        <f t="shared" ca="1" si="52"/>
        <v>18.408584999999999</v>
      </c>
      <c r="G116" s="197">
        <f ca="1">C116/Summary!C$58</f>
        <v>7.2945704549056897E-2</v>
      </c>
      <c r="H116" s="198">
        <f ca="1">H115+M116*Summary!$C$26/1000000</f>
        <v>5125.599865810108</v>
      </c>
      <c r="I116" s="198">
        <f t="shared" si="39"/>
        <v>33400.479999999952</v>
      </c>
      <c r="J116" s="200">
        <f ca="1">C115*Summary!C$49*Summary!C$62*24*365*1000*C$11</f>
        <v>856868184.75739288</v>
      </c>
      <c r="K116" s="200">
        <f t="shared" ca="1" si="53"/>
        <v>14726868184.757393</v>
      </c>
      <c r="L116" s="184">
        <f t="shared" ca="1" si="33"/>
        <v>18408552</v>
      </c>
      <c r="M116" s="273">
        <f ca="1">C115*Summary!$C$49*Summary!$C$61</f>
        <v>9781.6002826186395</v>
      </c>
      <c r="N116" s="272">
        <f ca="1">M116/'Alberta Electricity Profile'!$D$49</f>
        <v>7.4930101825594939E-2</v>
      </c>
      <c r="O116" s="273">
        <f t="shared" si="41"/>
        <v>347.9216666666689</v>
      </c>
      <c r="P116" s="273">
        <f t="shared" ca="1" si="42"/>
        <v>62.357566352959111</v>
      </c>
      <c r="Q116" s="63">
        <f t="shared" ca="1" si="43"/>
        <v>6.37498615270193</v>
      </c>
      <c r="R116" s="63">
        <f t="shared" ca="1" si="44"/>
        <v>21.254441237156286</v>
      </c>
      <c r="S116" s="63">
        <f t="shared" ca="1" si="45"/>
        <v>0.13549676857028822</v>
      </c>
    </row>
    <row r="117" spans="2:19">
      <c r="B117" s="192">
        <f t="shared" si="34"/>
        <v>97</v>
      </c>
      <c r="C117" s="184">
        <f t="shared" ca="1" si="35"/>
        <v>460214477</v>
      </c>
      <c r="D117" s="195">
        <f t="shared" ca="1" si="50"/>
        <v>0.15372453747220327</v>
      </c>
      <c r="E117" s="184">
        <f t="shared" ca="1" si="51"/>
        <v>18408585</v>
      </c>
      <c r="F117" s="196">
        <f t="shared" ca="1" si="52"/>
        <v>18.408584999999999</v>
      </c>
      <c r="G117" s="197">
        <f ca="1">C117/Summary!C$58</f>
        <v>7.2945708828657474E-2</v>
      </c>
      <c r="H117" s="198">
        <f ca="1">H116+M117*Summary!$C$26/1000000</f>
        <v>5187.9574366344605</v>
      </c>
      <c r="I117" s="198">
        <f t="shared" si="39"/>
        <v>33748.401666666621</v>
      </c>
      <c r="J117" s="200">
        <f ca="1">C116*Summary!C$49*Summary!C$62*24*365*1000*C$11</f>
        <v>856868246.19973183</v>
      </c>
      <c r="K117" s="200">
        <f t="shared" ca="1" si="53"/>
        <v>14726868246.199732</v>
      </c>
      <c r="L117" s="184">
        <f t="shared" ca="1" si="33"/>
        <v>18408558</v>
      </c>
      <c r="M117" s="273">
        <f ca="1">C116*Summary!$C$49*Summary!$C$61</f>
        <v>9781.6009840152019</v>
      </c>
      <c r="N117" s="272">
        <f ca="1">M117/'Alberta Electricity Profile'!$D$49</f>
        <v>7.4930107198510856E-2</v>
      </c>
      <c r="O117" s="273">
        <f t="shared" si="41"/>
        <v>347.9216666666689</v>
      </c>
      <c r="P117" s="273">
        <f t="shared" ca="1" si="42"/>
        <v>62.357570824352479</v>
      </c>
      <c r="Q117" s="63">
        <f t="shared" ca="1" si="43"/>
        <v>6.3749861527019291</v>
      </c>
      <c r="R117" s="63">
        <f t="shared" ca="1" si="44"/>
        <v>21.254441237156289</v>
      </c>
      <c r="S117" s="63">
        <f t="shared" ca="1" si="45"/>
        <v>0.13549676857028822</v>
      </c>
    </row>
    <row r="118" spans="2:19">
      <c r="B118" s="192">
        <f t="shared" si="34"/>
        <v>98</v>
      </c>
      <c r="C118" s="184">
        <f t="shared" ca="1" si="35"/>
        <v>460214499</v>
      </c>
      <c r="D118" s="195">
        <f t="shared" ca="1" si="50"/>
        <v>0.15398478480477118</v>
      </c>
      <c r="E118" s="184">
        <f t="shared" ca="1" si="51"/>
        <v>18408585</v>
      </c>
      <c r="F118" s="196">
        <f t="shared" ca="1" si="52"/>
        <v>18.408584999999999</v>
      </c>
      <c r="G118" s="197">
        <f ca="1">C118/Summary!C$58</f>
        <v>7.2945712315739417E-2</v>
      </c>
      <c r="H118" s="198">
        <f ca="1">H117+M118*Summary!$C$26/1000000</f>
        <v>5250.3150111172254</v>
      </c>
      <c r="I118" s="198">
        <f t="shared" si="39"/>
        <v>34096.32333333329</v>
      </c>
      <c r="J118" s="200">
        <f ca="1">C117*Summary!C$49*Summary!C$62*24*365*1000*C$11</f>
        <v>856868296.47073615</v>
      </c>
      <c r="K118" s="200">
        <f t="shared" ca="1" si="53"/>
        <v>14726868296.470736</v>
      </c>
      <c r="L118" s="184">
        <f t="shared" ca="1" si="33"/>
        <v>18408563</v>
      </c>
      <c r="M118" s="273">
        <f ca="1">C117*Summary!$C$49*Summary!$C$61</f>
        <v>9781.6015578851147</v>
      </c>
      <c r="N118" s="272">
        <f ca="1">M118/'Alberta Electricity Profile'!$D$49</f>
        <v>7.4930111594532944E-2</v>
      </c>
      <c r="O118" s="273">
        <f t="shared" si="41"/>
        <v>347.9216666666689</v>
      </c>
      <c r="P118" s="273">
        <f t="shared" ca="1" si="42"/>
        <v>62.357574482764903</v>
      </c>
      <c r="Q118" s="63">
        <f t="shared" ca="1" si="43"/>
        <v>6.3749861527018963</v>
      </c>
      <c r="R118" s="63">
        <f t="shared" ca="1" si="44"/>
        <v>21.254441237156289</v>
      </c>
      <c r="S118" s="63">
        <f t="shared" ca="1" si="45"/>
        <v>0.1354967685702875</v>
      </c>
    </row>
    <row r="119" spans="2:19">
      <c r="B119" s="192">
        <f t="shared" si="34"/>
        <v>99</v>
      </c>
      <c r="C119" s="184">
        <f t="shared" ca="1" si="35"/>
        <v>460214518</v>
      </c>
      <c r="D119" s="195">
        <f t="shared" ca="1" si="50"/>
        <v>0.15423977470201264</v>
      </c>
      <c r="E119" s="184">
        <f t="shared" ca="1" si="51"/>
        <v>18408585</v>
      </c>
      <c r="F119" s="196">
        <f t="shared" ca="1" si="52"/>
        <v>18.408584999999999</v>
      </c>
      <c r="G119" s="197">
        <f ca="1">C119/Summary!C$58</f>
        <v>7.2945715327310187E-2</v>
      </c>
      <c r="H119" s="198">
        <f ca="1">H118+M119*Summary!$C$26/1000000</f>
        <v>5312.6725885809192</v>
      </c>
      <c r="I119" s="198">
        <f t="shared" si="39"/>
        <v>34444.244999999959</v>
      </c>
      <c r="J119" s="200">
        <f ca="1">C118*Summary!C$49*Summary!C$62*24*365*1000*C$11</f>
        <v>856868337.43229532</v>
      </c>
      <c r="K119" s="200">
        <f t="shared" ca="1" si="53"/>
        <v>14726868337.432295</v>
      </c>
      <c r="L119" s="184">
        <f t="shared" ca="1" si="33"/>
        <v>18408566</v>
      </c>
      <c r="M119" s="273">
        <f ca="1">C118*Summary!$C$49*Summary!$C$61</f>
        <v>9781.6020254828218</v>
      </c>
      <c r="N119" s="272">
        <f ca="1">M119/'Alberta Electricity Profile'!$D$49</f>
        <v>7.493011517647688E-2</v>
      </c>
      <c r="O119" s="273">
        <f t="shared" si="41"/>
        <v>347.9216666666689</v>
      </c>
      <c r="P119" s="273">
        <f t="shared" ca="1" si="42"/>
        <v>62.357577463693815</v>
      </c>
      <c r="Q119" s="63">
        <f t="shared" ca="1" si="43"/>
        <v>6.3749861527018972</v>
      </c>
      <c r="R119" s="63">
        <f t="shared" ca="1" si="44"/>
        <v>21.254441237156289</v>
      </c>
      <c r="S119" s="63">
        <f t="shared" ca="1" si="45"/>
        <v>0.13549676857028753</v>
      </c>
    </row>
    <row r="120" spans="2:19" ht="15" thickBot="1">
      <c r="B120" s="194">
        <f t="shared" si="34"/>
        <v>100</v>
      </c>
      <c r="C120" s="185">
        <f t="shared" ca="1" si="35"/>
        <v>460214534</v>
      </c>
      <c r="D120" s="202">
        <f ca="1">H120/I120</f>
        <v>0.15448966487530408</v>
      </c>
      <c r="E120" s="185">
        <f t="shared" ca="1" si="51"/>
        <v>18408585</v>
      </c>
      <c r="F120" s="203">
        <f t="shared" ca="1" si="52"/>
        <v>18.408584999999999</v>
      </c>
      <c r="G120" s="204">
        <f ca="1">C120/Summary!C$58</f>
        <v>7.2945717863369786E-2</v>
      </c>
      <c r="H120" s="198">
        <f ca="1">H119+M120*Summary!$C$26/1000000</f>
        <v>5375.0301686190523</v>
      </c>
      <c r="I120" s="205">
        <f t="shared" si="39"/>
        <v>34792.166666666628</v>
      </c>
      <c r="J120" s="200">
        <f ca="1">C119*Summary!C$49*Summary!C$62*24*365*1000*C$11</f>
        <v>856868372.80818737</v>
      </c>
      <c r="K120" s="207">
        <f t="shared" ca="1" si="53"/>
        <v>14726868372.808187</v>
      </c>
      <c r="L120" s="184">
        <f t="shared" ca="1" si="33"/>
        <v>18408569</v>
      </c>
      <c r="M120" s="273">
        <f ca="1">C119*Summary!$C$49*Summary!$C$61</f>
        <v>9781.6024293172068</v>
      </c>
      <c r="N120" s="272">
        <f ca="1">M120/'Alberta Electricity Profile'!$D$49</f>
        <v>7.4930118269973936E-2</v>
      </c>
      <c r="O120" s="273">
        <f t="shared" si="41"/>
        <v>347.9216666666689</v>
      </c>
      <c r="P120" s="273">
        <f t="shared" ca="1" si="42"/>
        <v>62.357580038133165</v>
      </c>
      <c r="Q120" s="63">
        <f t="shared" ca="1" si="43"/>
        <v>6.3749861527019718</v>
      </c>
      <c r="R120" s="63">
        <f t="shared" ca="1" si="44"/>
        <v>21.254441237156293</v>
      </c>
      <c r="S120" s="63">
        <f t="shared" ca="1" si="45"/>
        <v>0.13549676857028914</v>
      </c>
    </row>
    <row r="121" spans="2:19">
      <c r="B121" s="211"/>
      <c r="C121" s="210"/>
      <c r="D121" s="212"/>
      <c r="E121" s="210"/>
      <c r="F121" s="213"/>
      <c r="G121" s="214"/>
      <c r="H121" s="215"/>
      <c r="I121" s="215"/>
      <c r="J121" s="216"/>
      <c r="K121" s="216"/>
      <c r="L121" s="210"/>
    </row>
    <row r="122" spans="2:19">
      <c r="C122" s="164"/>
      <c r="D122" s="175"/>
      <c r="E122" s="176"/>
      <c r="F122" s="177"/>
      <c r="G122" s="178"/>
      <c r="H122" s="179"/>
      <c r="I122" s="179"/>
      <c r="J122" s="180"/>
      <c r="K122" s="180"/>
      <c r="L122" s="176"/>
    </row>
    <row r="123" spans="2:19">
      <c r="C123" s="164"/>
      <c r="D123" s="175"/>
      <c r="E123" s="176"/>
      <c r="F123" s="177"/>
      <c r="G123" s="178"/>
      <c r="H123" s="179"/>
      <c r="I123" s="179"/>
      <c r="J123" s="180"/>
      <c r="K123" s="180"/>
      <c r="L123" s="176"/>
    </row>
    <row r="124" spans="2:19">
      <c r="C124" s="164"/>
      <c r="D124" s="175"/>
      <c r="E124" s="176"/>
      <c r="F124" s="177"/>
      <c r="G124" s="178"/>
      <c r="H124" s="179"/>
      <c r="I124" s="179"/>
      <c r="J124" s="180"/>
      <c r="K124" s="180"/>
      <c r="L124" s="176"/>
    </row>
    <row r="125" spans="2:19">
      <c r="C125" s="164"/>
      <c r="D125" s="175"/>
      <c r="E125" s="176"/>
      <c r="F125" s="177"/>
      <c r="G125" s="178"/>
      <c r="H125" s="179"/>
      <c r="I125" s="179"/>
      <c r="J125" s="180"/>
      <c r="K125" s="180"/>
      <c r="L125" s="176"/>
    </row>
    <row r="126" spans="2:19">
      <c r="C126" s="164"/>
      <c r="D126" s="175"/>
      <c r="E126" s="176"/>
      <c r="F126" s="177"/>
      <c r="G126" s="178"/>
      <c r="H126" s="179"/>
      <c r="I126" s="179"/>
      <c r="J126" s="180"/>
      <c r="K126" s="180"/>
      <c r="L126" s="176"/>
    </row>
    <row r="127" spans="2:19">
      <c r="C127" s="164"/>
      <c r="D127" s="175"/>
      <c r="E127" s="176"/>
      <c r="F127" s="177"/>
      <c r="G127" s="178"/>
      <c r="H127" s="179"/>
      <c r="I127" s="179"/>
      <c r="J127" s="180"/>
      <c r="K127" s="180"/>
      <c r="L127" s="176"/>
    </row>
    <row r="128" spans="2:19">
      <c r="C128" s="164"/>
      <c r="D128" s="175"/>
      <c r="E128" s="176"/>
      <c r="F128" s="177"/>
      <c r="G128" s="178"/>
      <c r="H128" s="179"/>
      <c r="I128" s="179"/>
      <c r="J128" s="180"/>
      <c r="K128" s="180"/>
      <c r="L128" s="176"/>
    </row>
    <row r="129" spans="3:12">
      <c r="C129" s="164"/>
      <c r="D129" s="175"/>
      <c r="E129" s="176"/>
      <c r="F129" s="177"/>
      <c r="G129" s="178"/>
      <c r="H129" s="179"/>
      <c r="I129" s="179"/>
      <c r="J129" s="180"/>
      <c r="K129" s="180"/>
      <c r="L129" s="176"/>
    </row>
    <row r="130" spans="3:12">
      <c r="C130" s="164"/>
      <c r="D130" s="175"/>
      <c r="E130" s="176"/>
      <c r="F130" s="177"/>
      <c r="G130" s="178"/>
      <c r="H130" s="179"/>
      <c r="I130" s="179"/>
      <c r="J130" s="180"/>
      <c r="K130" s="180"/>
      <c r="L130" s="176"/>
    </row>
    <row r="131" spans="3:12">
      <c r="C131" s="164"/>
      <c r="D131" s="175"/>
      <c r="E131" s="176"/>
      <c r="F131" s="177"/>
      <c r="G131" s="178"/>
      <c r="H131" s="179"/>
      <c r="I131" s="179"/>
      <c r="J131" s="180"/>
      <c r="K131" s="180"/>
      <c r="L131" s="176"/>
    </row>
    <row r="132" spans="3:12">
      <c r="C132" s="164"/>
      <c r="D132" s="175"/>
      <c r="E132" s="176"/>
      <c r="F132" s="177"/>
      <c r="G132" s="178"/>
      <c r="H132" s="179"/>
      <c r="I132" s="179"/>
      <c r="J132" s="180"/>
      <c r="K132" s="180"/>
      <c r="L132" s="176"/>
    </row>
    <row r="133" spans="3:12">
      <c r="C133" s="164"/>
      <c r="D133" s="175"/>
      <c r="E133" s="176"/>
      <c r="F133" s="177"/>
      <c r="G133" s="178"/>
      <c r="H133" s="179"/>
      <c r="I133" s="179"/>
      <c r="J133" s="180"/>
      <c r="K133" s="180"/>
      <c r="L133" s="176"/>
    </row>
    <row r="134" spans="3:12">
      <c r="C134" s="164"/>
      <c r="D134" s="175"/>
      <c r="E134" s="176"/>
      <c r="F134" s="177"/>
      <c r="G134" s="178"/>
      <c r="H134" s="179"/>
      <c r="I134" s="179"/>
      <c r="J134" s="180"/>
      <c r="K134" s="180"/>
      <c r="L134" s="176"/>
    </row>
    <row r="135" spans="3:12">
      <c r="C135" s="164"/>
      <c r="D135" s="175"/>
      <c r="E135" s="176"/>
      <c r="F135" s="177"/>
      <c r="G135" s="178"/>
      <c r="H135" s="179"/>
      <c r="I135" s="179"/>
      <c r="J135" s="180"/>
      <c r="K135" s="180"/>
      <c r="L135" s="176"/>
    </row>
    <row r="136" spans="3:12">
      <c r="C136" s="164"/>
      <c r="D136" s="175"/>
      <c r="E136" s="176"/>
      <c r="F136" s="177"/>
      <c r="G136" s="178"/>
      <c r="H136" s="179"/>
      <c r="I136" s="179"/>
      <c r="J136" s="180"/>
      <c r="K136" s="180"/>
      <c r="L136" s="176"/>
    </row>
    <row r="137" spans="3:12">
      <c r="C137" s="164"/>
      <c r="D137" s="175"/>
      <c r="E137" s="176"/>
      <c r="F137" s="177"/>
      <c r="G137" s="178"/>
      <c r="H137" s="179"/>
      <c r="I137" s="179"/>
      <c r="J137" s="180"/>
      <c r="K137" s="180"/>
      <c r="L137" s="176"/>
    </row>
    <row r="138" spans="3:12">
      <c r="C138" s="164"/>
      <c r="D138" s="175"/>
      <c r="E138" s="176"/>
      <c r="F138" s="177"/>
      <c r="G138" s="178"/>
      <c r="H138" s="179"/>
      <c r="I138" s="179"/>
      <c r="J138" s="180"/>
      <c r="K138" s="180"/>
      <c r="L138" s="176"/>
    </row>
    <row r="139" spans="3:12">
      <c r="C139" s="164"/>
      <c r="D139" s="175"/>
      <c r="E139" s="176"/>
      <c r="F139" s="177"/>
      <c r="G139" s="178"/>
      <c r="H139" s="179"/>
      <c r="I139" s="179"/>
      <c r="J139" s="180"/>
      <c r="K139" s="180"/>
      <c r="L139" s="176"/>
    </row>
    <row r="140" spans="3:12">
      <c r="C140" s="164"/>
      <c r="D140" s="175"/>
      <c r="E140" s="176"/>
      <c r="F140" s="177"/>
      <c r="G140" s="178"/>
      <c r="H140" s="179"/>
      <c r="I140" s="179"/>
      <c r="J140" s="180"/>
      <c r="K140" s="180"/>
      <c r="L140" s="176"/>
    </row>
    <row r="141" spans="3:12">
      <c r="C141" s="164"/>
      <c r="D141" s="175"/>
      <c r="E141" s="176"/>
      <c r="F141" s="177"/>
      <c r="G141" s="178"/>
      <c r="H141" s="179"/>
      <c r="I141" s="179"/>
      <c r="J141" s="180"/>
      <c r="K141" s="180"/>
      <c r="L141" s="176"/>
    </row>
    <row r="142" spans="3:12">
      <c r="C142" s="164"/>
      <c r="D142" s="175"/>
      <c r="E142" s="176"/>
      <c r="F142" s="177"/>
      <c r="G142" s="178"/>
      <c r="H142" s="179"/>
      <c r="I142" s="179"/>
      <c r="J142" s="180"/>
      <c r="K142" s="180"/>
      <c r="L142" s="176"/>
    </row>
    <row r="143" spans="3:12">
      <c r="C143" s="164"/>
      <c r="D143" s="175"/>
      <c r="E143" s="176"/>
      <c r="F143" s="177"/>
      <c r="G143" s="178"/>
      <c r="H143" s="179"/>
      <c r="I143" s="179"/>
      <c r="J143" s="180"/>
      <c r="K143" s="180"/>
      <c r="L143" s="176"/>
    </row>
    <row r="144" spans="3:12">
      <c r="C144" s="164"/>
      <c r="D144" s="175"/>
      <c r="E144" s="176"/>
      <c r="F144" s="177"/>
      <c r="G144" s="178"/>
      <c r="H144" s="179"/>
      <c r="I144" s="179"/>
      <c r="J144" s="180"/>
      <c r="K144" s="180"/>
      <c r="L144" s="176"/>
    </row>
    <row r="145" spans="3:12">
      <c r="C145" s="164"/>
      <c r="D145" s="175"/>
      <c r="E145" s="176"/>
      <c r="F145" s="177"/>
      <c r="G145" s="178"/>
      <c r="H145" s="179"/>
      <c r="I145" s="179"/>
      <c r="J145" s="180"/>
      <c r="K145" s="180"/>
      <c r="L145" s="176"/>
    </row>
    <row r="146" spans="3:12">
      <c r="C146" s="164"/>
      <c r="D146" s="175"/>
      <c r="E146" s="176"/>
      <c r="F146" s="177"/>
      <c r="G146" s="178"/>
      <c r="H146" s="179"/>
      <c r="I146" s="179"/>
      <c r="J146" s="180"/>
      <c r="K146" s="180"/>
      <c r="L146" s="176"/>
    </row>
    <row r="147" spans="3:12">
      <c r="C147" s="164"/>
      <c r="D147" s="175"/>
      <c r="E147" s="176"/>
      <c r="F147" s="177"/>
      <c r="G147" s="178"/>
      <c r="H147" s="179"/>
      <c r="I147" s="179"/>
      <c r="J147" s="180"/>
      <c r="K147" s="180"/>
      <c r="L147" s="176"/>
    </row>
    <row r="148" spans="3:12">
      <c r="C148" s="164"/>
      <c r="D148" s="175"/>
      <c r="E148" s="176"/>
      <c r="F148" s="177"/>
      <c r="G148" s="178"/>
      <c r="H148" s="179"/>
      <c r="I148" s="179"/>
      <c r="J148" s="180"/>
      <c r="K148" s="180"/>
      <c r="L148" s="176"/>
    </row>
    <row r="149" spans="3:12">
      <c r="C149" s="164"/>
      <c r="D149" s="175"/>
      <c r="E149" s="176"/>
      <c r="F149" s="177"/>
      <c r="G149" s="178"/>
      <c r="H149" s="179"/>
      <c r="I149" s="179"/>
      <c r="J149" s="180"/>
      <c r="K149" s="180"/>
      <c r="L149" s="176"/>
    </row>
    <row r="150" spans="3:12">
      <c r="C150" s="164"/>
      <c r="D150" s="175"/>
      <c r="E150" s="176"/>
      <c r="F150" s="177"/>
      <c r="G150" s="178"/>
      <c r="H150" s="179"/>
      <c r="I150" s="179"/>
      <c r="J150" s="180"/>
      <c r="K150" s="180"/>
      <c r="L150" s="176"/>
    </row>
    <row r="151" spans="3:12">
      <c r="C151" s="164"/>
      <c r="D151" s="175"/>
      <c r="E151" s="176"/>
      <c r="F151" s="177"/>
      <c r="G151" s="178"/>
      <c r="H151" s="179"/>
      <c r="I151" s="179"/>
      <c r="J151" s="180"/>
      <c r="K151" s="180"/>
      <c r="L151" s="176"/>
    </row>
    <row r="152" spans="3:12">
      <c r="C152" s="164"/>
      <c r="D152" s="175"/>
      <c r="E152" s="176"/>
      <c r="F152" s="177"/>
      <c r="G152" s="178"/>
      <c r="H152" s="179"/>
      <c r="I152" s="179"/>
      <c r="J152" s="180"/>
      <c r="K152" s="180"/>
      <c r="L152" s="176"/>
    </row>
    <row r="153" spans="3:12">
      <c r="C153" s="164"/>
      <c r="D153" s="175"/>
      <c r="E153" s="176"/>
      <c r="F153" s="177"/>
      <c r="G153" s="178"/>
      <c r="H153" s="179"/>
      <c r="I153" s="179"/>
      <c r="J153" s="180"/>
      <c r="K153" s="180"/>
      <c r="L153" s="176"/>
    </row>
    <row r="154" spans="3:12">
      <c r="C154" s="164"/>
      <c r="D154" s="175"/>
      <c r="E154" s="176"/>
      <c r="F154" s="177"/>
      <c r="G154" s="178"/>
      <c r="H154" s="179"/>
      <c r="I154" s="179"/>
      <c r="J154" s="180"/>
      <c r="K154" s="180"/>
      <c r="L154" s="176"/>
    </row>
    <row r="155" spans="3:12">
      <c r="C155" s="164"/>
      <c r="D155" s="175"/>
      <c r="E155" s="176"/>
      <c r="F155" s="177"/>
      <c r="G155" s="178"/>
      <c r="H155" s="179"/>
      <c r="I155" s="179"/>
      <c r="J155" s="180"/>
      <c r="K155" s="180"/>
      <c r="L155" s="176"/>
    </row>
    <row r="156" spans="3:12">
      <c r="C156" s="164"/>
      <c r="D156" s="175"/>
      <c r="E156" s="176"/>
      <c r="F156" s="177"/>
      <c r="G156" s="178"/>
      <c r="H156" s="179"/>
      <c r="I156" s="179"/>
      <c r="J156" s="180"/>
      <c r="K156" s="180"/>
      <c r="L156" s="176"/>
    </row>
    <row r="157" spans="3:12">
      <c r="C157" s="164"/>
      <c r="D157" s="175"/>
      <c r="E157" s="176"/>
      <c r="F157" s="177"/>
      <c r="G157" s="178"/>
      <c r="H157" s="179"/>
      <c r="I157" s="179"/>
      <c r="J157" s="180"/>
      <c r="K157" s="180"/>
      <c r="L157" s="176"/>
    </row>
    <row r="158" spans="3:12">
      <c r="C158" s="164"/>
      <c r="D158" s="175"/>
      <c r="E158" s="176"/>
      <c r="F158" s="177"/>
      <c r="G158" s="178"/>
      <c r="H158" s="179"/>
      <c r="I158" s="179"/>
      <c r="J158" s="180"/>
      <c r="K158" s="180"/>
      <c r="L158" s="176"/>
    </row>
    <row r="159" spans="3:12">
      <c r="C159" s="164"/>
      <c r="D159" s="175"/>
      <c r="E159" s="176"/>
      <c r="F159" s="177"/>
      <c r="G159" s="178"/>
      <c r="H159" s="179"/>
      <c r="I159" s="179"/>
      <c r="J159" s="180"/>
      <c r="K159" s="180"/>
      <c r="L159" s="176"/>
    </row>
    <row r="160" spans="3:12">
      <c r="C160" s="164"/>
      <c r="D160" s="175"/>
      <c r="E160" s="176"/>
      <c r="F160" s="177"/>
      <c r="G160" s="178"/>
      <c r="H160" s="179"/>
      <c r="I160" s="179"/>
      <c r="J160" s="180"/>
      <c r="K160" s="180"/>
      <c r="L160" s="176"/>
    </row>
    <row r="161" spans="3:12">
      <c r="C161" s="164"/>
      <c r="D161" s="175"/>
      <c r="E161" s="176"/>
      <c r="F161" s="177"/>
      <c r="G161" s="178"/>
      <c r="H161" s="179"/>
      <c r="I161" s="179"/>
      <c r="J161" s="180"/>
      <c r="K161" s="180"/>
      <c r="L161" s="176"/>
    </row>
    <row r="162" spans="3:12">
      <c r="C162" s="164"/>
      <c r="D162" s="175"/>
      <c r="E162" s="176"/>
      <c r="F162" s="177"/>
      <c r="G162" s="178"/>
      <c r="H162" s="179"/>
      <c r="I162" s="179"/>
      <c r="J162" s="180"/>
      <c r="K162" s="180"/>
      <c r="L162" s="176"/>
    </row>
    <row r="163" spans="3:12">
      <c r="C163" s="164"/>
      <c r="D163" s="175"/>
      <c r="E163" s="176"/>
      <c r="F163" s="177"/>
      <c r="G163" s="178"/>
      <c r="H163" s="179"/>
      <c r="I163" s="179"/>
      <c r="J163" s="180"/>
      <c r="K163" s="180"/>
      <c r="L163" s="176"/>
    </row>
    <row r="164" spans="3:12">
      <c r="C164" s="164"/>
      <c r="D164" s="175"/>
      <c r="E164" s="176"/>
      <c r="F164" s="177"/>
      <c r="G164" s="178"/>
      <c r="H164" s="179"/>
      <c r="I164" s="179"/>
      <c r="J164" s="180"/>
      <c r="K164" s="180"/>
      <c r="L164" s="176"/>
    </row>
    <row r="165" spans="3:12">
      <c r="C165" s="164"/>
      <c r="D165" s="175"/>
      <c r="E165" s="176"/>
      <c r="F165" s="177"/>
      <c r="G165" s="178"/>
      <c r="H165" s="179"/>
      <c r="I165" s="179"/>
      <c r="J165" s="180"/>
      <c r="K165" s="180"/>
      <c r="L165" s="176"/>
    </row>
    <row r="166" spans="3:12">
      <c r="C166" s="164"/>
      <c r="D166" s="175"/>
      <c r="E166" s="176"/>
      <c r="F166" s="177"/>
      <c r="G166" s="178"/>
      <c r="H166" s="179"/>
      <c r="I166" s="179"/>
      <c r="J166" s="180"/>
      <c r="K166" s="180"/>
      <c r="L166" s="176"/>
    </row>
    <row r="167" spans="3:12">
      <c r="C167" s="164"/>
      <c r="D167" s="175"/>
      <c r="E167" s="176"/>
      <c r="F167" s="177"/>
      <c r="G167" s="178"/>
      <c r="H167" s="179"/>
      <c r="I167" s="179"/>
      <c r="J167" s="180"/>
      <c r="K167" s="180"/>
      <c r="L167" s="176"/>
    </row>
    <row r="168" spans="3:12">
      <c r="C168" s="164"/>
      <c r="D168" s="175"/>
      <c r="E168" s="176"/>
      <c r="F168" s="177"/>
      <c r="G168" s="178"/>
      <c r="H168" s="179"/>
      <c r="I168" s="179"/>
      <c r="J168" s="180"/>
      <c r="K168" s="180"/>
      <c r="L168" s="176"/>
    </row>
    <row r="169" spans="3:12">
      <c r="C169" s="164"/>
      <c r="D169" s="175"/>
      <c r="E169" s="176"/>
      <c r="F169" s="177"/>
      <c r="G169" s="178"/>
      <c r="H169" s="179"/>
      <c r="I169" s="179"/>
      <c r="J169" s="180"/>
      <c r="K169" s="180"/>
      <c r="L169" s="176"/>
    </row>
    <row r="170" spans="3:12">
      <c r="C170" s="164"/>
      <c r="D170" s="175"/>
      <c r="E170" s="176"/>
      <c r="F170" s="177"/>
      <c r="G170" s="178"/>
      <c r="H170" s="179"/>
      <c r="I170" s="179"/>
      <c r="J170" s="180"/>
      <c r="K170" s="180"/>
      <c r="L170" s="176"/>
    </row>
    <row r="171" spans="3:12">
      <c r="C171" s="164"/>
      <c r="D171" s="175"/>
      <c r="E171" s="176"/>
      <c r="F171" s="177"/>
      <c r="G171" s="178"/>
      <c r="H171" s="179"/>
      <c r="I171" s="179"/>
      <c r="J171" s="180"/>
      <c r="K171" s="180"/>
      <c r="L171" s="176"/>
    </row>
    <row r="172" spans="3:12">
      <c r="C172" s="164"/>
      <c r="D172" s="175"/>
      <c r="E172" s="176"/>
      <c r="F172" s="177"/>
      <c r="G172" s="178"/>
      <c r="H172" s="179"/>
      <c r="I172" s="179"/>
      <c r="J172" s="180"/>
      <c r="K172" s="180"/>
      <c r="L172" s="176"/>
    </row>
    <row r="173" spans="3:12">
      <c r="C173" s="164"/>
      <c r="D173" s="175"/>
      <c r="E173" s="176"/>
      <c r="F173" s="177"/>
      <c r="G173" s="178"/>
      <c r="H173" s="179"/>
      <c r="I173" s="179"/>
      <c r="J173" s="180"/>
      <c r="K173" s="180"/>
      <c r="L173" s="176"/>
    </row>
    <row r="174" spans="3:12">
      <c r="C174" s="164"/>
      <c r="D174" s="175"/>
      <c r="E174" s="176"/>
      <c r="F174" s="177"/>
      <c r="G174" s="178"/>
      <c r="H174" s="179"/>
      <c r="I174" s="179"/>
      <c r="J174" s="180"/>
      <c r="K174" s="180"/>
      <c r="L174" s="176"/>
    </row>
    <row r="175" spans="3:12">
      <c r="C175" s="164"/>
      <c r="D175" s="175"/>
      <c r="E175" s="176"/>
      <c r="F175" s="177"/>
      <c r="G175" s="178"/>
      <c r="H175" s="179"/>
      <c r="I175" s="179"/>
      <c r="J175" s="180"/>
      <c r="K175" s="180"/>
      <c r="L175" s="176"/>
    </row>
    <row r="176" spans="3:12">
      <c r="C176" s="164"/>
      <c r="D176" s="175"/>
      <c r="E176" s="176"/>
      <c r="F176" s="177"/>
      <c r="G176" s="178"/>
      <c r="H176" s="179"/>
      <c r="I176" s="179"/>
      <c r="J176" s="180"/>
      <c r="K176" s="180"/>
      <c r="L176" s="176"/>
    </row>
    <row r="177" spans="3:12">
      <c r="C177" s="164"/>
      <c r="D177" s="175"/>
      <c r="E177" s="176"/>
      <c r="F177" s="177"/>
      <c r="G177" s="178"/>
      <c r="H177" s="179"/>
      <c r="I177" s="179"/>
      <c r="J177" s="180"/>
      <c r="K177" s="180"/>
      <c r="L177" s="176"/>
    </row>
    <row r="178" spans="3:12">
      <c r="C178" s="164"/>
      <c r="D178" s="175"/>
      <c r="E178" s="176"/>
      <c r="F178" s="177"/>
      <c r="G178" s="178"/>
      <c r="H178" s="179"/>
      <c r="I178" s="179"/>
      <c r="J178" s="180"/>
      <c r="K178" s="180"/>
      <c r="L178" s="176"/>
    </row>
    <row r="179" spans="3:12">
      <c r="C179" s="164"/>
      <c r="D179" s="175"/>
      <c r="E179" s="176"/>
      <c r="F179" s="177"/>
      <c r="G179" s="178"/>
      <c r="H179" s="179"/>
      <c r="I179" s="179"/>
      <c r="J179" s="180"/>
      <c r="K179" s="180"/>
      <c r="L179" s="176"/>
    </row>
    <row r="180" spans="3:12">
      <c r="C180" s="164"/>
      <c r="D180" s="175"/>
      <c r="E180" s="176"/>
      <c r="F180" s="177"/>
      <c r="G180" s="178"/>
      <c r="H180" s="179"/>
      <c r="I180" s="179"/>
      <c r="J180" s="180"/>
      <c r="K180" s="180"/>
      <c r="L180" s="176"/>
    </row>
    <row r="181" spans="3:12">
      <c r="C181" s="164"/>
      <c r="D181" s="175"/>
      <c r="E181" s="176"/>
      <c r="F181" s="177"/>
      <c r="G181" s="178"/>
      <c r="H181" s="179"/>
      <c r="I181" s="179"/>
      <c r="J181" s="180"/>
      <c r="K181" s="180"/>
      <c r="L181" s="176"/>
    </row>
    <row r="182" spans="3:12">
      <c r="C182" s="164"/>
      <c r="D182" s="175"/>
      <c r="E182" s="176"/>
      <c r="F182" s="177"/>
      <c r="G182" s="178"/>
      <c r="H182" s="179"/>
      <c r="I182" s="179"/>
      <c r="J182" s="180"/>
      <c r="K182" s="180"/>
      <c r="L182" s="176"/>
    </row>
    <row r="183" spans="3:12">
      <c r="C183" s="164"/>
      <c r="D183" s="175"/>
      <c r="E183" s="176"/>
      <c r="F183" s="177"/>
      <c r="G183" s="178"/>
      <c r="H183" s="179"/>
      <c r="I183" s="179"/>
      <c r="J183" s="180"/>
      <c r="K183" s="180"/>
      <c r="L183" s="176"/>
    </row>
    <row r="184" spans="3:12">
      <c r="C184" s="164"/>
      <c r="D184" s="175"/>
      <c r="E184" s="176"/>
      <c r="F184" s="177"/>
      <c r="G184" s="178"/>
      <c r="H184" s="179"/>
      <c r="I184" s="179"/>
      <c r="J184" s="180"/>
      <c r="K184" s="180"/>
      <c r="L184" s="176"/>
    </row>
    <row r="185" spans="3:12">
      <c r="C185" s="164"/>
      <c r="D185" s="175"/>
      <c r="E185" s="176"/>
      <c r="F185" s="177"/>
      <c r="G185" s="178"/>
      <c r="H185" s="179"/>
      <c r="I185" s="179"/>
      <c r="J185" s="180"/>
      <c r="K185" s="180"/>
      <c r="L185" s="176"/>
    </row>
    <row r="186" spans="3:12">
      <c r="C186" s="164"/>
      <c r="D186" s="175"/>
      <c r="E186" s="176"/>
      <c r="F186" s="177"/>
      <c r="G186" s="178"/>
      <c r="H186" s="179"/>
      <c r="I186" s="179"/>
      <c r="J186" s="180"/>
      <c r="K186" s="180"/>
      <c r="L186" s="176"/>
    </row>
    <row r="187" spans="3:12">
      <c r="C187" s="164"/>
      <c r="D187" s="175"/>
      <c r="E187" s="176"/>
      <c r="F187" s="177"/>
      <c r="G187" s="178"/>
      <c r="H187" s="179"/>
      <c r="I187" s="179"/>
      <c r="J187" s="180"/>
      <c r="K187" s="180"/>
      <c r="L187" s="176"/>
    </row>
    <row r="188" spans="3:12">
      <c r="C188" s="164"/>
      <c r="D188" s="175"/>
      <c r="E188" s="176"/>
      <c r="F188" s="177"/>
      <c r="G188" s="178"/>
      <c r="H188" s="179"/>
      <c r="I188" s="179"/>
      <c r="J188" s="180"/>
      <c r="K188" s="180"/>
      <c r="L188" s="176"/>
    </row>
    <row r="189" spans="3:12">
      <c r="C189" s="164"/>
      <c r="D189" s="175"/>
      <c r="E189" s="176"/>
      <c r="F189" s="177"/>
      <c r="G189" s="178"/>
      <c r="H189" s="179"/>
      <c r="I189" s="179"/>
      <c r="J189" s="180"/>
      <c r="K189" s="180"/>
      <c r="L189" s="176"/>
    </row>
    <row r="190" spans="3:12">
      <c r="C190" s="164"/>
      <c r="D190" s="175"/>
      <c r="E190" s="176"/>
      <c r="F190" s="177"/>
      <c r="G190" s="178"/>
      <c r="H190" s="179"/>
      <c r="I190" s="179"/>
      <c r="J190" s="180"/>
      <c r="K190" s="180"/>
      <c r="L190" s="176"/>
    </row>
    <row r="191" spans="3:12">
      <c r="C191" s="164"/>
      <c r="D191" s="175"/>
      <c r="E191" s="176"/>
      <c r="F191" s="177"/>
      <c r="G191" s="178"/>
      <c r="H191" s="179"/>
      <c r="I191" s="179"/>
      <c r="J191" s="180"/>
      <c r="K191" s="180"/>
      <c r="L191" s="176"/>
    </row>
    <row r="192" spans="3:12">
      <c r="C192" s="164"/>
      <c r="D192" s="175"/>
      <c r="E192" s="176"/>
      <c r="F192" s="177"/>
      <c r="G192" s="178"/>
      <c r="H192" s="179"/>
      <c r="I192" s="179"/>
      <c r="J192" s="180"/>
      <c r="K192" s="180"/>
      <c r="L192" s="176"/>
    </row>
    <row r="193" spans="3:12">
      <c r="C193" s="164"/>
      <c r="D193" s="175"/>
      <c r="E193" s="176"/>
      <c r="F193" s="177"/>
      <c r="G193" s="178"/>
      <c r="H193" s="179"/>
      <c r="I193" s="179"/>
      <c r="J193" s="180"/>
      <c r="K193" s="180"/>
      <c r="L193" s="176"/>
    </row>
    <row r="194" spans="3:12">
      <c r="C194" s="164"/>
      <c r="D194" s="175"/>
      <c r="E194" s="176"/>
      <c r="F194" s="177"/>
      <c r="G194" s="178"/>
      <c r="H194" s="179"/>
      <c r="I194" s="179"/>
      <c r="J194" s="180"/>
      <c r="K194" s="180"/>
      <c r="L194" s="176"/>
    </row>
    <row r="195" spans="3:12">
      <c r="C195" s="164"/>
      <c r="D195" s="175"/>
      <c r="E195" s="176"/>
      <c r="F195" s="177"/>
      <c r="G195" s="178"/>
      <c r="H195" s="179"/>
      <c r="I195" s="179"/>
      <c r="J195" s="180"/>
      <c r="K195" s="180"/>
      <c r="L195" s="176"/>
    </row>
    <row r="196" spans="3:12">
      <c r="C196" s="164"/>
      <c r="D196" s="175"/>
      <c r="E196" s="176"/>
      <c r="F196" s="177"/>
      <c r="G196" s="178"/>
      <c r="H196" s="179"/>
      <c r="I196" s="179"/>
      <c r="J196" s="180"/>
      <c r="K196" s="180"/>
      <c r="L196" s="176"/>
    </row>
    <row r="197" spans="3:12">
      <c r="C197" s="164"/>
      <c r="D197" s="175"/>
      <c r="E197" s="176"/>
      <c r="F197" s="177"/>
      <c r="G197" s="178"/>
      <c r="H197" s="179"/>
      <c r="I197" s="179"/>
      <c r="J197" s="180"/>
      <c r="K197" s="180"/>
      <c r="L197" s="176"/>
    </row>
    <row r="198" spans="3:12">
      <c r="C198" s="164"/>
      <c r="D198" s="175"/>
      <c r="E198" s="176"/>
      <c r="F198" s="177"/>
      <c r="G198" s="178"/>
      <c r="H198" s="179"/>
      <c r="I198" s="179"/>
      <c r="J198" s="180"/>
      <c r="K198" s="180"/>
      <c r="L198" s="176"/>
    </row>
    <row r="199" spans="3:12">
      <c r="C199" s="164"/>
      <c r="D199" s="175"/>
      <c r="E199" s="176"/>
      <c r="F199" s="177"/>
      <c r="G199" s="178"/>
      <c r="H199" s="179"/>
      <c r="I199" s="179"/>
      <c r="J199" s="180"/>
      <c r="K199" s="180"/>
      <c r="L199" s="176"/>
    </row>
    <row r="200" spans="3:12">
      <c r="C200" s="164"/>
      <c r="D200" s="175"/>
      <c r="E200" s="176"/>
      <c r="F200" s="177"/>
      <c r="G200" s="178"/>
      <c r="H200" s="179"/>
      <c r="I200" s="179"/>
      <c r="J200" s="180"/>
      <c r="K200" s="180"/>
      <c r="L200" s="176"/>
    </row>
    <row r="201" spans="3:12">
      <c r="C201" s="164"/>
      <c r="D201" s="175"/>
      <c r="E201" s="176"/>
      <c r="F201" s="177"/>
      <c r="G201" s="178"/>
      <c r="H201" s="179"/>
      <c r="I201" s="179"/>
      <c r="J201" s="180"/>
      <c r="K201" s="180"/>
      <c r="L201" s="176"/>
    </row>
    <row r="202" spans="3:12">
      <c r="C202" s="164"/>
      <c r="D202" s="175"/>
      <c r="E202" s="176"/>
      <c r="F202" s="177"/>
      <c r="G202" s="178"/>
      <c r="H202" s="179"/>
      <c r="I202" s="179"/>
      <c r="J202" s="180"/>
      <c r="K202" s="180"/>
      <c r="L202" s="176"/>
    </row>
    <row r="203" spans="3:12">
      <c r="C203" s="164"/>
      <c r="D203" s="175"/>
      <c r="E203" s="176"/>
      <c r="F203" s="177"/>
      <c r="G203" s="178"/>
      <c r="H203" s="179"/>
      <c r="I203" s="179"/>
      <c r="J203" s="180"/>
      <c r="K203" s="180"/>
      <c r="L203" s="176"/>
    </row>
    <row r="204" spans="3:12">
      <c r="C204" s="164"/>
      <c r="D204" s="175"/>
      <c r="E204" s="176"/>
      <c r="F204" s="177"/>
      <c r="G204" s="178"/>
      <c r="H204" s="179"/>
      <c r="I204" s="179"/>
      <c r="J204" s="180"/>
      <c r="K204" s="180"/>
      <c r="L204" s="176"/>
    </row>
    <row r="205" spans="3:12">
      <c r="C205" s="164"/>
      <c r="D205" s="175"/>
      <c r="E205" s="176"/>
      <c r="F205" s="177"/>
      <c r="G205" s="178"/>
      <c r="H205" s="179"/>
      <c r="I205" s="179"/>
      <c r="J205" s="180"/>
      <c r="K205" s="180"/>
      <c r="L205" s="176"/>
    </row>
    <row r="206" spans="3:12">
      <c r="C206" s="164"/>
      <c r="D206" s="175"/>
      <c r="E206" s="176"/>
      <c r="F206" s="177"/>
      <c r="G206" s="178"/>
      <c r="H206" s="179"/>
      <c r="I206" s="179"/>
      <c r="J206" s="180"/>
      <c r="K206" s="180"/>
      <c r="L206" s="176"/>
    </row>
    <row r="207" spans="3:12">
      <c r="C207" s="164"/>
      <c r="D207" s="175"/>
      <c r="E207" s="176"/>
      <c r="F207" s="177"/>
      <c r="G207" s="178"/>
      <c r="H207" s="179"/>
      <c r="I207" s="179"/>
      <c r="J207" s="180"/>
      <c r="K207" s="180"/>
      <c r="L207" s="176"/>
    </row>
    <row r="208" spans="3:12">
      <c r="C208" s="164"/>
      <c r="D208" s="175"/>
      <c r="E208" s="176"/>
      <c r="F208" s="177"/>
      <c r="G208" s="178"/>
      <c r="H208" s="179"/>
      <c r="I208" s="179"/>
      <c r="J208" s="180"/>
      <c r="K208" s="180"/>
      <c r="L208" s="176"/>
    </row>
    <row r="209" spans="3:12">
      <c r="C209" s="164"/>
      <c r="D209" s="175"/>
      <c r="E209" s="176"/>
      <c r="F209" s="177"/>
      <c r="G209" s="178"/>
      <c r="H209" s="179"/>
      <c r="I209" s="179"/>
      <c r="J209" s="180"/>
      <c r="K209" s="180"/>
      <c r="L209" s="176"/>
    </row>
    <row r="210" spans="3:12">
      <c r="C210" s="164"/>
      <c r="D210" s="175"/>
      <c r="E210" s="176"/>
      <c r="F210" s="177"/>
      <c r="G210" s="178"/>
      <c r="H210" s="179"/>
      <c r="I210" s="179"/>
      <c r="J210" s="180"/>
      <c r="K210" s="180"/>
      <c r="L210" s="176"/>
    </row>
    <row r="211" spans="3:12">
      <c r="C211" s="164"/>
      <c r="D211" s="175"/>
      <c r="E211" s="176"/>
      <c r="F211" s="177"/>
      <c r="G211" s="178"/>
      <c r="H211" s="179"/>
      <c r="I211" s="179"/>
      <c r="J211" s="180"/>
      <c r="K211" s="180"/>
      <c r="L211" s="176"/>
    </row>
    <row r="212" spans="3:12">
      <c r="C212" s="164"/>
      <c r="D212" s="175"/>
      <c r="E212" s="176"/>
      <c r="F212" s="177"/>
      <c r="G212" s="178"/>
      <c r="H212" s="179"/>
      <c r="I212" s="179"/>
      <c r="J212" s="180"/>
      <c r="K212" s="180"/>
      <c r="L212" s="176"/>
    </row>
    <row r="213" spans="3:12">
      <c r="C213" s="164"/>
      <c r="D213" s="175"/>
      <c r="E213" s="176"/>
      <c r="F213" s="177"/>
      <c r="G213" s="178"/>
      <c r="H213" s="179"/>
      <c r="I213" s="179"/>
      <c r="J213" s="180"/>
      <c r="K213" s="180"/>
      <c r="L213" s="176"/>
    </row>
    <row r="214" spans="3:12">
      <c r="C214" s="164"/>
      <c r="D214" s="175"/>
      <c r="E214" s="176"/>
      <c r="F214" s="177"/>
      <c r="G214" s="178"/>
      <c r="H214" s="179"/>
      <c r="I214" s="179"/>
      <c r="J214" s="180"/>
      <c r="K214" s="180"/>
      <c r="L214" s="176"/>
    </row>
    <row r="215" spans="3:12">
      <c r="C215" s="164"/>
      <c r="D215" s="175"/>
      <c r="E215" s="176"/>
      <c r="F215" s="177"/>
      <c r="G215" s="178"/>
      <c r="H215" s="179"/>
      <c r="I215" s="179"/>
      <c r="J215" s="180"/>
      <c r="K215" s="180"/>
      <c r="L215" s="176"/>
    </row>
    <row r="216" spans="3:12">
      <c r="C216" s="164"/>
      <c r="D216" s="175"/>
      <c r="E216" s="176"/>
      <c r="F216" s="177"/>
      <c r="G216" s="178"/>
      <c r="H216" s="179"/>
      <c r="I216" s="179"/>
      <c r="J216" s="180"/>
      <c r="K216" s="180"/>
      <c r="L216" s="176"/>
    </row>
    <row r="217" spans="3:12">
      <c r="C217" s="164"/>
      <c r="D217" s="175"/>
      <c r="E217" s="176"/>
      <c r="F217" s="177"/>
      <c r="G217" s="178"/>
      <c r="H217" s="179"/>
      <c r="I217" s="179"/>
      <c r="J217" s="180"/>
      <c r="K217" s="180"/>
      <c r="L217" s="176"/>
    </row>
    <row r="218" spans="3:12">
      <c r="C218" s="164"/>
      <c r="D218" s="175"/>
      <c r="E218" s="176"/>
      <c r="F218" s="177"/>
      <c r="G218" s="178"/>
      <c r="H218" s="179"/>
      <c r="I218" s="179"/>
      <c r="J218" s="180"/>
      <c r="K218" s="180"/>
      <c r="L218" s="176"/>
    </row>
    <row r="219" spans="3:12">
      <c r="C219" s="164"/>
      <c r="D219" s="175"/>
      <c r="E219" s="176"/>
      <c r="F219" s="177"/>
      <c r="G219" s="178"/>
      <c r="H219" s="179"/>
      <c r="I219" s="179"/>
      <c r="J219" s="180"/>
      <c r="K219" s="180"/>
      <c r="L219" s="176"/>
    </row>
    <row r="220" spans="3:12">
      <c r="C220" s="164"/>
      <c r="D220" s="175"/>
      <c r="E220" s="176"/>
      <c r="F220" s="177"/>
      <c r="G220" s="178"/>
      <c r="H220" s="179"/>
      <c r="I220" s="179"/>
      <c r="J220" s="180"/>
      <c r="K220" s="180"/>
      <c r="L220" s="176"/>
    </row>
    <row r="221" spans="3:12">
      <c r="C221" s="164"/>
      <c r="D221" s="175"/>
      <c r="E221" s="176"/>
      <c r="F221" s="177"/>
      <c r="G221" s="178"/>
      <c r="H221" s="179"/>
      <c r="I221" s="179"/>
      <c r="J221" s="180"/>
      <c r="K221" s="180"/>
      <c r="L221" s="176"/>
    </row>
    <row r="222" spans="3:12">
      <c r="C222" s="164"/>
      <c r="D222" s="175"/>
      <c r="E222" s="176"/>
      <c r="F222" s="177"/>
      <c r="G222" s="178"/>
      <c r="H222" s="179"/>
      <c r="I222" s="179"/>
      <c r="J222" s="180"/>
      <c r="K222" s="180"/>
      <c r="L222" s="176"/>
    </row>
    <row r="223" spans="3:12">
      <c r="C223" s="164"/>
      <c r="D223" s="175"/>
      <c r="E223" s="176"/>
      <c r="F223" s="177"/>
      <c r="G223" s="178"/>
      <c r="H223" s="179"/>
      <c r="I223" s="179"/>
      <c r="J223" s="180"/>
      <c r="K223" s="180"/>
      <c r="L223" s="176"/>
    </row>
    <row r="224" spans="3:12">
      <c r="C224" s="164"/>
      <c r="D224" s="175"/>
      <c r="E224" s="176"/>
      <c r="F224" s="177"/>
      <c r="G224" s="178"/>
      <c r="H224" s="179"/>
      <c r="I224" s="179"/>
      <c r="J224" s="180"/>
      <c r="K224" s="180"/>
      <c r="L224" s="176"/>
    </row>
    <row r="225" spans="3:12">
      <c r="C225" s="164"/>
      <c r="D225" s="175"/>
      <c r="E225" s="176"/>
      <c r="F225" s="177"/>
      <c r="G225" s="178"/>
      <c r="H225" s="179"/>
      <c r="I225" s="179"/>
      <c r="J225" s="180"/>
      <c r="K225" s="180"/>
      <c r="L225" s="176"/>
    </row>
    <row r="226" spans="3:12">
      <c r="C226" s="164"/>
      <c r="D226" s="175"/>
      <c r="E226" s="176"/>
      <c r="F226" s="177"/>
      <c r="G226" s="178"/>
      <c r="H226" s="179"/>
      <c r="I226" s="179"/>
      <c r="J226" s="180"/>
      <c r="K226" s="180"/>
      <c r="L226" s="176"/>
    </row>
    <row r="227" spans="3:12">
      <c r="C227" s="164"/>
      <c r="D227" s="175"/>
      <c r="E227" s="176"/>
      <c r="F227" s="177"/>
      <c r="G227" s="178"/>
      <c r="H227" s="179"/>
      <c r="I227" s="179"/>
      <c r="J227" s="180"/>
      <c r="K227" s="180"/>
      <c r="L227" s="176"/>
    </row>
    <row r="228" spans="3:12">
      <c r="C228" s="164"/>
      <c r="D228" s="175"/>
      <c r="E228" s="176"/>
      <c r="F228" s="177"/>
      <c r="G228" s="178"/>
      <c r="H228" s="179"/>
      <c r="I228" s="179"/>
      <c r="J228" s="180"/>
      <c r="K228" s="180"/>
      <c r="L228" s="176"/>
    </row>
    <row r="229" spans="3:12">
      <c r="C229" s="164"/>
      <c r="D229" s="175"/>
      <c r="E229" s="176"/>
      <c r="F229" s="177"/>
      <c r="G229" s="178"/>
      <c r="H229" s="179"/>
      <c r="I229" s="179"/>
      <c r="J229" s="180"/>
      <c r="K229" s="180"/>
      <c r="L229" s="176"/>
    </row>
    <row r="230" spans="3:12">
      <c r="C230" s="164"/>
      <c r="D230" s="175"/>
      <c r="E230" s="176"/>
      <c r="F230" s="177"/>
      <c r="G230" s="178"/>
      <c r="H230" s="179"/>
      <c r="I230" s="179"/>
      <c r="J230" s="180"/>
      <c r="K230" s="180"/>
      <c r="L230" s="176"/>
    </row>
    <row r="231" spans="3:12">
      <c r="C231" s="164"/>
      <c r="D231" s="175"/>
      <c r="E231" s="176"/>
      <c r="F231" s="177"/>
      <c r="G231" s="178"/>
      <c r="H231" s="179"/>
      <c r="I231" s="179"/>
      <c r="J231" s="180"/>
      <c r="K231" s="180"/>
      <c r="L231" s="176"/>
    </row>
    <row r="232" spans="3:12">
      <c r="C232" s="164"/>
      <c r="D232" s="175"/>
      <c r="E232" s="176"/>
      <c r="F232" s="177"/>
      <c r="G232" s="178"/>
      <c r="H232" s="179"/>
      <c r="I232" s="179"/>
      <c r="J232" s="180"/>
      <c r="K232" s="180"/>
      <c r="L232" s="176"/>
    </row>
    <row r="233" spans="3:12">
      <c r="C233" s="164"/>
      <c r="D233" s="175"/>
      <c r="E233" s="176"/>
      <c r="F233" s="177"/>
      <c r="G233" s="178"/>
      <c r="H233" s="179"/>
      <c r="I233" s="179"/>
      <c r="J233" s="180"/>
      <c r="K233" s="180"/>
      <c r="L233" s="176"/>
    </row>
    <row r="234" spans="3:12">
      <c r="C234" s="164"/>
      <c r="D234" s="175"/>
      <c r="E234" s="176"/>
      <c r="F234" s="177"/>
      <c r="G234" s="178"/>
      <c r="H234" s="179"/>
      <c r="I234" s="179"/>
      <c r="J234" s="180"/>
      <c r="K234" s="180"/>
      <c r="L234" s="176"/>
    </row>
    <row r="235" spans="3:12">
      <c r="C235" s="164"/>
      <c r="D235" s="175"/>
      <c r="E235" s="176"/>
      <c r="F235" s="177"/>
      <c r="G235" s="178"/>
      <c r="H235" s="179"/>
      <c r="I235" s="179"/>
      <c r="J235" s="180"/>
      <c r="K235" s="180"/>
      <c r="L235" s="176"/>
    </row>
    <row r="236" spans="3:12">
      <c r="C236" s="164"/>
      <c r="D236" s="175"/>
      <c r="E236" s="176"/>
      <c r="F236" s="177"/>
      <c r="G236" s="178"/>
      <c r="H236" s="179"/>
      <c r="I236" s="179"/>
      <c r="J236" s="180"/>
      <c r="K236" s="180"/>
      <c r="L236" s="176"/>
    </row>
    <row r="237" spans="3:12">
      <c r="C237" s="164"/>
      <c r="D237" s="175"/>
      <c r="E237" s="176"/>
      <c r="F237" s="177"/>
      <c r="G237" s="178"/>
      <c r="H237" s="179"/>
      <c r="I237" s="179"/>
      <c r="J237" s="180"/>
      <c r="K237" s="180"/>
      <c r="L237" s="176"/>
    </row>
    <row r="238" spans="3:12">
      <c r="C238" s="164"/>
      <c r="D238" s="175"/>
      <c r="E238" s="176"/>
      <c r="F238" s="177"/>
      <c r="G238" s="178"/>
      <c r="H238" s="179"/>
      <c r="I238" s="179"/>
      <c r="J238" s="180"/>
      <c r="K238" s="180"/>
      <c r="L238" s="176"/>
    </row>
    <row r="239" spans="3:12">
      <c r="C239" s="164"/>
      <c r="D239" s="175"/>
      <c r="E239" s="176"/>
      <c r="F239" s="177"/>
      <c r="G239" s="178"/>
      <c r="H239" s="179"/>
      <c r="I239" s="179"/>
      <c r="J239" s="180"/>
      <c r="K239" s="180"/>
      <c r="L239" s="176"/>
    </row>
    <row r="240" spans="3:12">
      <c r="C240" s="164"/>
      <c r="D240" s="175"/>
      <c r="E240" s="176"/>
      <c r="F240" s="177"/>
      <c r="G240" s="178"/>
      <c r="H240" s="179"/>
      <c r="I240" s="179"/>
      <c r="J240" s="180"/>
      <c r="K240" s="180"/>
      <c r="L240" s="176"/>
    </row>
    <row r="241" spans="3:12">
      <c r="C241" s="164"/>
      <c r="D241" s="175"/>
      <c r="E241" s="176"/>
      <c r="F241" s="177"/>
      <c r="G241" s="178"/>
      <c r="H241" s="179"/>
      <c r="I241" s="179"/>
      <c r="J241" s="180"/>
      <c r="K241" s="180"/>
      <c r="L241" s="176"/>
    </row>
    <row r="242" spans="3:12">
      <c r="C242" s="164"/>
      <c r="D242" s="175"/>
      <c r="E242" s="176"/>
      <c r="F242" s="177"/>
      <c r="G242" s="178"/>
      <c r="H242" s="179"/>
      <c r="I242" s="179"/>
      <c r="J242" s="180"/>
      <c r="K242" s="180"/>
      <c r="L242" s="176"/>
    </row>
    <row r="243" spans="3:12">
      <c r="C243" s="164"/>
      <c r="D243" s="175"/>
      <c r="E243" s="176"/>
      <c r="F243" s="177"/>
      <c r="G243" s="178"/>
      <c r="H243" s="179"/>
      <c r="I243" s="179"/>
      <c r="J243" s="180"/>
      <c r="K243" s="180"/>
      <c r="L243" s="176"/>
    </row>
    <row r="244" spans="3:12">
      <c r="C244" s="164"/>
      <c r="D244" s="175"/>
      <c r="E244" s="176"/>
      <c r="F244" s="177"/>
      <c r="G244" s="178"/>
      <c r="H244" s="179"/>
      <c r="I244" s="179"/>
      <c r="J244" s="180"/>
      <c r="K244" s="180"/>
      <c r="L244" s="176"/>
    </row>
    <row r="245" spans="3:12">
      <c r="C245" s="164"/>
      <c r="D245" s="175"/>
      <c r="E245" s="176"/>
      <c r="F245" s="177"/>
      <c r="G245" s="178"/>
      <c r="H245" s="179"/>
      <c r="I245" s="179"/>
      <c r="J245" s="180"/>
      <c r="K245" s="180"/>
      <c r="L245" s="176"/>
    </row>
    <row r="246" spans="3:12">
      <c r="C246" s="164"/>
      <c r="D246" s="175"/>
      <c r="E246" s="176"/>
      <c r="F246" s="177"/>
      <c r="G246" s="178"/>
      <c r="H246" s="179"/>
      <c r="I246" s="179"/>
      <c r="J246" s="180"/>
      <c r="K246" s="180"/>
      <c r="L246" s="176"/>
    </row>
    <row r="247" spans="3:12">
      <c r="C247" s="164"/>
      <c r="D247" s="175"/>
      <c r="E247" s="176"/>
      <c r="F247" s="177"/>
      <c r="G247" s="178"/>
      <c r="H247" s="179"/>
      <c r="I247" s="179"/>
      <c r="J247" s="180"/>
      <c r="K247" s="180"/>
      <c r="L247" s="176"/>
    </row>
    <row r="248" spans="3:12">
      <c r="C248" s="164"/>
      <c r="D248" s="175"/>
      <c r="E248" s="176"/>
      <c r="F248" s="177"/>
      <c r="G248" s="178"/>
      <c r="H248" s="179"/>
      <c r="I248" s="179"/>
      <c r="J248" s="180"/>
      <c r="K248" s="180"/>
      <c r="L248" s="176"/>
    </row>
    <row r="249" spans="3:12">
      <c r="C249" s="164"/>
      <c r="D249" s="175"/>
      <c r="E249" s="176"/>
      <c r="F249" s="177"/>
      <c r="G249" s="178"/>
      <c r="H249" s="179"/>
      <c r="I249" s="179"/>
      <c r="J249" s="180"/>
      <c r="K249" s="180"/>
      <c r="L249" s="176"/>
    </row>
    <row r="250" spans="3:12">
      <c r="C250" s="164"/>
      <c r="D250" s="175"/>
      <c r="E250" s="176"/>
      <c r="F250" s="177"/>
      <c r="G250" s="178"/>
      <c r="H250" s="179"/>
      <c r="I250" s="179"/>
      <c r="J250" s="180"/>
      <c r="K250" s="180"/>
      <c r="L250" s="176"/>
    </row>
    <row r="251" spans="3:12">
      <c r="C251" s="164"/>
      <c r="D251" s="175"/>
      <c r="E251" s="176"/>
      <c r="F251" s="177"/>
      <c r="G251" s="178"/>
      <c r="H251" s="179"/>
      <c r="I251" s="179"/>
      <c r="J251" s="180"/>
      <c r="K251" s="180"/>
      <c r="L251" s="176"/>
    </row>
    <row r="252" spans="3:12">
      <c r="C252" s="164"/>
      <c r="D252" s="175"/>
      <c r="E252" s="176"/>
      <c r="F252" s="177"/>
      <c r="G252" s="178"/>
      <c r="H252" s="179"/>
      <c r="I252" s="179"/>
      <c r="J252" s="180"/>
      <c r="K252" s="180"/>
      <c r="L252" s="176"/>
    </row>
    <row r="253" spans="3:12">
      <c r="C253" s="164"/>
      <c r="D253" s="175"/>
      <c r="E253" s="176"/>
      <c r="F253" s="177"/>
      <c r="G253" s="178"/>
      <c r="H253" s="179"/>
      <c r="I253" s="179"/>
      <c r="J253" s="180"/>
      <c r="K253" s="180"/>
      <c r="L253" s="176"/>
    </row>
    <row r="254" spans="3:12">
      <c r="C254" s="164"/>
      <c r="D254" s="175"/>
      <c r="E254" s="176"/>
      <c r="F254" s="177"/>
      <c r="G254" s="178"/>
      <c r="H254" s="179"/>
      <c r="I254" s="179"/>
      <c r="J254" s="180"/>
      <c r="K254" s="180"/>
      <c r="L254" s="176"/>
    </row>
    <row r="255" spans="3:12">
      <c r="C255" s="164"/>
      <c r="D255" s="175"/>
      <c r="E255" s="176"/>
      <c r="F255" s="177"/>
      <c r="G255" s="178"/>
      <c r="H255" s="179"/>
      <c r="I255" s="179"/>
      <c r="J255" s="180"/>
      <c r="K255" s="180"/>
      <c r="L255" s="176"/>
    </row>
    <row r="256" spans="3:12">
      <c r="C256" s="164"/>
      <c r="D256" s="175"/>
      <c r="E256" s="176"/>
      <c r="F256" s="177"/>
      <c r="G256" s="178"/>
      <c r="H256" s="179"/>
      <c r="I256" s="179"/>
      <c r="J256" s="180"/>
      <c r="K256" s="180"/>
      <c r="L256" s="176"/>
    </row>
    <row r="257" spans="3:12">
      <c r="C257" s="164"/>
      <c r="D257" s="175"/>
      <c r="E257" s="176"/>
      <c r="F257" s="177"/>
      <c r="G257" s="178"/>
      <c r="H257" s="179"/>
      <c r="I257" s="179"/>
      <c r="J257" s="180"/>
      <c r="K257" s="180"/>
      <c r="L257" s="176"/>
    </row>
    <row r="258" spans="3:12">
      <c r="C258" s="164"/>
      <c r="D258" s="175"/>
      <c r="E258" s="176"/>
      <c r="F258" s="177"/>
      <c r="G258" s="178"/>
      <c r="H258" s="179"/>
      <c r="I258" s="179"/>
      <c r="J258" s="180"/>
      <c r="K258" s="180"/>
      <c r="L258" s="176"/>
    </row>
    <row r="259" spans="3:12">
      <c r="C259" s="164"/>
      <c r="D259" s="175"/>
      <c r="E259" s="176"/>
      <c r="F259" s="177"/>
      <c r="G259" s="178"/>
      <c r="H259" s="179"/>
      <c r="I259" s="179"/>
      <c r="J259" s="180"/>
      <c r="K259" s="180"/>
      <c r="L259" s="176"/>
    </row>
    <row r="260" spans="3:12">
      <c r="C260" s="164"/>
      <c r="D260" s="175"/>
      <c r="E260" s="176"/>
      <c r="F260" s="177"/>
      <c r="G260" s="178"/>
      <c r="H260" s="179"/>
      <c r="I260" s="179"/>
      <c r="J260" s="180"/>
      <c r="K260" s="180"/>
      <c r="L260" s="176"/>
    </row>
    <row r="261" spans="3:12">
      <c r="C261" s="164"/>
      <c r="D261" s="175"/>
      <c r="E261" s="176"/>
      <c r="F261" s="177"/>
      <c r="G261" s="178"/>
      <c r="H261" s="179"/>
      <c r="I261" s="179"/>
      <c r="J261" s="180"/>
      <c r="K261" s="180"/>
      <c r="L261" s="176"/>
    </row>
    <row r="262" spans="3:12">
      <c r="C262" s="164"/>
      <c r="D262" s="175"/>
      <c r="E262" s="176"/>
      <c r="F262" s="177"/>
      <c r="G262" s="178"/>
      <c r="H262" s="179"/>
      <c r="I262" s="179"/>
      <c r="J262" s="180"/>
      <c r="K262" s="180"/>
      <c r="L262" s="176"/>
    </row>
    <row r="263" spans="3:12">
      <c r="C263" s="164"/>
      <c r="D263" s="175"/>
      <c r="E263" s="176"/>
      <c r="F263" s="177"/>
      <c r="G263" s="178"/>
      <c r="H263" s="179"/>
      <c r="I263" s="179"/>
      <c r="J263" s="180"/>
      <c r="K263" s="180"/>
      <c r="L263" s="176"/>
    </row>
    <row r="264" spans="3:12">
      <c r="C264" s="164"/>
      <c r="D264" s="175"/>
      <c r="E264" s="176"/>
      <c r="F264" s="177"/>
      <c r="G264" s="178"/>
      <c r="H264" s="179"/>
      <c r="I264" s="179"/>
      <c r="J264" s="180"/>
      <c r="K264" s="180"/>
      <c r="L264" s="176"/>
    </row>
    <row r="265" spans="3:12">
      <c r="C265" s="164"/>
      <c r="D265" s="175"/>
      <c r="E265" s="176"/>
      <c r="F265" s="177"/>
      <c r="G265" s="178"/>
      <c r="H265" s="179"/>
      <c r="I265" s="179"/>
      <c r="J265" s="180"/>
      <c r="K265" s="180"/>
      <c r="L265" s="176"/>
    </row>
    <row r="266" spans="3:12">
      <c r="C266" s="164"/>
      <c r="D266" s="175"/>
      <c r="E266" s="176"/>
      <c r="F266" s="177"/>
      <c r="G266" s="178"/>
      <c r="H266" s="179"/>
      <c r="I266" s="179"/>
      <c r="J266" s="180"/>
      <c r="K266" s="180"/>
      <c r="L266" s="176"/>
    </row>
    <row r="267" spans="3:12">
      <c r="C267" s="164"/>
      <c r="D267" s="175"/>
      <c r="E267" s="176"/>
      <c r="F267" s="177"/>
      <c r="G267" s="178"/>
      <c r="H267" s="179"/>
      <c r="I267" s="179"/>
      <c r="J267" s="180"/>
      <c r="K267" s="180"/>
      <c r="L267" s="176"/>
    </row>
    <row r="268" spans="3:12">
      <c r="C268" s="164"/>
      <c r="D268" s="175"/>
      <c r="E268" s="176"/>
      <c r="F268" s="177"/>
      <c r="G268" s="178"/>
      <c r="H268" s="179"/>
      <c r="I268" s="179"/>
      <c r="J268" s="180"/>
      <c r="K268" s="180"/>
      <c r="L268" s="176"/>
    </row>
    <row r="269" spans="3:12">
      <c r="C269" s="164"/>
      <c r="D269" s="175"/>
      <c r="E269" s="176"/>
      <c r="F269" s="177"/>
      <c r="G269" s="178"/>
      <c r="H269" s="179"/>
      <c r="I269" s="179"/>
      <c r="J269" s="180"/>
      <c r="K269" s="180"/>
      <c r="L269" s="176"/>
    </row>
    <row r="270" spans="3:12">
      <c r="C270" s="164"/>
      <c r="D270" s="175"/>
      <c r="E270" s="176"/>
      <c r="F270" s="177"/>
      <c r="G270" s="178"/>
      <c r="H270" s="179"/>
      <c r="I270" s="179"/>
      <c r="J270" s="180"/>
      <c r="K270" s="180"/>
      <c r="L270" s="176"/>
    </row>
    <row r="271" spans="3:12">
      <c r="C271" s="164"/>
      <c r="D271" s="175"/>
      <c r="E271" s="176"/>
      <c r="F271" s="177"/>
      <c r="G271" s="178"/>
      <c r="H271" s="179"/>
      <c r="I271" s="179"/>
      <c r="J271" s="180"/>
      <c r="K271" s="180"/>
      <c r="L271" s="176"/>
    </row>
    <row r="272" spans="3:12">
      <c r="C272" s="164"/>
      <c r="D272" s="175"/>
      <c r="E272" s="176"/>
      <c r="F272" s="177"/>
      <c r="G272" s="178"/>
      <c r="H272" s="179"/>
      <c r="I272" s="179"/>
      <c r="J272" s="180"/>
      <c r="K272" s="180"/>
      <c r="L272" s="176"/>
    </row>
    <row r="273" spans="3:12">
      <c r="C273" s="164"/>
      <c r="D273" s="175"/>
      <c r="E273" s="176"/>
      <c r="F273" s="177"/>
      <c r="G273" s="178"/>
      <c r="H273" s="179"/>
      <c r="I273" s="179"/>
      <c r="J273" s="180"/>
      <c r="K273" s="180"/>
      <c r="L273" s="176"/>
    </row>
    <row r="274" spans="3:12">
      <c r="C274" s="164"/>
      <c r="D274" s="175"/>
      <c r="E274" s="176"/>
      <c r="F274" s="177"/>
      <c r="G274" s="178"/>
      <c r="H274" s="179"/>
      <c r="I274" s="179"/>
      <c r="J274" s="180"/>
      <c r="K274" s="180"/>
      <c r="L274" s="176"/>
    </row>
    <row r="275" spans="3:12">
      <c r="C275" s="164"/>
      <c r="D275" s="175"/>
      <c r="E275" s="176"/>
      <c r="F275" s="177"/>
      <c r="G275" s="178"/>
      <c r="H275" s="179"/>
      <c r="I275" s="179"/>
      <c r="J275" s="180"/>
      <c r="K275" s="180"/>
      <c r="L275" s="176"/>
    </row>
    <row r="276" spans="3:12">
      <c r="C276" s="164"/>
      <c r="D276" s="175"/>
      <c r="E276" s="176"/>
      <c r="F276" s="177"/>
      <c r="G276" s="178"/>
      <c r="H276" s="179"/>
      <c r="I276" s="179"/>
      <c r="J276" s="180"/>
      <c r="K276" s="180"/>
      <c r="L276" s="176"/>
    </row>
    <row r="277" spans="3:12">
      <c r="C277" s="164"/>
      <c r="D277" s="175"/>
      <c r="E277" s="176"/>
      <c r="F277" s="177"/>
      <c r="G277" s="178"/>
      <c r="H277" s="179"/>
      <c r="I277" s="179"/>
      <c r="J277" s="180"/>
      <c r="K277" s="180"/>
      <c r="L277" s="176"/>
    </row>
    <row r="278" spans="3:12">
      <c r="C278" s="164"/>
      <c r="D278" s="175"/>
      <c r="E278" s="176"/>
      <c r="F278" s="177"/>
      <c r="G278" s="178"/>
      <c r="H278" s="179"/>
      <c r="I278" s="179"/>
      <c r="J278" s="180"/>
      <c r="K278" s="180"/>
      <c r="L278" s="176"/>
    </row>
    <row r="279" spans="3:12">
      <c r="C279" s="164"/>
      <c r="D279" s="175"/>
      <c r="E279" s="176"/>
      <c r="F279" s="177"/>
      <c r="G279" s="178"/>
      <c r="H279" s="179"/>
      <c r="I279" s="179"/>
      <c r="J279" s="180"/>
      <c r="K279" s="180"/>
      <c r="L279" s="176"/>
    </row>
    <row r="280" spans="3:12">
      <c r="C280" s="164"/>
      <c r="D280" s="175"/>
      <c r="E280" s="176"/>
      <c r="F280" s="177"/>
      <c r="G280" s="178"/>
      <c r="H280" s="179"/>
      <c r="I280" s="179"/>
      <c r="J280" s="180"/>
      <c r="K280" s="180"/>
      <c r="L280" s="176"/>
    </row>
    <row r="281" spans="3:12">
      <c r="C281" s="164"/>
      <c r="D281" s="175"/>
      <c r="E281" s="176"/>
      <c r="F281" s="177"/>
      <c r="G281" s="178"/>
      <c r="H281" s="179"/>
      <c r="I281" s="179"/>
      <c r="J281" s="180"/>
      <c r="K281" s="180"/>
      <c r="L281" s="176"/>
    </row>
    <row r="282" spans="3:12">
      <c r="C282" s="164"/>
      <c r="D282" s="175"/>
      <c r="E282" s="176"/>
      <c r="F282" s="177"/>
      <c r="G282" s="178"/>
      <c r="H282" s="179"/>
      <c r="I282" s="179"/>
      <c r="J282" s="180"/>
      <c r="K282" s="180"/>
      <c r="L282" s="176"/>
    </row>
    <row r="283" spans="3:12">
      <c r="C283" s="164"/>
      <c r="D283" s="175"/>
      <c r="E283" s="176"/>
      <c r="F283" s="177"/>
      <c r="G283" s="178"/>
      <c r="H283" s="179"/>
      <c r="I283" s="179"/>
      <c r="J283" s="180"/>
      <c r="K283" s="180"/>
      <c r="L283" s="176"/>
    </row>
    <row r="284" spans="3:12">
      <c r="C284" s="164"/>
      <c r="D284" s="175"/>
      <c r="E284" s="176"/>
      <c r="F284" s="177"/>
      <c r="G284" s="178"/>
      <c r="H284" s="179"/>
      <c r="I284" s="179"/>
      <c r="J284" s="180"/>
      <c r="K284" s="180"/>
      <c r="L284" s="176"/>
    </row>
    <row r="285" spans="3:12">
      <c r="C285" s="164"/>
      <c r="D285" s="175"/>
      <c r="E285" s="176"/>
      <c r="F285" s="177"/>
      <c r="G285" s="178"/>
      <c r="H285" s="179"/>
      <c r="I285" s="179"/>
      <c r="J285" s="180"/>
      <c r="K285" s="180"/>
      <c r="L285" s="176"/>
    </row>
    <row r="286" spans="3:12">
      <c r="C286" s="164"/>
      <c r="D286" s="175"/>
      <c r="E286" s="176"/>
      <c r="F286" s="177"/>
      <c r="G286" s="178"/>
      <c r="H286" s="179"/>
      <c r="I286" s="179"/>
      <c r="J286" s="180"/>
      <c r="K286" s="180"/>
      <c r="L286" s="176"/>
    </row>
    <row r="287" spans="3:12">
      <c r="C287" s="164"/>
      <c r="D287" s="175"/>
      <c r="E287" s="176"/>
      <c r="F287" s="177"/>
      <c r="G287" s="178"/>
      <c r="H287" s="179"/>
      <c r="I287" s="179"/>
      <c r="J287" s="180"/>
      <c r="K287" s="180"/>
      <c r="L287" s="176"/>
    </row>
    <row r="288" spans="3:12">
      <c r="C288" s="164"/>
      <c r="D288" s="175"/>
      <c r="E288" s="176"/>
      <c r="F288" s="177"/>
      <c r="G288" s="178"/>
      <c r="H288" s="179"/>
      <c r="I288" s="179"/>
      <c r="J288" s="180"/>
      <c r="K288" s="180"/>
      <c r="L288" s="176"/>
    </row>
    <row r="289" spans="3:12">
      <c r="C289" s="164"/>
      <c r="D289" s="175"/>
      <c r="E289" s="176"/>
      <c r="F289" s="177"/>
      <c r="G289" s="178"/>
      <c r="H289" s="179"/>
      <c r="I289" s="179"/>
      <c r="J289" s="180"/>
      <c r="K289" s="180"/>
      <c r="L289" s="176"/>
    </row>
    <row r="290" spans="3:12">
      <c r="C290" s="164"/>
      <c r="D290" s="175"/>
      <c r="E290" s="176"/>
      <c r="F290" s="177"/>
      <c r="G290" s="178"/>
      <c r="H290" s="179"/>
      <c r="I290" s="179"/>
      <c r="J290" s="180"/>
      <c r="K290" s="180"/>
      <c r="L290" s="176"/>
    </row>
    <row r="291" spans="3:12">
      <c r="C291" s="164"/>
      <c r="D291" s="175"/>
      <c r="E291" s="176"/>
      <c r="F291" s="177"/>
      <c r="G291" s="178"/>
      <c r="H291" s="179"/>
      <c r="I291" s="179"/>
      <c r="J291" s="180"/>
      <c r="K291" s="180"/>
      <c r="L291" s="176"/>
    </row>
    <row r="292" spans="3:12">
      <c r="C292" s="164"/>
      <c r="D292" s="175"/>
      <c r="E292" s="176"/>
      <c r="F292" s="177"/>
      <c r="G292" s="178"/>
      <c r="H292" s="179"/>
      <c r="I292" s="179"/>
      <c r="J292" s="180"/>
      <c r="K292" s="180"/>
      <c r="L292" s="176"/>
    </row>
    <row r="293" spans="3:12">
      <c r="C293" s="164"/>
      <c r="D293" s="175"/>
      <c r="E293" s="176"/>
      <c r="F293" s="177"/>
      <c r="G293" s="178"/>
      <c r="H293" s="179"/>
      <c r="I293" s="179"/>
      <c r="J293" s="180"/>
      <c r="K293" s="180"/>
      <c r="L293" s="176"/>
    </row>
    <row r="294" spans="3:12">
      <c r="C294" s="164"/>
      <c r="D294" s="175"/>
      <c r="E294" s="176"/>
      <c r="F294" s="177"/>
      <c r="G294" s="178"/>
      <c r="H294" s="179"/>
      <c r="I294" s="179"/>
      <c r="J294" s="180"/>
      <c r="K294" s="180"/>
      <c r="L294" s="176"/>
    </row>
    <row r="295" spans="3:12">
      <c r="C295" s="164"/>
      <c r="D295" s="175"/>
      <c r="E295" s="176"/>
      <c r="F295" s="177"/>
      <c r="G295" s="178"/>
      <c r="H295" s="179"/>
      <c r="I295" s="179"/>
      <c r="J295" s="180"/>
      <c r="K295" s="180"/>
      <c r="L295" s="176"/>
    </row>
    <row r="296" spans="3:12">
      <c r="C296" s="164"/>
      <c r="D296" s="175"/>
      <c r="E296" s="176"/>
      <c r="F296" s="177"/>
      <c r="G296" s="178"/>
      <c r="H296" s="179"/>
      <c r="I296" s="179"/>
      <c r="J296" s="180"/>
      <c r="K296" s="180"/>
      <c r="L296" s="176"/>
    </row>
    <row r="297" spans="3:12">
      <c r="C297" s="164"/>
      <c r="D297" s="175"/>
      <c r="E297" s="176"/>
      <c r="F297" s="177"/>
      <c r="G297" s="178"/>
      <c r="H297" s="179"/>
      <c r="I297" s="179"/>
      <c r="J297" s="180"/>
      <c r="K297" s="180"/>
      <c r="L297" s="176"/>
    </row>
    <row r="298" spans="3:12">
      <c r="C298" s="164"/>
      <c r="D298" s="175"/>
      <c r="E298" s="176"/>
      <c r="F298" s="177"/>
      <c r="G298" s="178"/>
      <c r="H298" s="179"/>
      <c r="I298" s="179"/>
      <c r="J298" s="180"/>
      <c r="K298" s="180"/>
      <c r="L298" s="176"/>
    </row>
    <row r="299" spans="3:12">
      <c r="C299" s="164"/>
      <c r="D299" s="175"/>
      <c r="E299" s="176"/>
      <c r="F299" s="177"/>
      <c r="G299" s="178"/>
      <c r="H299" s="179"/>
      <c r="I299" s="179"/>
      <c r="J299" s="180"/>
      <c r="K299" s="180"/>
      <c r="L299" s="176"/>
    </row>
    <row r="300" spans="3:12">
      <c r="C300" s="164"/>
      <c r="D300" s="175"/>
      <c r="E300" s="176"/>
      <c r="F300" s="177"/>
      <c r="G300" s="178"/>
      <c r="H300" s="179"/>
      <c r="I300" s="179"/>
      <c r="J300" s="180"/>
      <c r="K300" s="180"/>
      <c r="L300" s="176"/>
    </row>
    <row r="301" spans="3:12">
      <c r="C301" s="164"/>
      <c r="D301" s="175"/>
      <c r="E301" s="176"/>
      <c r="F301" s="177"/>
      <c r="G301" s="178"/>
      <c r="H301" s="179"/>
      <c r="I301" s="179"/>
      <c r="J301" s="180"/>
      <c r="K301" s="180"/>
      <c r="L301" s="176"/>
    </row>
    <row r="302" spans="3:12">
      <c r="C302" s="164"/>
      <c r="D302" s="175"/>
      <c r="E302" s="176"/>
      <c r="F302" s="177"/>
      <c r="G302" s="178"/>
      <c r="H302" s="179"/>
      <c r="I302" s="179"/>
      <c r="J302" s="180"/>
      <c r="K302" s="180"/>
      <c r="L302" s="176"/>
    </row>
    <row r="303" spans="3:12">
      <c r="C303" s="164"/>
      <c r="D303" s="175"/>
      <c r="E303" s="176"/>
      <c r="F303" s="177"/>
      <c r="G303" s="178"/>
      <c r="H303" s="179"/>
      <c r="I303" s="179"/>
      <c r="J303" s="180"/>
      <c r="K303" s="180"/>
      <c r="L303" s="176"/>
    </row>
    <row r="304" spans="3:12">
      <c r="C304" s="164"/>
      <c r="D304" s="175"/>
      <c r="E304" s="176"/>
      <c r="F304" s="177"/>
      <c r="G304" s="178"/>
      <c r="H304" s="179"/>
      <c r="I304" s="179"/>
      <c r="J304" s="180"/>
      <c r="K304" s="180"/>
      <c r="L304" s="176"/>
    </row>
    <row r="305" spans="3:12">
      <c r="C305" s="164"/>
      <c r="D305" s="175"/>
      <c r="E305" s="176"/>
      <c r="F305" s="177"/>
      <c r="G305" s="178"/>
      <c r="H305" s="179"/>
      <c r="I305" s="179"/>
      <c r="J305" s="180"/>
      <c r="K305" s="180"/>
      <c r="L305" s="176"/>
    </row>
    <row r="306" spans="3:12">
      <c r="C306" s="164"/>
      <c r="D306" s="175"/>
      <c r="E306" s="176"/>
      <c r="F306" s="177"/>
      <c r="G306" s="178"/>
      <c r="H306" s="179"/>
      <c r="I306" s="179"/>
      <c r="J306" s="180"/>
      <c r="K306" s="180"/>
      <c r="L306" s="176"/>
    </row>
    <row r="307" spans="3:12">
      <c r="C307" s="164"/>
      <c r="D307" s="175"/>
      <c r="E307" s="176"/>
      <c r="F307" s="177"/>
      <c r="G307" s="178"/>
      <c r="H307" s="179"/>
      <c r="I307" s="179"/>
      <c r="J307" s="180"/>
      <c r="K307" s="180"/>
      <c r="L307" s="176"/>
    </row>
    <row r="308" spans="3:12">
      <c r="C308" s="164"/>
      <c r="D308" s="175"/>
      <c r="E308" s="176"/>
      <c r="F308" s="177"/>
      <c r="G308" s="178"/>
      <c r="H308" s="179"/>
      <c r="I308" s="179"/>
      <c r="J308" s="180"/>
      <c r="K308" s="180"/>
      <c r="L308" s="176"/>
    </row>
    <row r="309" spans="3:12">
      <c r="C309" s="164"/>
      <c r="D309" s="175"/>
      <c r="E309" s="176"/>
      <c r="F309" s="177"/>
      <c r="G309" s="178"/>
      <c r="H309" s="179"/>
      <c r="I309" s="179"/>
      <c r="J309" s="180"/>
      <c r="K309" s="180"/>
      <c r="L309" s="176"/>
    </row>
    <row r="310" spans="3:12">
      <c r="C310" s="164"/>
      <c r="D310" s="175"/>
      <c r="E310" s="176"/>
      <c r="F310" s="177"/>
      <c r="G310" s="178"/>
      <c r="H310" s="179"/>
      <c r="I310" s="179"/>
      <c r="J310" s="180"/>
      <c r="K310" s="180"/>
      <c r="L310" s="176"/>
    </row>
    <row r="311" spans="3:12">
      <c r="C311" s="164"/>
      <c r="D311" s="175"/>
      <c r="E311" s="176"/>
      <c r="F311" s="177"/>
      <c r="G311" s="178"/>
      <c r="H311" s="179"/>
      <c r="I311" s="179"/>
      <c r="J311" s="180"/>
      <c r="K311" s="180"/>
      <c r="L311" s="176"/>
    </row>
    <row r="312" spans="3:12">
      <c r="C312" s="164"/>
      <c r="D312" s="175"/>
      <c r="E312" s="176"/>
      <c r="F312" s="177"/>
      <c r="G312" s="178"/>
      <c r="H312" s="179"/>
      <c r="I312" s="179"/>
      <c r="J312" s="180"/>
      <c r="K312" s="180"/>
      <c r="L312" s="176"/>
    </row>
    <row r="313" spans="3:12">
      <c r="C313" s="164"/>
      <c r="D313" s="175"/>
      <c r="E313" s="176"/>
      <c r="F313" s="177"/>
      <c r="G313" s="178"/>
      <c r="H313" s="179"/>
      <c r="I313" s="179"/>
      <c r="J313" s="180"/>
      <c r="K313" s="180"/>
      <c r="L313" s="176"/>
    </row>
    <row r="314" spans="3:12">
      <c r="C314" s="164"/>
      <c r="D314" s="175"/>
      <c r="E314" s="176"/>
      <c r="F314" s="177"/>
      <c r="G314" s="178"/>
      <c r="H314" s="179"/>
      <c r="I314" s="179"/>
      <c r="J314" s="180"/>
      <c r="K314" s="180"/>
      <c r="L314" s="176"/>
    </row>
    <row r="315" spans="3:12">
      <c r="C315" s="164"/>
      <c r="D315" s="175"/>
      <c r="E315" s="176"/>
      <c r="F315" s="177"/>
      <c r="G315" s="178"/>
      <c r="H315" s="179"/>
      <c r="I315" s="179"/>
      <c r="J315" s="180"/>
      <c r="K315" s="180"/>
      <c r="L315" s="176"/>
    </row>
    <row r="316" spans="3:12">
      <c r="C316" s="164"/>
      <c r="D316" s="175"/>
      <c r="E316" s="176"/>
      <c r="F316" s="177"/>
      <c r="G316" s="178"/>
      <c r="H316" s="179"/>
      <c r="I316" s="179"/>
      <c r="J316" s="180"/>
      <c r="K316" s="180"/>
      <c r="L316" s="176"/>
    </row>
    <row r="317" spans="3:12">
      <c r="C317" s="164"/>
      <c r="D317" s="175"/>
      <c r="E317" s="176"/>
      <c r="F317" s="177"/>
      <c r="G317" s="178"/>
      <c r="H317" s="179"/>
      <c r="I317" s="179"/>
      <c r="J317" s="180"/>
      <c r="K317" s="180"/>
      <c r="L317" s="176"/>
    </row>
    <row r="318" spans="3:12">
      <c r="C318" s="164"/>
      <c r="D318" s="175"/>
      <c r="E318" s="176"/>
      <c r="F318" s="177"/>
      <c r="G318" s="178"/>
      <c r="H318" s="179"/>
      <c r="I318" s="179"/>
      <c r="J318" s="180"/>
      <c r="K318" s="180"/>
      <c r="L318" s="176"/>
    </row>
    <row r="319" spans="3:12">
      <c r="C319" s="164"/>
      <c r="D319" s="175"/>
      <c r="E319" s="176"/>
      <c r="F319" s="177"/>
      <c r="G319" s="178"/>
      <c r="H319" s="179"/>
      <c r="I319" s="179"/>
      <c r="J319" s="180"/>
      <c r="K319" s="180"/>
      <c r="L319" s="176"/>
    </row>
    <row r="320" spans="3:12">
      <c r="C320" s="164"/>
      <c r="D320" s="175"/>
      <c r="E320" s="176"/>
      <c r="F320" s="177"/>
      <c r="G320" s="178"/>
      <c r="H320" s="179"/>
      <c r="I320" s="179"/>
      <c r="J320" s="180"/>
      <c r="K320" s="180"/>
      <c r="L320" s="176"/>
    </row>
    <row r="321" spans="3:12">
      <c r="C321" s="164"/>
      <c r="D321" s="175"/>
      <c r="E321" s="176"/>
      <c r="F321" s="177"/>
      <c r="G321" s="178"/>
      <c r="H321" s="179"/>
      <c r="I321" s="179"/>
      <c r="J321" s="180"/>
      <c r="K321" s="180"/>
      <c r="L321" s="176"/>
    </row>
    <row r="322" spans="3:12">
      <c r="C322" s="164"/>
      <c r="D322" s="175"/>
      <c r="E322" s="176"/>
      <c r="F322" s="177"/>
      <c r="G322" s="178"/>
      <c r="H322" s="179"/>
      <c r="I322" s="179"/>
      <c r="J322" s="180"/>
      <c r="K322" s="180"/>
      <c r="L322" s="176"/>
    </row>
    <row r="323" spans="3:12">
      <c r="C323" s="164"/>
      <c r="D323" s="175"/>
      <c r="E323" s="176"/>
      <c r="F323" s="177"/>
      <c r="G323" s="178"/>
      <c r="H323" s="179"/>
      <c r="I323" s="179"/>
      <c r="J323" s="180"/>
      <c r="K323" s="180"/>
      <c r="L323" s="176"/>
    </row>
    <row r="324" spans="3:12">
      <c r="C324" s="164"/>
      <c r="D324" s="175"/>
      <c r="E324" s="176"/>
      <c r="F324" s="177"/>
      <c r="G324" s="178"/>
      <c r="H324" s="179"/>
      <c r="I324" s="179"/>
      <c r="J324" s="180"/>
      <c r="K324" s="180"/>
      <c r="L324" s="176"/>
    </row>
    <row r="325" spans="3:12">
      <c r="C325" s="164"/>
      <c r="D325" s="175"/>
      <c r="E325" s="176"/>
      <c r="F325" s="177"/>
      <c r="G325" s="178"/>
      <c r="H325" s="179"/>
      <c r="I325" s="179"/>
      <c r="J325" s="180"/>
      <c r="K325" s="180"/>
      <c r="L325" s="176"/>
    </row>
    <row r="326" spans="3:12">
      <c r="C326" s="164"/>
      <c r="D326" s="175"/>
      <c r="E326" s="176"/>
      <c r="F326" s="177"/>
      <c r="G326" s="178"/>
      <c r="H326" s="179"/>
      <c r="I326" s="179"/>
      <c r="J326" s="180"/>
      <c r="K326" s="180"/>
      <c r="L326" s="176"/>
    </row>
    <row r="327" spans="3:12">
      <c r="C327" s="164"/>
      <c r="D327" s="175"/>
      <c r="E327" s="176"/>
      <c r="F327" s="177"/>
      <c r="G327" s="178"/>
      <c r="H327" s="179"/>
      <c r="I327" s="179"/>
      <c r="J327" s="180"/>
      <c r="K327" s="180"/>
      <c r="L327" s="176"/>
    </row>
    <row r="328" spans="3:12">
      <c r="C328" s="164"/>
      <c r="D328" s="175"/>
      <c r="E328" s="176"/>
      <c r="F328" s="177"/>
      <c r="G328" s="178"/>
      <c r="H328" s="179"/>
      <c r="I328" s="179"/>
      <c r="J328" s="180"/>
      <c r="K328" s="180"/>
      <c r="L328" s="176"/>
    </row>
    <row r="329" spans="3:12">
      <c r="C329" s="164"/>
      <c r="D329" s="175"/>
      <c r="E329" s="176"/>
      <c r="F329" s="177"/>
      <c r="G329" s="178"/>
      <c r="H329" s="179"/>
      <c r="I329" s="179"/>
      <c r="J329" s="180"/>
      <c r="K329" s="180"/>
      <c r="L329" s="176"/>
    </row>
    <row r="330" spans="3:12">
      <c r="C330" s="164"/>
      <c r="D330" s="175"/>
      <c r="E330" s="176"/>
      <c r="F330" s="177"/>
      <c r="G330" s="178"/>
      <c r="H330" s="179"/>
      <c r="I330" s="179"/>
      <c r="J330" s="180"/>
      <c r="K330" s="180"/>
      <c r="L330" s="176"/>
    </row>
    <row r="331" spans="3:12">
      <c r="C331" s="164"/>
      <c r="D331" s="175"/>
      <c r="E331" s="176"/>
      <c r="F331" s="177"/>
      <c r="G331" s="178"/>
      <c r="H331" s="179"/>
      <c r="I331" s="179"/>
      <c r="J331" s="180"/>
      <c r="K331" s="180"/>
      <c r="L331" s="176"/>
    </row>
    <row r="332" spans="3:12">
      <c r="C332" s="164"/>
      <c r="D332" s="175"/>
      <c r="E332" s="176"/>
      <c r="F332" s="177"/>
      <c r="G332" s="178"/>
      <c r="H332" s="179"/>
      <c r="I332" s="179"/>
      <c r="J332" s="180"/>
      <c r="K332" s="180"/>
      <c r="L332" s="176"/>
    </row>
    <row r="333" spans="3:12">
      <c r="C333" s="164"/>
      <c r="D333" s="175"/>
      <c r="E333" s="176"/>
      <c r="F333" s="177"/>
      <c r="G333" s="178"/>
      <c r="H333" s="179"/>
      <c r="I333" s="179"/>
      <c r="J333" s="180"/>
      <c r="K333" s="180"/>
      <c r="L333" s="176"/>
    </row>
    <row r="334" spans="3:12">
      <c r="C334" s="164"/>
      <c r="D334" s="175"/>
      <c r="E334" s="176"/>
      <c r="F334" s="177"/>
      <c r="G334" s="178"/>
      <c r="H334" s="179"/>
      <c r="I334" s="179"/>
      <c r="J334" s="180"/>
      <c r="K334" s="180"/>
      <c r="L334" s="176"/>
    </row>
    <row r="335" spans="3:12">
      <c r="C335" s="164"/>
      <c r="D335" s="175"/>
      <c r="E335" s="176"/>
      <c r="F335" s="177"/>
      <c r="G335" s="178"/>
      <c r="H335" s="179"/>
      <c r="I335" s="179"/>
      <c r="J335" s="180"/>
      <c r="K335" s="180"/>
      <c r="L335" s="176"/>
    </row>
    <row r="336" spans="3:12">
      <c r="C336" s="164"/>
      <c r="D336" s="175"/>
      <c r="E336" s="176"/>
      <c r="F336" s="177"/>
      <c r="G336" s="178"/>
      <c r="H336" s="179"/>
      <c r="I336" s="179"/>
      <c r="J336" s="180"/>
      <c r="K336" s="180"/>
      <c r="L336" s="176"/>
    </row>
    <row r="337" spans="3:12">
      <c r="C337" s="164"/>
      <c r="D337" s="175"/>
      <c r="E337" s="176"/>
      <c r="F337" s="177"/>
      <c r="G337" s="178"/>
      <c r="H337" s="179"/>
      <c r="I337" s="179"/>
      <c r="J337" s="180"/>
      <c r="K337" s="180"/>
      <c r="L337" s="176"/>
    </row>
    <row r="338" spans="3:12">
      <c r="C338" s="164"/>
      <c r="D338" s="175"/>
      <c r="E338" s="176"/>
      <c r="F338" s="177"/>
      <c r="G338" s="178"/>
      <c r="H338" s="179"/>
      <c r="I338" s="179"/>
      <c r="J338" s="180"/>
      <c r="K338" s="180"/>
      <c r="L338" s="176"/>
    </row>
    <row r="339" spans="3:12">
      <c r="C339" s="164"/>
      <c r="D339" s="175"/>
      <c r="E339" s="176"/>
      <c r="F339" s="177"/>
      <c r="G339" s="178"/>
      <c r="H339" s="179"/>
      <c r="I339" s="179"/>
      <c r="J339" s="180"/>
      <c r="K339" s="180"/>
      <c r="L339" s="176"/>
    </row>
    <row r="340" spans="3:12">
      <c r="C340" s="164"/>
      <c r="D340" s="175"/>
      <c r="E340" s="176"/>
      <c r="F340" s="177"/>
      <c r="G340" s="178"/>
      <c r="H340" s="179"/>
      <c r="I340" s="179"/>
      <c r="J340" s="180"/>
      <c r="K340" s="180"/>
      <c r="L340" s="176"/>
    </row>
    <row r="341" spans="3:12">
      <c r="C341" s="164"/>
      <c r="D341" s="175"/>
      <c r="E341" s="176"/>
      <c r="F341" s="177"/>
      <c r="G341" s="178"/>
      <c r="H341" s="179"/>
      <c r="I341" s="179"/>
      <c r="J341" s="180"/>
      <c r="K341" s="180"/>
      <c r="L341" s="176"/>
    </row>
    <row r="342" spans="3:12">
      <c r="C342" s="164"/>
      <c r="D342" s="175"/>
      <c r="E342" s="176"/>
      <c r="F342" s="177"/>
      <c r="G342" s="178"/>
      <c r="H342" s="179"/>
      <c r="I342" s="179"/>
      <c r="J342" s="180"/>
      <c r="K342" s="180"/>
      <c r="L342" s="176"/>
    </row>
    <row r="343" spans="3:12">
      <c r="C343" s="164"/>
      <c r="D343" s="175"/>
      <c r="E343" s="176"/>
      <c r="F343" s="177"/>
      <c r="G343" s="178"/>
      <c r="H343" s="179"/>
      <c r="I343" s="179"/>
      <c r="J343" s="180"/>
      <c r="K343" s="180"/>
      <c r="L343" s="176"/>
    </row>
    <row r="344" spans="3:12">
      <c r="C344" s="164"/>
      <c r="D344" s="175"/>
      <c r="E344" s="176"/>
      <c r="F344" s="177"/>
      <c r="G344" s="178"/>
      <c r="H344" s="179"/>
      <c r="I344" s="179"/>
      <c r="J344" s="180"/>
      <c r="K344" s="180"/>
      <c r="L344" s="176"/>
    </row>
    <row r="345" spans="3:12">
      <c r="C345" s="164"/>
      <c r="D345" s="175"/>
      <c r="E345" s="176"/>
      <c r="F345" s="177"/>
      <c r="G345" s="178"/>
      <c r="H345" s="179"/>
      <c r="I345" s="179"/>
      <c r="J345" s="180"/>
      <c r="K345" s="180"/>
      <c r="L345" s="176"/>
    </row>
    <row r="346" spans="3:12">
      <c r="C346" s="164"/>
      <c r="D346" s="175"/>
      <c r="E346" s="176"/>
      <c r="F346" s="177"/>
      <c r="G346" s="178"/>
      <c r="H346" s="179"/>
      <c r="I346" s="179"/>
      <c r="J346" s="180"/>
      <c r="K346" s="180"/>
      <c r="L346" s="176"/>
    </row>
    <row r="347" spans="3:12">
      <c r="C347" s="164"/>
      <c r="D347" s="175"/>
      <c r="E347" s="176"/>
      <c r="F347" s="177"/>
      <c r="G347" s="178"/>
      <c r="H347" s="179"/>
      <c r="I347" s="179"/>
      <c r="J347" s="180"/>
      <c r="K347" s="180"/>
      <c r="L347" s="176"/>
    </row>
    <row r="348" spans="3:12">
      <c r="C348" s="164"/>
      <c r="D348" s="175"/>
      <c r="E348" s="176"/>
      <c r="F348" s="177"/>
      <c r="G348" s="178"/>
      <c r="H348" s="179"/>
      <c r="I348" s="179"/>
      <c r="J348" s="180"/>
      <c r="K348" s="180"/>
      <c r="L348" s="176"/>
    </row>
    <row r="349" spans="3:12">
      <c r="C349" s="164"/>
      <c r="D349" s="175"/>
      <c r="E349" s="176"/>
      <c r="F349" s="177"/>
      <c r="G349" s="178"/>
      <c r="H349" s="179"/>
      <c r="I349" s="179"/>
      <c r="J349" s="180"/>
      <c r="K349" s="180"/>
      <c r="L349" s="176"/>
    </row>
    <row r="350" spans="3:12">
      <c r="C350" s="164"/>
      <c r="D350" s="175"/>
      <c r="E350" s="176"/>
      <c r="F350" s="177"/>
      <c r="G350" s="178"/>
      <c r="H350" s="179"/>
      <c r="I350" s="179"/>
      <c r="J350" s="180"/>
      <c r="K350" s="180"/>
      <c r="L350" s="176"/>
    </row>
    <row r="351" spans="3:12">
      <c r="C351" s="164"/>
      <c r="D351" s="175"/>
      <c r="E351" s="176"/>
      <c r="F351" s="177"/>
      <c r="G351" s="178"/>
      <c r="H351" s="179"/>
      <c r="I351" s="179"/>
      <c r="J351" s="180"/>
      <c r="K351" s="180"/>
      <c r="L351" s="176"/>
    </row>
    <row r="352" spans="3:12">
      <c r="C352" s="164"/>
      <c r="D352" s="175"/>
      <c r="E352" s="176"/>
      <c r="F352" s="177"/>
      <c r="G352" s="178"/>
      <c r="H352" s="179"/>
      <c r="I352" s="179"/>
      <c r="J352" s="180"/>
      <c r="K352" s="180"/>
      <c r="L352" s="176"/>
    </row>
    <row r="353" spans="3:12">
      <c r="C353" s="164"/>
      <c r="D353" s="175"/>
      <c r="E353" s="176"/>
      <c r="F353" s="177"/>
      <c r="G353" s="178"/>
      <c r="H353" s="179"/>
      <c r="I353" s="179"/>
      <c r="J353" s="180"/>
      <c r="K353" s="180"/>
      <c r="L353" s="176"/>
    </row>
    <row r="354" spans="3:12">
      <c r="C354" s="164"/>
      <c r="D354" s="175"/>
      <c r="E354" s="176"/>
      <c r="F354" s="177"/>
      <c r="G354" s="178"/>
      <c r="H354" s="179"/>
      <c r="I354" s="179"/>
      <c r="J354" s="180"/>
      <c r="K354" s="180"/>
      <c r="L354" s="176"/>
    </row>
    <row r="355" spans="3:12">
      <c r="C355" s="164"/>
      <c r="D355" s="175"/>
      <c r="E355" s="176"/>
      <c r="F355" s="177"/>
      <c r="G355" s="178"/>
      <c r="H355" s="179"/>
      <c r="I355" s="179"/>
      <c r="J355" s="180"/>
      <c r="K355" s="180"/>
      <c r="L355" s="176"/>
    </row>
    <row r="356" spans="3:12">
      <c r="C356" s="164"/>
      <c r="D356" s="175"/>
      <c r="E356" s="176"/>
      <c r="F356" s="177"/>
      <c r="G356" s="178"/>
      <c r="H356" s="179"/>
      <c r="I356" s="179"/>
      <c r="J356" s="180"/>
      <c r="K356" s="180"/>
      <c r="L356" s="176"/>
    </row>
    <row r="357" spans="3:12">
      <c r="C357" s="164"/>
      <c r="D357" s="175"/>
      <c r="E357" s="176"/>
      <c r="F357" s="177"/>
      <c r="G357" s="178"/>
      <c r="H357" s="179"/>
      <c r="I357" s="179"/>
      <c r="J357" s="180"/>
      <c r="K357" s="180"/>
      <c r="L357" s="176"/>
    </row>
    <row r="358" spans="3:12">
      <c r="C358" s="164"/>
      <c r="D358" s="175"/>
      <c r="E358" s="176"/>
      <c r="F358" s="177"/>
      <c r="G358" s="178"/>
      <c r="H358" s="179"/>
      <c r="I358" s="179"/>
      <c r="J358" s="180"/>
      <c r="K358" s="180"/>
      <c r="L358" s="176"/>
    </row>
    <row r="359" spans="3:12">
      <c r="C359" s="164"/>
      <c r="D359" s="175"/>
      <c r="E359" s="176"/>
      <c r="F359" s="177"/>
      <c r="G359" s="178"/>
      <c r="H359" s="179"/>
      <c r="I359" s="179"/>
      <c r="J359" s="180"/>
      <c r="K359" s="180"/>
      <c r="L359" s="176"/>
    </row>
    <row r="360" spans="3:12">
      <c r="C360" s="164"/>
      <c r="D360" s="175"/>
      <c r="E360" s="176"/>
      <c r="F360" s="177"/>
      <c r="G360" s="178"/>
      <c r="H360" s="179"/>
      <c r="I360" s="179"/>
      <c r="J360" s="180"/>
      <c r="K360" s="180"/>
      <c r="L360" s="176"/>
    </row>
    <row r="361" spans="3:12">
      <c r="C361" s="164"/>
      <c r="D361" s="175"/>
      <c r="E361" s="176"/>
      <c r="F361" s="177"/>
      <c r="G361" s="178"/>
      <c r="H361" s="179"/>
      <c r="I361" s="179"/>
      <c r="J361" s="180"/>
      <c r="K361" s="180"/>
      <c r="L361" s="176"/>
    </row>
    <row r="362" spans="3:12">
      <c r="C362" s="164"/>
      <c r="D362" s="175"/>
      <c r="E362" s="176"/>
      <c r="F362" s="177"/>
      <c r="G362" s="178"/>
      <c r="H362" s="179"/>
      <c r="I362" s="179"/>
      <c r="J362" s="180"/>
      <c r="K362" s="180"/>
      <c r="L362" s="176"/>
    </row>
    <row r="363" spans="3:12">
      <c r="C363" s="164"/>
      <c r="D363" s="175"/>
      <c r="E363" s="176"/>
      <c r="F363" s="177"/>
      <c r="G363" s="178"/>
      <c r="H363" s="179"/>
      <c r="I363" s="179"/>
      <c r="J363" s="180"/>
      <c r="K363" s="180"/>
      <c r="L363" s="176"/>
    </row>
    <row r="364" spans="3:12">
      <c r="C364" s="164"/>
      <c r="D364" s="175"/>
      <c r="E364" s="176"/>
      <c r="F364" s="177"/>
      <c r="G364" s="178"/>
      <c r="H364" s="179"/>
      <c r="I364" s="179"/>
      <c r="J364" s="180"/>
      <c r="K364" s="180"/>
      <c r="L364" s="176"/>
    </row>
    <row r="365" spans="3:12">
      <c r="C365" s="164"/>
      <c r="D365" s="175"/>
      <c r="E365" s="176"/>
      <c r="F365" s="177"/>
      <c r="G365" s="178"/>
      <c r="H365" s="179"/>
      <c r="I365" s="179"/>
      <c r="J365" s="180"/>
      <c r="K365" s="180"/>
      <c r="L365" s="176"/>
    </row>
    <row r="366" spans="3:12">
      <c r="C366" s="164"/>
      <c r="D366" s="175"/>
      <c r="E366" s="176"/>
      <c r="F366" s="177"/>
      <c r="G366" s="178"/>
      <c r="H366" s="179"/>
      <c r="I366" s="179"/>
      <c r="J366" s="180"/>
      <c r="K366" s="180"/>
      <c r="L366" s="176"/>
    </row>
    <row r="367" spans="3:12">
      <c r="C367" s="164"/>
      <c r="D367" s="175"/>
      <c r="E367" s="176"/>
      <c r="F367" s="177"/>
      <c r="G367" s="178"/>
      <c r="H367" s="179"/>
      <c r="I367" s="179"/>
      <c r="J367" s="180"/>
      <c r="K367" s="180"/>
      <c r="L367" s="176"/>
    </row>
    <row r="368" spans="3:12">
      <c r="C368" s="164"/>
      <c r="D368" s="175"/>
      <c r="E368" s="176"/>
      <c r="F368" s="177"/>
      <c r="G368" s="178"/>
      <c r="H368" s="179"/>
      <c r="I368" s="179"/>
      <c r="J368" s="180"/>
      <c r="K368" s="180"/>
      <c r="L368" s="176"/>
    </row>
    <row r="369" spans="3:12">
      <c r="C369" s="164"/>
      <c r="D369" s="175"/>
      <c r="E369" s="176"/>
      <c r="F369" s="177"/>
      <c r="G369" s="178"/>
      <c r="H369" s="179"/>
      <c r="I369" s="179"/>
      <c r="J369" s="180"/>
      <c r="K369" s="180"/>
      <c r="L369" s="176"/>
    </row>
    <row r="370" spans="3:12">
      <c r="C370" s="164"/>
      <c r="D370" s="175"/>
      <c r="E370" s="176"/>
      <c r="F370" s="177"/>
      <c r="G370" s="178"/>
      <c r="H370" s="179"/>
      <c r="I370" s="179"/>
      <c r="J370" s="180"/>
      <c r="K370" s="180"/>
      <c r="L370" s="176"/>
    </row>
    <row r="371" spans="3:12">
      <c r="C371" s="164"/>
      <c r="D371" s="175"/>
      <c r="E371" s="176"/>
      <c r="F371" s="177"/>
      <c r="G371" s="178"/>
      <c r="H371" s="179"/>
      <c r="I371" s="179"/>
      <c r="J371" s="180"/>
      <c r="K371" s="180"/>
      <c r="L371" s="176"/>
    </row>
    <row r="372" spans="3:12">
      <c r="C372" s="164"/>
      <c r="D372" s="175"/>
      <c r="E372" s="176"/>
      <c r="F372" s="177"/>
      <c r="G372" s="178"/>
      <c r="H372" s="179"/>
      <c r="I372" s="179"/>
      <c r="J372" s="180"/>
      <c r="K372" s="180"/>
      <c r="L372" s="176"/>
    </row>
    <row r="373" spans="3:12">
      <c r="C373" s="164"/>
      <c r="D373" s="175"/>
      <c r="E373" s="176"/>
      <c r="F373" s="177"/>
      <c r="G373" s="178"/>
      <c r="H373" s="179"/>
      <c r="I373" s="179"/>
      <c r="J373" s="180"/>
      <c r="K373" s="180"/>
      <c r="L373" s="176"/>
    </row>
    <row r="374" spans="3:12">
      <c r="C374" s="164"/>
      <c r="D374" s="175"/>
      <c r="E374" s="176"/>
      <c r="F374" s="177"/>
      <c r="G374" s="178"/>
      <c r="H374" s="179"/>
      <c r="I374" s="179"/>
      <c r="J374" s="180"/>
      <c r="K374" s="180"/>
      <c r="L374" s="176"/>
    </row>
    <row r="375" spans="3:12">
      <c r="C375" s="164"/>
      <c r="D375" s="175"/>
      <c r="E375" s="176"/>
      <c r="F375" s="177"/>
      <c r="G375" s="178"/>
      <c r="H375" s="179"/>
      <c r="I375" s="179"/>
      <c r="J375" s="180"/>
      <c r="K375" s="180"/>
      <c r="L375" s="176"/>
    </row>
    <row r="376" spans="3:12">
      <c r="C376" s="164"/>
      <c r="D376" s="175"/>
      <c r="E376" s="176"/>
      <c r="F376" s="177"/>
      <c r="G376" s="178"/>
      <c r="H376" s="179"/>
      <c r="I376" s="179"/>
      <c r="J376" s="180"/>
      <c r="K376" s="180"/>
      <c r="L376" s="176"/>
    </row>
    <row r="377" spans="3:12">
      <c r="C377" s="164"/>
      <c r="D377" s="175"/>
      <c r="E377" s="176"/>
      <c r="F377" s="177"/>
      <c r="G377" s="178"/>
      <c r="H377" s="179"/>
      <c r="I377" s="179"/>
      <c r="J377" s="180"/>
      <c r="K377" s="180"/>
      <c r="L377" s="176"/>
    </row>
    <row r="378" spans="3:12">
      <c r="C378" s="164"/>
      <c r="D378" s="175"/>
      <c r="E378" s="176"/>
      <c r="F378" s="177"/>
      <c r="G378" s="178"/>
      <c r="H378" s="179"/>
      <c r="I378" s="179"/>
      <c r="J378" s="180"/>
      <c r="K378" s="180"/>
      <c r="L378" s="176"/>
    </row>
    <row r="379" spans="3:12">
      <c r="C379" s="164"/>
      <c r="D379" s="175"/>
      <c r="E379" s="176"/>
      <c r="F379" s="177"/>
      <c r="G379" s="178"/>
      <c r="H379" s="179"/>
      <c r="I379" s="179"/>
      <c r="J379" s="180"/>
      <c r="K379" s="180"/>
      <c r="L379" s="176"/>
    </row>
    <row r="380" spans="3:12">
      <c r="C380" s="164"/>
      <c r="D380" s="175"/>
      <c r="E380" s="176"/>
      <c r="F380" s="177"/>
      <c r="G380" s="178"/>
      <c r="H380" s="179"/>
      <c r="I380" s="179"/>
      <c r="J380" s="180"/>
      <c r="K380" s="180"/>
      <c r="L380" s="176"/>
    </row>
    <row r="381" spans="3:12">
      <c r="C381" s="164"/>
      <c r="D381" s="175"/>
      <c r="E381" s="176"/>
      <c r="F381" s="177"/>
      <c r="G381" s="178"/>
      <c r="H381" s="179"/>
      <c r="I381" s="179"/>
      <c r="J381" s="180"/>
      <c r="K381" s="180"/>
      <c r="L381" s="176"/>
    </row>
  </sheetData>
  <mergeCells count="2">
    <mergeCell ref="B1:M1"/>
    <mergeCell ref="B6:C6"/>
  </mergeCells>
  <hyperlinks>
    <hyperlink ref="D7" r:id="rId1"/>
  </hyperlinks>
  <pageMargins left="0.7" right="0.7" top="0.75" bottom="0.75" header="0.3" footer="0.3"/>
  <pageSetup orientation="portrait"/>
  <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64"/>
  <sheetViews>
    <sheetView showGridLines="0" topLeftCell="A61" workbookViewId="0">
      <selection activeCell="B101" sqref="B101"/>
    </sheetView>
  </sheetViews>
  <sheetFormatPr baseColWidth="10" defaultColWidth="8.83203125" defaultRowHeight="14" x14ac:dyDescent="0"/>
  <cols>
    <col min="1" max="1" width="2.83203125" style="98" customWidth="1"/>
    <col min="2" max="2" width="8.83203125" style="98"/>
    <col min="3" max="7" width="18.5" style="98" bestFit="1" customWidth="1"/>
    <col min="8" max="8" width="5" style="98" customWidth="1"/>
    <col min="9" max="9" width="13.5" style="98" customWidth="1"/>
    <col min="10" max="14" width="18.5" style="98" bestFit="1" customWidth="1"/>
    <col min="15" max="16384" width="8.83203125" style="98"/>
  </cols>
  <sheetData>
    <row r="1" spans="2:18" ht="25.5" customHeight="1">
      <c r="B1" s="321" t="s">
        <v>207</v>
      </c>
      <c r="C1" s="321"/>
      <c r="D1" s="321"/>
      <c r="E1" s="321"/>
      <c r="F1" s="321"/>
      <c r="G1" s="321"/>
      <c r="H1" s="321"/>
      <c r="I1" s="321"/>
      <c r="J1" s="321"/>
      <c r="K1" s="321"/>
      <c r="L1" s="321"/>
      <c r="M1" s="321"/>
      <c r="N1" s="321"/>
      <c r="O1" s="258"/>
      <c r="P1" s="258"/>
      <c r="Q1" s="258"/>
      <c r="R1" s="258"/>
    </row>
    <row r="3" spans="2:18" ht="15" thickBot="1">
      <c r="B3" s="334" t="s">
        <v>264</v>
      </c>
      <c r="C3" s="334"/>
      <c r="D3" s="334"/>
      <c r="E3" s="334"/>
      <c r="F3" s="334"/>
      <c r="G3" s="334"/>
      <c r="I3" s="334" t="s">
        <v>270</v>
      </c>
      <c r="J3" s="334"/>
      <c r="K3" s="334"/>
      <c r="L3" s="334"/>
      <c r="M3" s="334"/>
      <c r="N3" s="334"/>
    </row>
    <row r="4" spans="2:18" ht="15" thickBot="1">
      <c r="B4" s="182" t="s">
        <v>235</v>
      </c>
      <c r="C4" s="107" t="s">
        <v>265</v>
      </c>
      <c r="D4" s="107" t="s">
        <v>266</v>
      </c>
      <c r="E4" s="107" t="s">
        <v>267</v>
      </c>
      <c r="F4" s="107" t="s">
        <v>268</v>
      </c>
      <c r="G4" s="107" t="s">
        <v>269</v>
      </c>
      <c r="I4" s="182" t="s">
        <v>235</v>
      </c>
      <c r="J4" s="107" t="s">
        <v>265</v>
      </c>
      <c r="K4" s="107" t="s">
        <v>266</v>
      </c>
      <c r="L4" s="107" t="s">
        <v>267</v>
      </c>
      <c r="M4" s="107" t="s">
        <v>268</v>
      </c>
      <c r="N4" s="107" t="s">
        <v>269</v>
      </c>
    </row>
    <row r="5" spans="2:18">
      <c r="B5" s="266">
        <v>1</v>
      </c>
      <c r="C5" s="195">
        <v>0</v>
      </c>
      <c r="D5" s="195">
        <v>0</v>
      </c>
      <c r="E5" s="195">
        <v>0</v>
      </c>
      <c r="F5" s="195">
        <v>0</v>
      </c>
      <c r="G5" s="195">
        <v>0</v>
      </c>
      <c r="I5" s="266">
        <v>1</v>
      </c>
      <c r="J5" s="195">
        <v>0</v>
      </c>
      <c r="K5" s="195">
        <v>0</v>
      </c>
      <c r="L5" s="195">
        <v>0</v>
      </c>
      <c r="M5" s="195">
        <v>0</v>
      </c>
      <c r="N5" s="195">
        <v>0</v>
      </c>
    </row>
    <row r="6" spans="2:18">
      <c r="B6" s="192">
        <v>2</v>
      </c>
      <c r="C6" s="195">
        <v>3.8159621962053601E-3</v>
      </c>
      <c r="D6" s="195">
        <v>5.723943294308041E-3</v>
      </c>
      <c r="E6" s="195">
        <v>7.6319243924107202E-3</v>
      </c>
      <c r="F6" s="195">
        <v>9.5399054905134003E-3</v>
      </c>
      <c r="G6" s="195">
        <v>1.1447886588616082E-2</v>
      </c>
      <c r="I6" s="192">
        <v>2</v>
      </c>
      <c r="J6" s="195">
        <v>3.8159621962053601E-3</v>
      </c>
      <c r="K6" s="195">
        <v>5.723943294308041E-3</v>
      </c>
      <c r="L6" s="195">
        <v>7.6319243924107202E-3</v>
      </c>
      <c r="M6" s="195">
        <v>9.5399054905134003E-3</v>
      </c>
      <c r="N6" s="195">
        <v>1.1447886588616082E-2</v>
      </c>
    </row>
    <row r="7" spans="2:18">
      <c r="B7" s="192">
        <v>3</v>
      </c>
      <c r="C7" s="195">
        <v>7.6748527327308372E-3</v>
      </c>
      <c r="D7" s="195">
        <v>1.1512280133560412E-2</v>
      </c>
      <c r="E7" s="195">
        <v>1.5349707534389986E-2</v>
      </c>
      <c r="F7" s="195">
        <v>1.918713286629125E-2</v>
      </c>
      <c r="G7" s="195">
        <v>2.3024560267120825E-2</v>
      </c>
      <c r="I7" s="192">
        <v>3</v>
      </c>
      <c r="J7" s="195">
        <v>7.6748527327308372E-3</v>
      </c>
      <c r="K7" s="195">
        <v>1.1512280133560412E-2</v>
      </c>
      <c r="L7" s="195">
        <v>1.5349707534389986E-2</v>
      </c>
      <c r="M7" s="195">
        <v>1.918713286629125E-2</v>
      </c>
      <c r="N7" s="195">
        <v>2.3024560267120825E-2</v>
      </c>
    </row>
    <row r="8" spans="2:18">
      <c r="B8" s="192">
        <v>4</v>
      </c>
      <c r="C8" s="195">
        <v>1.1577216144905717E-2</v>
      </c>
      <c r="D8" s="195">
        <v>1.7365826544902926E-2</v>
      </c>
      <c r="E8" s="195">
        <v>2.3154435393203904E-2</v>
      </c>
      <c r="F8" s="195">
        <v>2.8943042689808643E-2</v>
      </c>
      <c r="G8" s="195">
        <v>3.4731653089805851E-2</v>
      </c>
      <c r="I8" s="192">
        <v>4</v>
      </c>
      <c r="J8" s="195">
        <v>1.1577216144905717E-2</v>
      </c>
      <c r="K8" s="195">
        <v>1.7365826544902926E-2</v>
      </c>
      <c r="L8" s="195">
        <v>2.3154435393203904E-2</v>
      </c>
      <c r="M8" s="195">
        <v>2.8943042689808643E-2</v>
      </c>
      <c r="N8" s="195">
        <v>3.4731653089805851E-2</v>
      </c>
    </row>
    <row r="9" spans="2:18">
      <c r="B9" s="192">
        <v>5</v>
      </c>
      <c r="C9" s="195">
        <v>1.5523603262883733E-2</v>
      </c>
      <c r="D9" s="195">
        <v>2.3285407377039574E-2</v>
      </c>
      <c r="E9" s="195">
        <v>3.104721024983843E-2</v>
      </c>
      <c r="F9" s="195">
        <v>3.8809011881280296E-2</v>
      </c>
      <c r="G9" s="195">
        <v>4.6570815995436138E-2</v>
      </c>
      <c r="I9" s="192">
        <v>5</v>
      </c>
      <c r="J9" s="195">
        <v>1.5523603262883733E-2</v>
      </c>
      <c r="K9" s="195">
        <v>2.3285407377039574E-2</v>
      </c>
      <c r="L9" s="195">
        <v>3.104721024983843E-2</v>
      </c>
      <c r="M9" s="195">
        <v>3.8809011881280296E-2</v>
      </c>
      <c r="N9" s="195">
        <v>4.6570815995436138E-2</v>
      </c>
    </row>
    <row r="10" spans="2:18">
      <c r="B10" s="192">
        <v>6</v>
      </c>
      <c r="C10" s="195">
        <v>1.9514572172740968E-2</v>
      </c>
      <c r="D10" s="195">
        <v>2.9271860328039759E-2</v>
      </c>
      <c r="E10" s="195">
        <v>3.9029148483338556E-2</v>
      </c>
      <c r="F10" s="195">
        <v>4.8786435604173201E-2</v>
      </c>
      <c r="G10" s="195">
        <v>5.8543723759471991E-2</v>
      </c>
      <c r="I10" s="192">
        <v>6</v>
      </c>
      <c r="J10" s="195">
        <v>1.9514572172740968E-2</v>
      </c>
      <c r="K10" s="195">
        <v>2.9271860328039759E-2</v>
      </c>
      <c r="L10" s="195">
        <v>3.9029148483338556E-2</v>
      </c>
      <c r="M10" s="195">
        <v>4.8786435604173201E-2</v>
      </c>
      <c r="N10" s="195">
        <v>5.8543723759471991E-2</v>
      </c>
    </row>
    <row r="11" spans="2:18">
      <c r="B11" s="192">
        <v>7</v>
      </c>
      <c r="C11" s="195">
        <v>2.3550688353775551E-2</v>
      </c>
      <c r="D11" s="195">
        <v>3.5326034747372226E-2</v>
      </c>
      <c r="E11" s="195">
        <v>4.7101381140968908E-2</v>
      </c>
      <c r="F11" s="195">
        <v>5.8876727534565597E-2</v>
      </c>
      <c r="G11" s="195">
        <v>7.0652073928162279E-2</v>
      </c>
      <c r="I11" s="192">
        <v>7</v>
      </c>
      <c r="J11" s="195">
        <v>2.3550688353775551E-2</v>
      </c>
      <c r="K11" s="195">
        <v>3.5326034747372226E-2</v>
      </c>
      <c r="L11" s="195">
        <v>4.7101381140968908E-2</v>
      </c>
      <c r="M11" s="195">
        <v>5.8876727534565597E-2</v>
      </c>
      <c r="N11" s="195">
        <v>7.0652073928162279E-2</v>
      </c>
    </row>
    <row r="12" spans="2:18">
      <c r="B12" s="192">
        <v>8</v>
      </c>
      <c r="C12" s="195">
        <v>2.7632524712832587E-2</v>
      </c>
      <c r="D12" s="195">
        <v>4.1448789784717284E-2</v>
      </c>
      <c r="E12" s="195">
        <v>5.5265054856601999E-2</v>
      </c>
      <c r="F12" s="195">
        <v>6.9081320704334814E-2</v>
      </c>
      <c r="G12" s="195">
        <v>8.2897585776219529E-2</v>
      </c>
      <c r="I12" s="192">
        <v>8</v>
      </c>
      <c r="J12" s="195">
        <v>2.7632524712832587E-2</v>
      </c>
      <c r="K12" s="195">
        <v>4.1448789784717284E-2</v>
      </c>
      <c r="L12" s="195">
        <v>5.5265054856601999E-2</v>
      </c>
      <c r="M12" s="195">
        <v>6.9081320704334814E-2</v>
      </c>
      <c r="N12" s="195">
        <v>8.2897585776219529E-2</v>
      </c>
    </row>
    <row r="13" spans="2:18">
      <c r="B13" s="192">
        <v>9</v>
      </c>
      <c r="C13" s="195">
        <v>3.1760662975031349E-2</v>
      </c>
      <c r="D13" s="195">
        <v>4.7640997221118107E-2</v>
      </c>
      <c r="E13" s="195">
        <v>6.3521332156847646E-2</v>
      </c>
      <c r="F13" s="195">
        <v>7.9401667782219937E-2</v>
      </c>
      <c r="G13" s="195">
        <v>9.5282002717949482E-2</v>
      </c>
      <c r="I13" s="192">
        <v>9</v>
      </c>
      <c r="J13" s="195">
        <v>3.1760662975031349E-2</v>
      </c>
      <c r="K13" s="195">
        <v>4.7640997221118107E-2</v>
      </c>
      <c r="L13" s="195">
        <v>6.3521332156847646E-2</v>
      </c>
      <c r="M13" s="195">
        <v>7.9401667782219937E-2</v>
      </c>
      <c r="N13" s="195">
        <v>9.5282002717949482E-2</v>
      </c>
    </row>
    <row r="14" spans="2:18">
      <c r="B14" s="192">
        <v>10</v>
      </c>
      <c r="C14" s="195">
        <v>3.593569175734216E-2</v>
      </c>
      <c r="D14" s="195">
        <v>5.3903540739405703E-2</v>
      </c>
      <c r="E14" s="195">
        <v>7.1871390342147762E-2</v>
      </c>
      <c r="F14" s="195">
        <v>8.9839241186246782E-2</v>
      </c>
      <c r="G14" s="195">
        <v>0.10780709140966732</v>
      </c>
      <c r="I14" s="192">
        <v>10</v>
      </c>
      <c r="J14" s="195">
        <v>3.593569175734216E-2</v>
      </c>
      <c r="K14" s="195">
        <v>5.3903540739405703E-2</v>
      </c>
      <c r="L14" s="195">
        <v>7.1871390342147762E-2</v>
      </c>
      <c r="M14" s="195">
        <v>8.9839241186246782E-2</v>
      </c>
      <c r="N14" s="195">
        <v>0.10780709140966732</v>
      </c>
    </row>
    <row r="15" spans="2:18">
      <c r="B15" s="192">
        <v>11</v>
      </c>
      <c r="C15" s="195">
        <v>4.0158207949952243E-2</v>
      </c>
      <c r="D15" s="195">
        <v>6.0237315592574003E-2</v>
      </c>
      <c r="E15" s="195">
        <v>8.0316423235195777E-2</v>
      </c>
      <c r="F15" s="195">
        <v>0.10039553313483025</v>
      </c>
      <c r="G15" s="195">
        <v>0.12047464247021154</v>
      </c>
      <c r="I15" s="192">
        <v>11</v>
      </c>
      <c r="J15" s="195">
        <v>4.0158207949952243E-2</v>
      </c>
      <c r="K15" s="195">
        <v>6.0237315592574003E-2</v>
      </c>
      <c r="L15" s="195">
        <v>8.0316423235195777E-2</v>
      </c>
      <c r="M15" s="195">
        <v>0.10039553313483025</v>
      </c>
      <c r="N15" s="195">
        <v>0.12047464247021154</v>
      </c>
    </row>
    <row r="16" spans="2:18">
      <c r="B16" s="192">
        <v>12</v>
      </c>
      <c r="C16" s="195">
        <v>4.4428816372484477E-2</v>
      </c>
      <c r="D16" s="195">
        <v>6.6643228955199377E-2</v>
      </c>
      <c r="E16" s="195">
        <v>8.8857641020682207E-2</v>
      </c>
      <c r="F16" s="195">
        <v>0.11107205618955748</v>
      </c>
      <c r="G16" s="195">
        <v>0.13328647084120071</v>
      </c>
      <c r="I16" s="192">
        <v>12</v>
      </c>
      <c r="J16" s="195">
        <v>4.4428816372484477E-2</v>
      </c>
      <c r="K16" s="195">
        <v>6.6643228955199377E-2</v>
      </c>
      <c r="L16" s="195">
        <v>8.8857641020682207E-2</v>
      </c>
      <c r="M16" s="195">
        <v>0.11107205618955748</v>
      </c>
      <c r="N16" s="195">
        <v>0.13328647084120071</v>
      </c>
    </row>
    <row r="17" spans="2:14">
      <c r="B17" s="192">
        <v>13</v>
      </c>
      <c r="C17" s="195">
        <v>4.8748130543774422E-2</v>
      </c>
      <c r="D17" s="195">
        <v>7.3122200590111583E-2</v>
      </c>
      <c r="E17" s="195">
        <v>9.7496270159003751E-2</v>
      </c>
      <c r="F17" s="195">
        <v>0.12187034307001088</v>
      </c>
      <c r="G17" s="195">
        <v>0.14624441598101801</v>
      </c>
      <c r="I17" s="192">
        <v>13</v>
      </c>
      <c r="J17" s="195">
        <v>4.8748130543774422E-2</v>
      </c>
      <c r="K17" s="195">
        <v>7.3122200590111583E-2</v>
      </c>
      <c r="L17" s="195">
        <v>9.7496270159003751E-2</v>
      </c>
      <c r="M17" s="195">
        <v>0.12187034307001088</v>
      </c>
      <c r="N17" s="195">
        <v>0.14624441598101801</v>
      </c>
    </row>
    <row r="18" spans="2:14">
      <c r="B18" s="192">
        <v>14</v>
      </c>
      <c r="C18" s="195">
        <v>5.311677179171756E-2</v>
      </c>
      <c r="D18" s="195">
        <v>7.9675162786006823E-2</v>
      </c>
      <c r="E18" s="195">
        <v>0.10623355333695431</v>
      </c>
      <c r="F18" s="195">
        <v>0.13279194787797782</v>
      </c>
      <c r="G18" s="195">
        <v>0.15935034241900131</v>
      </c>
      <c r="I18" s="192">
        <v>14</v>
      </c>
      <c r="J18" s="195">
        <v>5.311677179171756E-2</v>
      </c>
      <c r="K18" s="195">
        <v>7.9675162786006823E-2</v>
      </c>
      <c r="L18" s="195">
        <v>0.10623355333695431</v>
      </c>
      <c r="M18" s="195">
        <v>0.13279194787797782</v>
      </c>
      <c r="N18" s="195">
        <v>0.15935034241900131</v>
      </c>
    </row>
    <row r="19" spans="2:14">
      <c r="B19" s="192">
        <v>15</v>
      </c>
      <c r="C19" s="195">
        <v>5.7535369960534613E-2</v>
      </c>
      <c r="D19" s="195">
        <v>8.6303060733801187E-2</v>
      </c>
      <c r="E19" s="195">
        <v>0.11507075067949644</v>
      </c>
      <c r="F19" s="195">
        <v>0.143838445176834</v>
      </c>
      <c r="G19" s="195">
        <v>0.17260614008795719</v>
      </c>
      <c r="I19" s="192">
        <v>15</v>
      </c>
      <c r="J19" s="195">
        <v>5.7535369960534613E-2</v>
      </c>
      <c r="K19" s="195">
        <v>8.6303060733801187E-2</v>
      </c>
      <c r="L19" s="195">
        <v>0.11507075067949644</v>
      </c>
      <c r="M19" s="195">
        <v>0.143838445176834</v>
      </c>
      <c r="N19" s="195">
        <v>0.17260614008795719</v>
      </c>
    </row>
    <row r="20" spans="2:14">
      <c r="B20" s="192">
        <v>16</v>
      </c>
      <c r="C20" s="195">
        <v>6.2004563464888335E-2</v>
      </c>
      <c r="D20" s="195">
        <v>9.3006851986003516E-2</v>
      </c>
      <c r="E20" s="195">
        <v>0.12400913895542247</v>
      </c>
      <c r="F20" s="195">
        <v>0.15501143135577825</v>
      </c>
      <c r="G20" s="195">
        <v>0.18601372453198214</v>
      </c>
      <c r="I20" s="192">
        <v>16</v>
      </c>
      <c r="J20" s="195">
        <v>6.2004563464888335E-2</v>
      </c>
      <c r="K20" s="195">
        <v>9.3006851986003516E-2</v>
      </c>
      <c r="L20" s="195">
        <v>0.12400913895542247</v>
      </c>
      <c r="M20" s="195">
        <v>0.15501143135577825</v>
      </c>
      <c r="N20" s="195">
        <v>0.18601372453198214</v>
      </c>
    </row>
    <row r="21" spans="2:14">
      <c r="B21" s="192">
        <v>17</v>
      </c>
      <c r="C21" s="195">
        <v>6.6524999690005193E-2</v>
      </c>
      <c r="D21" s="195">
        <v>9.978750720221273E-2</v>
      </c>
      <c r="E21" s="195">
        <v>0.13305001252379028</v>
      </c>
      <c r="F21" s="195">
        <v>0.16631252441725775</v>
      </c>
      <c r="G21" s="195">
        <v>0.19957503704093524</v>
      </c>
      <c r="I21" s="192">
        <v>17</v>
      </c>
      <c r="J21" s="195">
        <v>6.6524999690005193E-2</v>
      </c>
      <c r="K21" s="195">
        <v>9.978750720221273E-2</v>
      </c>
      <c r="L21" s="195">
        <v>0.13305001252379028</v>
      </c>
      <c r="M21" s="195">
        <v>0.16631252441725775</v>
      </c>
      <c r="N21" s="195">
        <v>0.19957503704093524</v>
      </c>
    </row>
    <row r="22" spans="2:14">
      <c r="B22" s="192">
        <v>18</v>
      </c>
      <c r="C22" s="195">
        <v>7.1097334568780521E-2</v>
      </c>
      <c r="D22" s="195">
        <v>0.10664601030129472</v>
      </c>
      <c r="E22" s="195">
        <v>0.14219468362005924</v>
      </c>
      <c r="F22" s="195">
        <v>0.17774336418007283</v>
      </c>
      <c r="G22" s="195">
        <v>0.21329204542972924</v>
      </c>
      <c r="I22" s="192">
        <v>18</v>
      </c>
      <c r="J22" s="195">
        <v>7.1097334568780521E-2</v>
      </c>
      <c r="K22" s="195">
        <v>0.10664601030129472</v>
      </c>
      <c r="L22" s="195">
        <v>0.14219468362005924</v>
      </c>
      <c r="M22" s="195">
        <v>0.17774336418007283</v>
      </c>
      <c r="N22" s="195">
        <v>0.21329204542972924</v>
      </c>
    </row>
    <row r="23" spans="2:14">
      <c r="B23" s="192">
        <v>19</v>
      </c>
      <c r="C23" s="195">
        <v>7.5722232945775E-2</v>
      </c>
      <c r="D23" s="195">
        <v>0.11358335889217636</v>
      </c>
      <c r="E23" s="195">
        <v>0.15144448189852167</v>
      </c>
      <c r="F23" s="195">
        <v>0.18930561274501639</v>
      </c>
      <c r="G23" s="195">
        <v>0.22716674457152983</v>
      </c>
      <c r="I23" s="192">
        <v>19</v>
      </c>
      <c r="J23" s="195">
        <v>7.5722232945775E-2</v>
      </c>
      <c r="K23" s="195">
        <v>0.11358335889217636</v>
      </c>
      <c r="L23" s="195">
        <v>0.15144448189852167</v>
      </c>
      <c r="M23" s="195">
        <v>0.18930561274501639</v>
      </c>
      <c r="N23" s="195">
        <v>0.22716674457152983</v>
      </c>
    </row>
    <row r="24" spans="2:14">
      <c r="B24" s="192">
        <v>20</v>
      </c>
      <c r="C24" s="195">
        <v>8.0400368832012362E-2</v>
      </c>
      <c r="D24" s="195">
        <v>0.12060056364438332</v>
      </c>
      <c r="E24" s="195">
        <v>0.1608007553533618</v>
      </c>
      <c r="F24" s="195">
        <v>0.2010009551311607</v>
      </c>
      <c r="G24" s="195">
        <v>0.24120115615031662</v>
      </c>
      <c r="I24" s="192">
        <v>20</v>
      </c>
      <c r="J24" s="195">
        <v>8.0400368832012362E-2</v>
      </c>
      <c r="K24" s="195">
        <v>0.12060056364438332</v>
      </c>
      <c r="L24" s="195">
        <v>0.1608007553533618</v>
      </c>
      <c r="M24" s="195">
        <v>0.2010009551311607</v>
      </c>
      <c r="N24" s="195">
        <v>0.24120115615031662</v>
      </c>
    </row>
    <row r="25" spans="2:14">
      <c r="B25" s="192">
        <v>21</v>
      </c>
      <c r="C25" s="195">
        <v>8.51324252914165E-2</v>
      </c>
      <c r="D25" s="195">
        <v>0.12769864931623048</v>
      </c>
      <c r="E25" s="195">
        <v>0.17026487008987137</v>
      </c>
      <c r="F25" s="195">
        <v>0.21283109913922552</v>
      </c>
      <c r="G25" s="195">
        <v>0.25539732966638568</v>
      </c>
      <c r="I25" s="192">
        <v>21</v>
      </c>
      <c r="J25" s="195">
        <v>8.51324252914165E-2</v>
      </c>
      <c r="K25" s="195">
        <v>0.12769864931623048</v>
      </c>
      <c r="L25" s="195">
        <v>0.17026487008987137</v>
      </c>
      <c r="M25" s="195">
        <v>0.21283109913922552</v>
      </c>
      <c r="N25" s="195">
        <v>0.25539732966638568</v>
      </c>
    </row>
    <row r="26" spans="2:14">
      <c r="B26" s="192">
        <v>22</v>
      </c>
      <c r="C26" s="195">
        <v>8.9919094922473422E-2</v>
      </c>
      <c r="D26" s="195">
        <v>0.13487865465621673</v>
      </c>
      <c r="E26" s="195">
        <v>0.17983821100444095</v>
      </c>
      <c r="F26" s="195">
        <v>0.22479777581646285</v>
      </c>
      <c r="G26" s="195">
        <v>0.26975734232124432</v>
      </c>
      <c r="I26" s="192">
        <v>22</v>
      </c>
      <c r="J26" s="195">
        <v>8.9919094922473422E-2</v>
      </c>
      <c r="K26" s="195">
        <v>0.13487865465621673</v>
      </c>
      <c r="L26" s="195">
        <v>0.17983821100444095</v>
      </c>
      <c r="M26" s="195">
        <v>0.22479777581646285</v>
      </c>
      <c r="N26" s="195">
        <v>0.26975734232124432</v>
      </c>
    </row>
    <row r="27" spans="2:14">
      <c r="B27" s="192">
        <v>23</v>
      </c>
      <c r="C27" s="195">
        <v>9.4761079404661691E-2</v>
      </c>
      <c r="D27" s="195">
        <v>0.1421416323301431</v>
      </c>
      <c r="E27" s="195">
        <v>0.18952218174744165</v>
      </c>
      <c r="F27" s="195">
        <v>0.23690273980026708</v>
      </c>
      <c r="G27" s="195">
        <v>0.28428329974211408</v>
      </c>
      <c r="I27" s="192">
        <v>23</v>
      </c>
      <c r="J27" s="195">
        <v>9.4761079404661691E-2</v>
      </c>
      <c r="K27" s="195">
        <v>0.1421416323301431</v>
      </c>
      <c r="L27" s="195">
        <v>0.18952218174744165</v>
      </c>
      <c r="M27" s="195">
        <v>0.23690273980026708</v>
      </c>
      <c r="N27" s="195">
        <v>0.28428329974211408</v>
      </c>
    </row>
    <row r="28" spans="2:14">
      <c r="B28" s="192">
        <v>24</v>
      </c>
      <c r="C28" s="195">
        <v>9.9659090192739316E-2</v>
      </c>
      <c r="D28" s="195">
        <v>0.14948864964229922</v>
      </c>
      <c r="E28" s="195">
        <v>0.19931820521261842</v>
      </c>
      <c r="F28" s="195">
        <v>0.249147769575883</v>
      </c>
      <c r="G28" s="195">
        <v>0.29897733626669198</v>
      </c>
      <c r="I28" s="192">
        <v>24</v>
      </c>
      <c r="J28" s="195">
        <v>9.9659090192739316E-2</v>
      </c>
      <c r="K28" s="195">
        <v>0.14948864964229922</v>
      </c>
      <c r="L28" s="195">
        <v>0.19931820521261842</v>
      </c>
      <c r="M28" s="195">
        <v>0.249147769575883</v>
      </c>
      <c r="N28" s="195">
        <v>0.29897733626669198</v>
      </c>
    </row>
    <row r="29" spans="2:14">
      <c r="B29" s="192">
        <v>25</v>
      </c>
      <c r="C29" s="195">
        <v>0.1046138485478591</v>
      </c>
      <c r="D29" s="195">
        <v>0.15692078809047966</v>
      </c>
      <c r="E29" s="195">
        <v>0.20922772366075779</v>
      </c>
      <c r="F29" s="195">
        <v>0.26153466816880622</v>
      </c>
      <c r="G29" s="195">
        <v>0.31384161540784011</v>
      </c>
      <c r="I29" s="192">
        <v>25</v>
      </c>
      <c r="J29" s="195">
        <v>0.1046138485478591</v>
      </c>
      <c r="K29" s="195">
        <v>0.15692078809047966</v>
      </c>
      <c r="L29" s="195">
        <v>0.20922772366075779</v>
      </c>
      <c r="M29" s="195">
        <v>0.26153466816880622</v>
      </c>
      <c r="N29" s="195">
        <v>0.31384161540784011</v>
      </c>
    </row>
    <row r="30" spans="2:14">
      <c r="B30" s="192">
        <v>26</v>
      </c>
      <c r="C30" s="195">
        <v>0.10962608532278091</v>
      </c>
      <c r="D30" s="195">
        <v>0.16443914421730127</v>
      </c>
      <c r="E30" s="195">
        <v>0.2192521990535391</v>
      </c>
      <c r="F30" s="195">
        <v>0.27406526296123179</v>
      </c>
      <c r="G30" s="195">
        <v>0.32887832997231708</v>
      </c>
      <c r="I30" s="192">
        <v>26</v>
      </c>
      <c r="J30" s="195">
        <v>0.10962608532278091</v>
      </c>
      <c r="K30" s="195">
        <v>0.16443914421730127</v>
      </c>
      <c r="L30" s="195">
        <v>0.2192521990535391</v>
      </c>
      <c r="M30" s="195">
        <v>0.27406526296123179</v>
      </c>
      <c r="N30" s="195">
        <v>0.32887832997231708</v>
      </c>
    </row>
    <row r="31" spans="2:14">
      <c r="B31" s="192">
        <v>27</v>
      </c>
      <c r="C31" s="195">
        <v>0.11469654148445746</v>
      </c>
      <c r="D31" s="195">
        <v>0.17204482958269596</v>
      </c>
      <c r="E31" s="195">
        <v>0.22939311331319687</v>
      </c>
      <c r="F31" s="195">
        <v>0.28674140646881563</v>
      </c>
      <c r="G31" s="195">
        <v>0.34408970284276741</v>
      </c>
      <c r="I31" s="192">
        <v>27</v>
      </c>
      <c r="J31" s="195">
        <v>0.11469654148445746</v>
      </c>
      <c r="K31" s="195">
        <v>0.17204482958269596</v>
      </c>
      <c r="L31" s="195">
        <v>0.22939311331319687</v>
      </c>
      <c r="M31" s="195">
        <v>0.28674140646881563</v>
      </c>
      <c r="N31" s="195">
        <v>0.34408970284276741</v>
      </c>
    </row>
    <row r="32" spans="2:14">
      <c r="B32" s="192">
        <v>28</v>
      </c>
      <c r="C32" s="195">
        <v>0.11982596830296637</v>
      </c>
      <c r="D32" s="195">
        <v>0.17973897074229805</v>
      </c>
      <c r="E32" s="195">
        <v>0.23965196874821187</v>
      </c>
      <c r="F32" s="195">
        <v>0.29956497650764491</v>
      </c>
      <c r="G32" s="195">
        <v>0.35947798737047049</v>
      </c>
      <c r="I32" s="192">
        <v>28</v>
      </c>
      <c r="J32" s="195">
        <v>0.11982596830296637</v>
      </c>
      <c r="K32" s="195">
        <v>0.17973897074229805</v>
      </c>
      <c r="L32" s="195">
        <v>0.23965196874821187</v>
      </c>
      <c r="M32" s="195">
        <v>0.29956497650764491</v>
      </c>
      <c r="N32" s="195">
        <v>0.35947798737047049</v>
      </c>
    </row>
    <row r="33" spans="2:14">
      <c r="B33" s="192">
        <v>29</v>
      </c>
      <c r="C33" s="195">
        <v>0.12501512707329884</v>
      </c>
      <c r="D33" s="195">
        <v>0.18752270987238431</v>
      </c>
      <c r="E33" s="195">
        <v>0.25003028817690132</v>
      </c>
      <c r="F33" s="195">
        <v>0.31253787632666347</v>
      </c>
      <c r="G33" s="195">
        <v>0.37504546768683161</v>
      </c>
      <c r="I33" s="192">
        <v>29</v>
      </c>
      <c r="J33" s="195">
        <v>0.12501512707329884</v>
      </c>
      <c r="K33" s="195">
        <v>0.18752270987238431</v>
      </c>
      <c r="L33" s="195">
        <v>0.25003028817690132</v>
      </c>
      <c r="M33" s="195">
        <v>0.31253787632666347</v>
      </c>
      <c r="N33" s="195">
        <v>0.37504546768683161</v>
      </c>
    </row>
    <row r="34" spans="2:14">
      <c r="B34" s="192">
        <v>30</v>
      </c>
      <c r="C34" s="195">
        <v>0.13026478951346909</v>
      </c>
      <c r="D34" s="195">
        <v>0.19539720464914756</v>
      </c>
      <c r="E34" s="195">
        <v>0.26052961502629085</v>
      </c>
      <c r="F34" s="195">
        <v>0.32566203554118295</v>
      </c>
      <c r="G34" s="195">
        <v>0.39079445915946742</v>
      </c>
      <c r="I34" s="192">
        <v>30</v>
      </c>
      <c r="J34" s="195">
        <v>0.13026478951346909</v>
      </c>
      <c r="K34" s="195">
        <v>0.19539720464914756</v>
      </c>
      <c r="L34" s="195">
        <v>0.26052961502629085</v>
      </c>
      <c r="M34" s="195">
        <v>0.32566203554118295</v>
      </c>
      <c r="N34" s="195">
        <v>0.39079445915946742</v>
      </c>
    </row>
    <row r="35" spans="2:14">
      <c r="B35" s="192">
        <v>31</v>
      </c>
      <c r="C35" s="195">
        <v>0.13557573808557019</v>
      </c>
      <c r="D35" s="195">
        <v>0.20336362855177434</v>
      </c>
      <c r="E35" s="195">
        <v>0.27115151401250664</v>
      </c>
      <c r="F35" s="195">
        <v>0.33893940988462024</v>
      </c>
      <c r="G35" s="195">
        <v>0.40672730896023568</v>
      </c>
      <c r="I35" s="192">
        <v>31</v>
      </c>
      <c r="J35" s="195">
        <v>0.13557573808557019</v>
      </c>
      <c r="K35" s="195">
        <v>0.20336362855177434</v>
      </c>
      <c r="L35" s="195">
        <v>0.27115151401250664</v>
      </c>
      <c r="M35" s="195">
        <v>0.33893940988462024</v>
      </c>
      <c r="N35" s="195">
        <v>0.40672730896023568</v>
      </c>
    </row>
    <row r="36" spans="2:14">
      <c r="B36" s="192">
        <v>32</v>
      </c>
      <c r="C36" s="195">
        <v>0.14094876586870808</v>
      </c>
      <c r="D36" s="195">
        <v>0.21142317110869557</v>
      </c>
      <c r="E36" s="195">
        <v>0.28189757130567017</v>
      </c>
      <c r="F36" s="195">
        <v>0.35237198217055649</v>
      </c>
      <c r="G36" s="195">
        <v>0.42284639613883523</v>
      </c>
      <c r="I36" s="192">
        <v>32</v>
      </c>
      <c r="J36" s="195">
        <v>0.14094876586870808</v>
      </c>
      <c r="K36" s="195">
        <v>0.21142317110869557</v>
      </c>
      <c r="L36" s="195">
        <v>0.28189757130567017</v>
      </c>
      <c r="M36" s="195">
        <v>0.35237198217055649</v>
      </c>
      <c r="N36" s="195">
        <v>0.42284639613883523</v>
      </c>
    </row>
    <row r="37" spans="2:14">
      <c r="B37" s="192">
        <v>33</v>
      </c>
      <c r="C37" s="195">
        <v>0.14638467664312269</v>
      </c>
      <c r="D37" s="195">
        <v>0.21957703828714875</v>
      </c>
      <c r="E37" s="195">
        <v>0.29276939485289605</v>
      </c>
      <c r="F37" s="195">
        <v>0.36596176213945386</v>
      </c>
      <c r="G37" s="195">
        <v>0.43915413262344621</v>
      </c>
      <c r="I37" s="192">
        <v>33</v>
      </c>
      <c r="J37" s="195">
        <v>0.14638467664312269</v>
      </c>
      <c r="K37" s="195">
        <v>0.21957703828714875</v>
      </c>
      <c r="L37" s="195">
        <v>0.29276939485289605</v>
      </c>
      <c r="M37" s="195">
        <v>0.36596176213945386</v>
      </c>
      <c r="N37" s="195">
        <v>0.43915413262344621</v>
      </c>
    </row>
    <row r="38" spans="2:14">
      <c r="B38" s="192">
        <v>34</v>
      </c>
      <c r="C38" s="195">
        <v>0.15188428550712185</v>
      </c>
      <c r="D38" s="195">
        <v>0.22782645244888886</v>
      </c>
      <c r="E38" s="195">
        <v>0.30376861446173825</v>
      </c>
      <c r="F38" s="195">
        <v>0.3797107872451852</v>
      </c>
      <c r="G38" s="195">
        <v>0.45565296331457705</v>
      </c>
      <c r="I38" s="192">
        <v>34</v>
      </c>
      <c r="J38" s="195">
        <v>0.15188428550712185</v>
      </c>
      <c r="K38" s="195">
        <v>0.22782645244888886</v>
      </c>
      <c r="L38" s="195">
        <v>0.30376861446173825</v>
      </c>
      <c r="M38" s="195">
        <v>0.3797107872451852</v>
      </c>
      <c r="N38" s="195">
        <v>0.45565296331457705</v>
      </c>
    </row>
    <row r="39" spans="2:14">
      <c r="B39" s="192">
        <v>35</v>
      </c>
      <c r="C39" s="195">
        <v>0.15744841850157132</v>
      </c>
      <c r="D39" s="195">
        <v>0.23617265284550187</v>
      </c>
      <c r="E39" s="195">
        <v>0.31489688240134106</v>
      </c>
      <c r="F39" s="195">
        <v>0.39362112277471983</v>
      </c>
      <c r="G39" s="195">
        <v>0.47234536651749603</v>
      </c>
      <c r="I39" s="192">
        <v>35</v>
      </c>
      <c r="J39" s="195">
        <v>0.15744841850157132</v>
      </c>
      <c r="K39" s="195">
        <v>0.23617265284550187</v>
      </c>
      <c r="L39" s="195">
        <v>0.31489688240134106</v>
      </c>
      <c r="M39" s="195">
        <v>0.39362112277471983</v>
      </c>
      <c r="N39" s="195">
        <v>0.47234536651749603</v>
      </c>
    </row>
    <row r="40" spans="2:14">
      <c r="B40" s="192">
        <v>36</v>
      </c>
      <c r="C40" s="195">
        <v>0.16307791315902348</v>
      </c>
      <c r="D40" s="195">
        <v>0.24461689568634457</v>
      </c>
      <c r="E40" s="195">
        <v>0.32615587355857678</v>
      </c>
      <c r="F40" s="195">
        <v>0.40769486246509351</v>
      </c>
      <c r="G40" s="195">
        <v>0.48923385464741331</v>
      </c>
      <c r="I40" s="192">
        <v>36</v>
      </c>
      <c r="J40" s="195">
        <v>0.16307791315902348</v>
      </c>
      <c r="K40" s="195">
        <v>0.24461689568634457</v>
      </c>
      <c r="L40" s="195">
        <v>0.32615587355857678</v>
      </c>
      <c r="M40" s="195">
        <v>0.40769486246509351</v>
      </c>
      <c r="N40" s="195">
        <v>0.48923385464741331</v>
      </c>
    </row>
    <row r="41" spans="2:14">
      <c r="B41" s="192">
        <v>37</v>
      </c>
      <c r="C41" s="195">
        <v>0.1687736184605452</v>
      </c>
      <c r="D41" s="195">
        <v>0.25316045436321805</v>
      </c>
      <c r="E41" s="195">
        <v>0.33754728590436611</v>
      </c>
      <c r="F41" s="195">
        <v>0.42193412868482771</v>
      </c>
      <c r="G41" s="195">
        <v>0.5063209746525571</v>
      </c>
      <c r="I41" s="192">
        <v>37</v>
      </c>
      <c r="J41" s="195">
        <v>0.1687736184605452</v>
      </c>
      <c r="K41" s="195">
        <v>0.25316045436321805</v>
      </c>
      <c r="L41" s="195">
        <v>0.33754728590436611</v>
      </c>
      <c r="M41" s="195">
        <v>0.42193412868482771</v>
      </c>
      <c r="N41" s="195">
        <v>0.5063209746525571</v>
      </c>
    </row>
    <row r="42" spans="2:14">
      <c r="B42" s="192">
        <v>38</v>
      </c>
      <c r="C42" s="195">
        <v>0.17453639496269874</v>
      </c>
      <c r="D42" s="195">
        <v>0.26180461996623933</v>
      </c>
      <c r="E42" s="195">
        <v>0.34907284072303213</v>
      </c>
      <c r="F42" s="195">
        <v>0.43634107307671283</v>
      </c>
      <c r="G42" s="195">
        <v>0.52360930837044939</v>
      </c>
      <c r="I42" s="192">
        <v>38</v>
      </c>
      <c r="J42" s="195">
        <v>0.17453639496269874</v>
      </c>
      <c r="K42" s="195">
        <v>0.26180461996623933</v>
      </c>
      <c r="L42" s="195">
        <v>0.34907284072303213</v>
      </c>
      <c r="M42" s="195">
        <v>0.43634107307671283</v>
      </c>
      <c r="N42" s="195">
        <v>0.52360930837044939</v>
      </c>
    </row>
    <row r="43" spans="2:14">
      <c r="B43" s="192">
        <v>39</v>
      </c>
      <c r="C43" s="195">
        <v>0.18036711522328394</v>
      </c>
      <c r="D43" s="195">
        <v>0.27055070108375495</v>
      </c>
      <c r="E43" s="195">
        <v>0.36073428296551741</v>
      </c>
      <c r="F43" s="195">
        <v>0.450917876783405</v>
      </c>
      <c r="G43" s="195">
        <v>0.54110147314766577</v>
      </c>
      <c r="I43" s="192">
        <v>39</v>
      </c>
      <c r="J43" s="195">
        <v>0.18036711522328394</v>
      </c>
      <c r="K43" s="195">
        <v>0.27055070108375495</v>
      </c>
      <c r="L43" s="195">
        <v>0.36073428296551741</v>
      </c>
      <c r="M43" s="195">
        <v>0.450917876783405</v>
      </c>
      <c r="N43" s="195">
        <v>0.54110147314766577</v>
      </c>
    </row>
    <row r="44" spans="2:14">
      <c r="B44" s="192">
        <v>40</v>
      </c>
      <c r="C44" s="195">
        <v>0.18626666354254054</v>
      </c>
      <c r="D44" s="195">
        <v>0.27940002440811529</v>
      </c>
      <c r="E44" s="195">
        <v>0.3725333815496189</v>
      </c>
      <c r="F44" s="195">
        <v>0.46566675079435338</v>
      </c>
      <c r="G44" s="195">
        <v>0.55880012236663212</v>
      </c>
      <c r="I44" s="192">
        <v>40</v>
      </c>
      <c r="J44" s="195">
        <v>0.18626666354254054</v>
      </c>
      <c r="K44" s="195">
        <v>0.27940002440811529</v>
      </c>
      <c r="L44" s="195">
        <v>0.3725333815496189</v>
      </c>
      <c r="M44" s="195">
        <v>0.46566675079435338</v>
      </c>
      <c r="N44" s="195">
        <v>0.55880012236663212</v>
      </c>
    </row>
    <row r="45" spans="2:14">
      <c r="B45" s="192">
        <v>41</v>
      </c>
      <c r="C45" s="195">
        <v>0.19223593665053307</v>
      </c>
      <c r="D45" s="195">
        <v>0.28835393495002937</v>
      </c>
      <c r="E45" s="195">
        <v>0.38447192961628562</v>
      </c>
      <c r="F45" s="195">
        <v>0.48058993669611189</v>
      </c>
      <c r="G45" s="195">
        <v>0.57670794589532814</v>
      </c>
      <c r="I45" s="192">
        <v>41</v>
      </c>
      <c r="J45" s="195">
        <v>0.19223593665053307</v>
      </c>
      <c r="K45" s="195">
        <v>0.28835393495002937</v>
      </c>
      <c r="L45" s="195">
        <v>0.38447192961628562</v>
      </c>
      <c r="M45" s="195">
        <v>0.48058993669611189</v>
      </c>
      <c r="N45" s="195">
        <v>0.57670794589532814</v>
      </c>
    </row>
    <row r="46" spans="2:14">
      <c r="B46" s="192">
        <v>42</v>
      </c>
      <c r="C46" s="195">
        <v>0.1982758434096549</v>
      </c>
      <c r="D46" s="195">
        <v>0.29741379607451679</v>
      </c>
      <c r="E46" s="195">
        <v>0.39655174519264441</v>
      </c>
      <c r="F46" s="195">
        <v>0.49568970687212255</v>
      </c>
      <c r="G46" s="195">
        <v>0.59482767062052899</v>
      </c>
      <c r="I46" s="192">
        <v>42</v>
      </c>
      <c r="J46" s="195">
        <v>0.1982758434096549</v>
      </c>
      <c r="K46" s="195">
        <v>0.29741379607451679</v>
      </c>
      <c r="L46" s="195">
        <v>0.39655174519264441</v>
      </c>
      <c r="M46" s="195">
        <v>0.49568970687212255</v>
      </c>
      <c r="N46" s="195">
        <v>0.59482767062052899</v>
      </c>
    </row>
    <row r="47" spans="2:14">
      <c r="B47" s="192">
        <v>43</v>
      </c>
      <c r="C47" s="195">
        <v>0.20438730542470576</v>
      </c>
      <c r="D47" s="195">
        <v>0.30658098996487448</v>
      </c>
      <c r="E47" s="195">
        <v>0.40877467118513494</v>
      </c>
      <c r="F47" s="195">
        <v>0.51096836510765298</v>
      </c>
      <c r="G47" s="195">
        <v>0.61316206090664083</v>
      </c>
      <c r="I47" s="192">
        <v>43</v>
      </c>
      <c r="J47" s="195">
        <v>0.20438730542470576</v>
      </c>
      <c r="K47" s="195">
        <v>0.30658098996487448</v>
      </c>
      <c r="L47" s="195">
        <v>0.40877467118513494</v>
      </c>
      <c r="M47" s="195">
        <v>0.51096836510765298</v>
      </c>
      <c r="N47" s="195">
        <v>0.61316206090664083</v>
      </c>
    </row>
    <row r="48" spans="2:14">
      <c r="B48" s="192">
        <v>44</v>
      </c>
      <c r="C48" s="195">
        <v>0.21057125686446077</v>
      </c>
      <c r="D48" s="195">
        <v>0.31585691788231213</v>
      </c>
      <c r="E48" s="195">
        <v>0.42114257593783427</v>
      </c>
      <c r="F48" s="195">
        <v>0.52642824683011624</v>
      </c>
      <c r="G48" s="195">
        <v>0.63171391927409437</v>
      </c>
      <c r="I48" s="192">
        <v>44</v>
      </c>
      <c r="J48" s="195">
        <v>0.21057125686446077</v>
      </c>
      <c r="K48" s="195">
        <v>0.31585691788231213</v>
      </c>
      <c r="L48" s="195">
        <v>0.42114257593783427</v>
      </c>
      <c r="M48" s="195">
        <v>0.52642824683011624</v>
      </c>
      <c r="N48" s="195">
        <v>0.63171391927409437</v>
      </c>
    </row>
    <row r="49" spans="2:14">
      <c r="B49" s="192">
        <v>45</v>
      </c>
      <c r="C49" s="195">
        <v>0.21682864472081581</v>
      </c>
      <c r="D49" s="195">
        <v>0.32524300039096959</v>
      </c>
      <c r="E49" s="195">
        <v>0.43365735357840934</v>
      </c>
      <c r="F49" s="195">
        <v>0.54207171959320466</v>
      </c>
      <c r="G49" s="195">
        <v>0.65048608698728561</v>
      </c>
      <c r="I49" s="192">
        <v>45</v>
      </c>
      <c r="J49" s="195">
        <v>0.21682864472081581</v>
      </c>
      <c r="K49" s="195">
        <v>0.32524300039096959</v>
      </c>
      <c r="L49" s="195">
        <v>0.43365735357840934</v>
      </c>
      <c r="M49" s="195">
        <v>0.54207171959320466</v>
      </c>
      <c r="N49" s="195">
        <v>0.65048608698728561</v>
      </c>
    </row>
    <row r="50" spans="2:14">
      <c r="B50" s="192">
        <v>46</v>
      </c>
      <c r="C50" s="195">
        <v>0.22316042903413136</v>
      </c>
      <c r="D50" s="195">
        <v>0.33474067768851418</v>
      </c>
      <c r="E50" s="195">
        <v>0.44632092431894538</v>
      </c>
      <c r="F50" s="195">
        <v>0.55790118363280672</v>
      </c>
      <c r="G50" s="195">
        <v>0.66948144429596912</v>
      </c>
      <c r="I50" s="192">
        <v>46</v>
      </c>
      <c r="J50" s="195">
        <v>0.22316042903413136</v>
      </c>
      <c r="K50" s="195">
        <v>0.33474067768851418</v>
      </c>
      <c r="L50" s="195">
        <v>0.44632092431894538</v>
      </c>
      <c r="M50" s="195">
        <v>0.55790118363280672</v>
      </c>
      <c r="N50" s="195">
        <v>0.66948144429596912</v>
      </c>
    </row>
    <row r="51" spans="2:14">
      <c r="B51" s="192">
        <v>47</v>
      </c>
      <c r="C51" s="195">
        <v>0.22956758322186815</v>
      </c>
      <c r="D51" s="195">
        <v>0.34435140976247491</v>
      </c>
      <c r="E51" s="195">
        <v>0.45913523485042995</v>
      </c>
      <c r="F51" s="195">
        <v>0.57391907235195483</v>
      </c>
      <c r="G51" s="195">
        <v>0.68870291130613148</v>
      </c>
      <c r="I51" s="192">
        <v>47</v>
      </c>
      <c r="J51" s="195">
        <v>0.22956758322186815</v>
      </c>
      <c r="K51" s="195">
        <v>0.34435140976247491</v>
      </c>
      <c r="L51" s="195">
        <v>0.45913523485042995</v>
      </c>
      <c r="M51" s="195">
        <v>0.57391907235195483</v>
      </c>
      <c r="N51" s="195">
        <v>0.68870291130613148</v>
      </c>
    </row>
    <row r="52" spans="2:14">
      <c r="B52" s="192">
        <v>48</v>
      </c>
      <c r="C52" s="195">
        <v>0.23605109410752773</v>
      </c>
      <c r="D52" s="195">
        <v>0.35407667678565097</v>
      </c>
      <c r="E52" s="195">
        <v>0.47210225868792621</v>
      </c>
      <c r="F52" s="195">
        <v>0.59012785274515511</v>
      </c>
      <c r="G52" s="195">
        <v>0.70815344835408034</v>
      </c>
      <c r="I52" s="192">
        <v>48</v>
      </c>
      <c r="J52" s="195">
        <v>0.23605109410752773</v>
      </c>
      <c r="K52" s="195">
        <v>0.35407667678565097</v>
      </c>
      <c r="L52" s="195">
        <v>0.47210225868792621</v>
      </c>
      <c r="M52" s="195">
        <v>0.59012785274515511</v>
      </c>
      <c r="N52" s="195">
        <v>0.70815344835408034</v>
      </c>
    </row>
    <row r="53" spans="2:14">
      <c r="B53" s="192">
        <v>49</v>
      </c>
      <c r="C53" s="195">
        <v>0.24261196207271774</v>
      </c>
      <c r="D53" s="195">
        <v>0.36391797946310261</v>
      </c>
      <c r="E53" s="195">
        <v>0.48522399672681854</v>
      </c>
      <c r="F53" s="195">
        <v>0.60653002589742788</v>
      </c>
      <c r="G53" s="195">
        <v>0.72783605671473539</v>
      </c>
      <c r="I53" s="192">
        <v>49</v>
      </c>
      <c r="J53" s="195">
        <v>0.24261196207271774</v>
      </c>
      <c r="K53" s="195">
        <v>0.36391797946310261</v>
      </c>
      <c r="L53" s="195">
        <v>0.48522399672681854</v>
      </c>
      <c r="M53" s="195">
        <v>0.60653002589742788</v>
      </c>
      <c r="N53" s="195">
        <v>0.72783605671473539</v>
      </c>
    </row>
    <row r="54" spans="2:14">
      <c r="B54" s="192">
        <v>50</v>
      </c>
      <c r="C54" s="195">
        <v>0.24925120131510548</v>
      </c>
      <c r="D54" s="195">
        <v>0.37387683908923208</v>
      </c>
      <c r="E54" s="195">
        <v>0.49850247735990166</v>
      </c>
      <c r="F54" s="195">
        <v>0.62312812742346246</v>
      </c>
      <c r="G54" s="195">
        <v>0.74775377910078744</v>
      </c>
      <c r="I54" s="192">
        <v>50</v>
      </c>
      <c r="J54" s="195">
        <v>0.24925120131510548</v>
      </c>
      <c r="K54" s="195">
        <v>0.37387683908923208</v>
      </c>
      <c r="L54" s="195">
        <v>0.49850247735990166</v>
      </c>
      <c r="M54" s="195">
        <v>0.62312812742346246</v>
      </c>
      <c r="N54" s="195">
        <v>0.74775377910078744</v>
      </c>
    </row>
    <row r="55" spans="2:14">
      <c r="B55" s="192">
        <v>51</v>
      </c>
      <c r="C55" s="195">
        <v>0.25596984007602408</v>
      </c>
      <c r="D55" s="195">
        <v>0.3839547980849557</v>
      </c>
      <c r="E55" s="195">
        <v>0.51193975718920248</v>
      </c>
      <c r="F55" s="195">
        <v>0.63992472785510734</v>
      </c>
      <c r="G55" s="195">
        <v>0.76790970022483551</v>
      </c>
      <c r="I55" s="192">
        <v>51</v>
      </c>
      <c r="J55" s="195">
        <v>0.25596984007602408</v>
      </c>
      <c r="K55" s="195">
        <v>0.3839547980849557</v>
      </c>
      <c r="L55" s="195">
        <v>0.51193975718920248</v>
      </c>
      <c r="M55" s="195">
        <v>0.63992472785510734</v>
      </c>
      <c r="N55" s="195">
        <v>0.76790970022483551</v>
      </c>
    </row>
    <row r="56" spans="2:14">
      <c r="B56" s="192">
        <v>52</v>
      </c>
      <c r="C56" s="195">
        <v>0.26276892084181613</v>
      </c>
      <c r="D56" s="195">
        <v>0.39415342011481064</v>
      </c>
      <c r="E56" s="195">
        <v>0.52553792117822407</v>
      </c>
      <c r="F56" s="195">
        <v>0.65692243346159462</v>
      </c>
      <c r="G56" s="195">
        <v>0.78830694753538411</v>
      </c>
      <c r="I56" s="192">
        <v>52</v>
      </c>
      <c r="J56" s="195">
        <v>0.26276892084181613</v>
      </c>
      <c r="K56" s="195">
        <v>0.39415342011481064</v>
      </c>
      <c r="L56" s="195">
        <v>0.52553792117822407</v>
      </c>
      <c r="M56" s="195">
        <v>0.65692243346159462</v>
      </c>
      <c r="N56" s="195">
        <v>0.78830694753538411</v>
      </c>
    </row>
    <row r="57" spans="2:14">
      <c r="B57" s="192">
        <v>53</v>
      </c>
      <c r="C57" s="195">
        <v>0.26964950052238373</v>
      </c>
      <c r="D57" s="195">
        <v>0.40447429054213191</v>
      </c>
      <c r="E57" s="195">
        <v>0.53929908313828157</v>
      </c>
      <c r="F57" s="195">
        <v>0.67412388650847277</v>
      </c>
      <c r="G57" s="195">
        <v>0.80894869175241058</v>
      </c>
      <c r="I57" s="192">
        <v>53</v>
      </c>
      <c r="J57" s="195">
        <v>0.26964950052238373</v>
      </c>
      <c r="K57" s="195">
        <v>0.40447429054213191</v>
      </c>
      <c r="L57" s="195">
        <v>0.53929908313828157</v>
      </c>
      <c r="M57" s="195">
        <v>0.67412388650847277</v>
      </c>
      <c r="N57" s="195">
        <v>0.80894869175241058</v>
      </c>
    </row>
    <row r="58" spans="2:14">
      <c r="B58" s="192">
        <v>54</v>
      </c>
      <c r="C58" s="195">
        <v>0.27661265072484037</v>
      </c>
      <c r="D58" s="195">
        <v>0.41491901671871373</v>
      </c>
      <c r="E58" s="195">
        <v>0.5532253860458608</v>
      </c>
      <c r="F58" s="195">
        <v>0.69153176583258946</v>
      </c>
      <c r="G58" s="195">
        <v>0.82983814745836582</v>
      </c>
      <c r="I58" s="192">
        <v>54</v>
      </c>
      <c r="J58" s="195">
        <v>0.27661265072484037</v>
      </c>
      <c r="K58" s="195">
        <v>0.41491901671871373</v>
      </c>
      <c r="L58" s="195">
        <v>0.5532253860458608</v>
      </c>
      <c r="M58" s="195">
        <v>0.69153176583258946</v>
      </c>
      <c r="N58" s="195">
        <v>0.82983814745836582</v>
      </c>
    </row>
    <row r="59" spans="2:14">
      <c r="B59" s="192">
        <v>55</v>
      </c>
      <c r="C59" s="195">
        <v>0.28365945777160828</v>
      </c>
      <c r="D59" s="195">
        <v>0.42548922824287139</v>
      </c>
      <c r="E59" s="195">
        <v>0.567319002663907</v>
      </c>
      <c r="F59" s="195">
        <v>0.70914878735435005</v>
      </c>
      <c r="G59" s="195">
        <v>0.85097857373755303</v>
      </c>
      <c r="I59" s="192">
        <v>55</v>
      </c>
      <c r="J59" s="195">
        <v>0.28365945777160828</v>
      </c>
      <c r="K59" s="195">
        <v>0.42548922824287139</v>
      </c>
      <c r="L59" s="195">
        <v>0.567319002663907</v>
      </c>
      <c r="M59" s="195">
        <v>0.70914878735435005</v>
      </c>
      <c r="N59" s="195">
        <v>0.85097857373755303</v>
      </c>
    </row>
    <row r="60" spans="2:14">
      <c r="B60" s="192">
        <v>56</v>
      </c>
      <c r="C60" s="195">
        <v>0.29079102304908322</v>
      </c>
      <c r="D60" s="195">
        <v>0.43618657718985354</v>
      </c>
      <c r="E60" s="195">
        <v>0.58158213587487728</v>
      </c>
      <c r="F60" s="195">
        <v>0.72697770464592626</v>
      </c>
      <c r="G60" s="195">
        <v>0.87237327496867167</v>
      </c>
      <c r="I60" s="192">
        <v>56</v>
      </c>
      <c r="J60" s="195">
        <v>0.29079102304908322</v>
      </c>
      <c r="K60" s="195">
        <v>0.43618657718985354</v>
      </c>
      <c r="L60" s="195">
        <v>0.58158213587487728</v>
      </c>
      <c r="M60" s="195">
        <v>0.72697770464592626</v>
      </c>
      <c r="N60" s="195">
        <v>0.87237327496867167</v>
      </c>
    </row>
    <row r="61" spans="2:14">
      <c r="B61" s="192">
        <v>57</v>
      </c>
      <c r="C61" s="195">
        <v>0.29800846331959807</v>
      </c>
      <c r="D61" s="195">
        <v>0.44701273864467356</v>
      </c>
      <c r="E61" s="195">
        <v>0.5960170190876245</v>
      </c>
      <c r="F61" s="195">
        <v>0.74502130943965283</v>
      </c>
      <c r="G61" s="195">
        <v>0.89402560120726393</v>
      </c>
      <c r="I61" s="192">
        <v>57</v>
      </c>
      <c r="J61" s="195">
        <v>0.29800846331959807</v>
      </c>
      <c r="K61" s="195">
        <v>0.44701273864467356</v>
      </c>
      <c r="L61" s="195">
        <v>0.5960170190876245</v>
      </c>
      <c r="M61" s="195">
        <v>0.74502130943965283</v>
      </c>
      <c r="N61" s="195">
        <v>0.89402560120726393</v>
      </c>
    </row>
    <row r="62" spans="2:14">
      <c r="B62" s="192">
        <v>58</v>
      </c>
      <c r="C62" s="195">
        <v>0.3053129107870865</v>
      </c>
      <c r="D62" s="195">
        <v>0.45796941085877985</v>
      </c>
      <c r="E62" s="195">
        <v>0.61062591660219068</v>
      </c>
      <c r="F62" s="195">
        <v>0.76328243219084635</v>
      </c>
      <c r="G62" s="195">
        <v>0.91593894895665096</v>
      </c>
      <c r="I62" s="192">
        <v>58</v>
      </c>
      <c r="J62" s="195">
        <v>0.3053129107870865</v>
      </c>
      <c r="K62" s="195">
        <v>0.45796941085877985</v>
      </c>
      <c r="L62" s="195">
        <v>0.61062591660219068</v>
      </c>
      <c r="M62" s="195">
        <v>0.76328243219084635</v>
      </c>
      <c r="N62" s="195">
        <v>0.91593894895665096</v>
      </c>
    </row>
    <row r="63" spans="2:14">
      <c r="B63" s="192">
        <v>59</v>
      </c>
      <c r="C63" s="195">
        <v>0.31270551326126939</v>
      </c>
      <c r="D63" s="195">
        <v>0.46905831560119315</v>
      </c>
      <c r="E63" s="195">
        <v>0.62541112425310175</v>
      </c>
      <c r="F63" s="195">
        <v>0.78176394258338655</v>
      </c>
      <c r="G63" s="195">
        <v>0.93811676186046911</v>
      </c>
      <c r="I63" s="192">
        <v>59</v>
      </c>
      <c r="J63" s="195">
        <v>0.31270551326126939</v>
      </c>
      <c r="K63" s="195">
        <v>0.46905831560119315</v>
      </c>
      <c r="L63" s="195">
        <v>0.62541112425310175</v>
      </c>
      <c r="M63" s="195">
        <v>0.78176394258338655</v>
      </c>
      <c r="N63" s="195">
        <v>0.93811676186046911</v>
      </c>
    </row>
    <row r="64" spans="2:14" ht="15" thickBot="1">
      <c r="B64" s="263">
        <v>60</v>
      </c>
      <c r="C64" s="264">
        <v>0.32018743461576177</v>
      </c>
      <c r="D64" s="264">
        <v>0.48028119868142255</v>
      </c>
      <c r="E64" s="265">
        <v>0.64037496967799334</v>
      </c>
      <c r="F64" s="265">
        <v>0.80046875019163388</v>
      </c>
      <c r="G64" s="264">
        <v>0.96056253142939974</v>
      </c>
      <c r="I64" s="263">
        <v>60</v>
      </c>
      <c r="J64" s="195">
        <v>0.32018743461576177</v>
      </c>
      <c r="K64" s="195">
        <v>0.48028119868142255</v>
      </c>
      <c r="L64" s="195">
        <v>0.64037496967799334</v>
      </c>
      <c r="M64" s="195">
        <v>0.80046875019163388</v>
      </c>
      <c r="N64" s="195">
        <v>0.96056253142939974</v>
      </c>
    </row>
  </sheetData>
  <mergeCells count="3">
    <mergeCell ref="B3:G3"/>
    <mergeCell ref="I3:N3"/>
    <mergeCell ref="B1:N1"/>
  </mergeCells>
  <pageMargins left="0.7" right="0.7" top="0.75" bottom="0.75" header="0.3" footer="0.3"/>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9"/>
  <sheetViews>
    <sheetView showGridLines="0" topLeftCell="A19" workbookViewId="0">
      <selection activeCell="D49" sqref="D49"/>
    </sheetView>
  </sheetViews>
  <sheetFormatPr baseColWidth="10" defaultColWidth="8.83203125" defaultRowHeight="14" x14ac:dyDescent="0"/>
  <cols>
    <col min="1" max="1" width="8.83203125" style="98"/>
    <col min="2" max="2" width="16.5" style="98" customWidth="1"/>
    <col min="3" max="3" width="41" style="98" bestFit="1" customWidth="1"/>
    <col min="4" max="4" width="45.83203125" style="98" bestFit="1" customWidth="1"/>
    <col min="5" max="5" width="14.6640625" style="98" bestFit="1" customWidth="1"/>
    <col min="6" max="6" width="8.83203125" style="98"/>
    <col min="7" max="7" width="5.6640625" style="98" bestFit="1" customWidth="1"/>
    <col min="8" max="16384" width="8.83203125" style="98"/>
  </cols>
  <sheetData>
    <row r="1" spans="2:15" s="99" customFormat="1" ht="23.25" customHeight="1">
      <c r="B1" s="321" t="s">
        <v>234</v>
      </c>
      <c r="C1" s="335"/>
      <c r="D1" s="335"/>
      <c r="E1" s="335"/>
      <c r="F1" s="335"/>
      <c r="G1" s="335"/>
      <c r="H1" s="335"/>
      <c r="I1" s="335"/>
      <c r="J1" s="335"/>
      <c r="K1" s="335"/>
      <c r="L1" s="335"/>
      <c r="M1" s="335"/>
      <c r="N1" s="335"/>
      <c r="O1" s="335"/>
    </row>
    <row r="2" spans="2:15" ht="15" thickBot="1"/>
    <row r="3" spans="2:15" ht="42">
      <c r="B3" s="133" t="s">
        <v>98</v>
      </c>
      <c r="C3" s="133" t="s">
        <v>90</v>
      </c>
      <c r="D3" s="134" t="s">
        <v>112</v>
      </c>
      <c r="E3" s="134" t="s">
        <v>113</v>
      </c>
      <c r="G3" s="129" t="s">
        <v>118</v>
      </c>
      <c r="H3" s="98" t="s">
        <v>117</v>
      </c>
    </row>
    <row r="4" spans="2:15">
      <c r="B4" s="135" t="s">
        <v>91</v>
      </c>
      <c r="C4" s="136">
        <v>38272</v>
      </c>
      <c r="D4" s="137">
        <f>'CO2 amounts'!D33</f>
        <v>1.0201284079999999</v>
      </c>
      <c r="E4" s="137">
        <f>D4*C4*10^6</f>
        <v>39042354430.975998</v>
      </c>
    </row>
    <row r="5" spans="2:15">
      <c r="B5" s="135" t="s">
        <v>92</v>
      </c>
      <c r="C5" s="136">
        <v>27238</v>
      </c>
      <c r="D5" s="137">
        <f>'CO2 amounts'!D32</f>
        <v>0.51482691999999997</v>
      </c>
      <c r="E5" s="137">
        <f t="shared" ref="E5:E9" si="0">D5*C5*10^6</f>
        <v>14022855646.959999</v>
      </c>
    </row>
    <row r="6" spans="2:15">
      <c r="B6" s="135" t="s">
        <v>93</v>
      </c>
      <c r="C6" s="136">
        <v>2319</v>
      </c>
      <c r="D6" s="138">
        <v>0</v>
      </c>
      <c r="E6" s="137">
        <f t="shared" si="0"/>
        <v>0</v>
      </c>
    </row>
    <row r="7" spans="2:15">
      <c r="B7" s="135" t="s">
        <v>94</v>
      </c>
      <c r="C7" s="136">
        <v>2640</v>
      </c>
      <c r="D7" s="138">
        <v>0</v>
      </c>
      <c r="E7" s="137">
        <f t="shared" si="0"/>
        <v>0</v>
      </c>
    </row>
    <row r="8" spans="2:15">
      <c r="B8" s="135" t="s">
        <v>95</v>
      </c>
      <c r="C8" s="136">
        <v>2089</v>
      </c>
      <c r="D8" s="138">
        <v>0</v>
      </c>
      <c r="E8" s="137">
        <f t="shared" si="0"/>
        <v>0</v>
      </c>
    </row>
    <row r="9" spans="2:15">
      <c r="B9" s="135" t="s">
        <v>96</v>
      </c>
      <c r="C9" s="139">
        <v>359</v>
      </c>
      <c r="D9" s="138">
        <v>0</v>
      </c>
      <c r="E9" s="137">
        <f t="shared" si="0"/>
        <v>0</v>
      </c>
    </row>
    <row r="10" spans="2:15">
      <c r="B10" s="140" t="s">
        <v>97</v>
      </c>
      <c r="C10" s="141">
        <v>72918</v>
      </c>
      <c r="D10" s="137"/>
      <c r="E10" s="137">
        <f>SUM(E4:E9)</f>
        <v>53065210077.935997</v>
      </c>
    </row>
    <row r="11" spans="2:15" ht="15" thickBot="1">
      <c r="B11" s="142" t="s">
        <v>99</v>
      </c>
      <c r="C11" s="143" t="s">
        <v>100</v>
      </c>
      <c r="D11" s="144" t="s">
        <v>109</v>
      </c>
      <c r="E11" s="145"/>
    </row>
    <row r="14" spans="2:15">
      <c r="B14" s="130"/>
      <c r="C14" s="131" t="s">
        <v>114</v>
      </c>
      <c r="D14" s="130"/>
      <c r="E14" s="130"/>
    </row>
    <row r="15" spans="2:15">
      <c r="B15" s="130"/>
      <c r="C15" s="132">
        <f>E10/C10/10^6</f>
        <v>0.72773814528560843</v>
      </c>
      <c r="D15" s="130"/>
      <c r="E15" s="130"/>
    </row>
    <row r="18" spans="2:5" ht="15" thickBot="1">
      <c r="B18" s="130" t="s">
        <v>158</v>
      </c>
      <c r="C18" s="130" t="s">
        <v>100</v>
      </c>
      <c r="D18" s="130"/>
      <c r="E18" s="130"/>
    </row>
    <row r="19" spans="2:5" ht="28">
      <c r="B19" s="146" t="s">
        <v>159</v>
      </c>
      <c r="C19" s="146" t="s">
        <v>160</v>
      </c>
      <c r="D19" s="130"/>
      <c r="E19" s="130"/>
    </row>
    <row r="20" spans="2:5">
      <c r="B20" s="147" t="s">
        <v>91</v>
      </c>
      <c r="C20" s="148">
        <v>5690</v>
      </c>
      <c r="D20" s="130"/>
      <c r="E20" s="130"/>
    </row>
    <row r="21" spans="2:5">
      <c r="B21" s="147" t="s">
        <v>161</v>
      </c>
      <c r="C21" s="148">
        <v>5784</v>
      </c>
      <c r="D21" s="130"/>
      <c r="E21" s="130"/>
    </row>
    <row r="22" spans="2:5">
      <c r="B22" s="147" t="s">
        <v>93</v>
      </c>
      <c r="C22" s="149">
        <v>900</v>
      </c>
      <c r="D22" s="130"/>
      <c r="E22" s="130"/>
    </row>
    <row r="23" spans="2:5">
      <c r="B23" s="147" t="s">
        <v>94</v>
      </c>
      <c r="C23" s="148">
        <v>1113</v>
      </c>
      <c r="D23" s="130"/>
      <c r="E23" s="130"/>
    </row>
    <row r="24" spans="2:5">
      <c r="B24" s="147" t="s">
        <v>95</v>
      </c>
      <c r="C24" s="149">
        <v>418</v>
      </c>
      <c r="D24" s="130"/>
      <c r="E24" s="130"/>
    </row>
    <row r="25" spans="2:5">
      <c r="B25" s="147" t="s">
        <v>162</v>
      </c>
      <c r="C25" s="149">
        <v>86</v>
      </c>
      <c r="D25" s="130"/>
      <c r="E25" s="130"/>
    </row>
    <row r="26" spans="2:5">
      <c r="B26" s="147" t="s">
        <v>163</v>
      </c>
      <c r="C26" s="149">
        <v>12</v>
      </c>
      <c r="D26" s="130"/>
      <c r="E26" s="130"/>
    </row>
    <row r="27" spans="2:5">
      <c r="B27" s="150" t="s">
        <v>164</v>
      </c>
      <c r="C27" s="151">
        <v>14003</v>
      </c>
      <c r="D27" s="130"/>
      <c r="E27" s="130"/>
    </row>
    <row r="28" spans="2:5" ht="28">
      <c r="B28" s="152" t="s">
        <v>165</v>
      </c>
      <c r="C28" s="153"/>
      <c r="D28" s="130"/>
      <c r="E28" s="130"/>
    </row>
    <row r="29" spans="2:5">
      <c r="B29" s="154"/>
      <c r="C29" s="155"/>
      <c r="D29" s="130"/>
      <c r="E29" s="130"/>
    </row>
    <row r="30" spans="2:5">
      <c r="B30" s="147" t="s">
        <v>166</v>
      </c>
      <c r="C30" s="149">
        <v>750</v>
      </c>
      <c r="D30" s="130"/>
      <c r="E30" s="130"/>
    </row>
    <row r="31" spans="2:5">
      <c r="B31" s="147" t="s">
        <v>167</v>
      </c>
      <c r="C31" s="149">
        <v>150</v>
      </c>
      <c r="D31" s="130"/>
      <c r="E31" s="130"/>
    </row>
    <row r="32" spans="2:5" ht="15" customHeight="1">
      <c r="B32" s="150" t="s">
        <v>164</v>
      </c>
      <c r="C32" s="156">
        <v>900</v>
      </c>
      <c r="D32" s="130"/>
      <c r="E32" s="130"/>
    </row>
    <row r="33" spans="2:17" ht="15" thickBot="1">
      <c r="B33" s="157" t="s">
        <v>168</v>
      </c>
      <c r="C33" s="158">
        <v>14903</v>
      </c>
      <c r="D33" s="130"/>
      <c r="E33" s="130"/>
    </row>
    <row r="36" spans="2:17">
      <c r="B36" s="98" t="s">
        <v>295</v>
      </c>
      <c r="D36" s="98" t="s">
        <v>296</v>
      </c>
    </row>
    <row r="38" spans="2:17" ht="15" customHeight="1">
      <c r="B38" s="336" t="s">
        <v>297</v>
      </c>
      <c r="C38" s="336"/>
      <c r="D38" s="277" t="s">
        <v>298</v>
      </c>
      <c r="E38" s="277" t="s">
        <v>299</v>
      </c>
      <c r="F38" s="277" t="s">
        <v>300</v>
      </c>
      <c r="G38" s="277" t="s">
        <v>301</v>
      </c>
      <c r="H38" s="277" t="s">
        <v>302</v>
      </c>
      <c r="I38" s="277" t="s">
        <v>303</v>
      </c>
      <c r="J38" s="277" t="s">
        <v>304</v>
      </c>
      <c r="K38" s="277" t="s">
        <v>305</v>
      </c>
      <c r="L38" s="277" t="s">
        <v>306</v>
      </c>
      <c r="M38" s="277" t="s">
        <v>307</v>
      </c>
      <c r="N38" s="277" t="s">
        <v>308</v>
      </c>
      <c r="O38" s="277" t="s">
        <v>309</v>
      </c>
      <c r="P38" s="277" t="s">
        <v>310</v>
      </c>
      <c r="Q38" s="277" t="s">
        <v>311</v>
      </c>
    </row>
    <row r="39" spans="2:17" ht="15" customHeight="1">
      <c r="B39" s="337"/>
      <c r="C39" s="337"/>
      <c r="D39" s="338" t="s">
        <v>312</v>
      </c>
      <c r="E39" s="338"/>
      <c r="F39" s="338"/>
      <c r="G39" s="338"/>
      <c r="H39" s="338"/>
      <c r="I39" s="338"/>
      <c r="J39" s="338"/>
      <c r="K39" s="338"/>
      <c r="L39" s="338"/>
      <c r="M39" s="338"/>
      <c r="N39" s="338"/>
      <c r="O39" s="338"/>
      <c r="P39" s="338"/>
      <c r="Q39" s="338"/>
    </row>
    <row r="40" spans="2:17" ht="15" customHeight="1">
      <c r="B40" s="339" t="s">
        <v>313</v>
      </c>
      <c r="C40" s="339"/>
      <c r="D40" s="280">
        <v>75077</v>
      </c>
      <c r="E40" s="280">
        <v>6781</v>
      </c>
      <c r="F40" s="278">
        <v>0</v>
      </c>
      <c r="G40" s="278">
        <v>374</v>
      </c>
      <c r="H40" s="278">
        <v>947</v>
      </c>
      <c r="I40" s="280">
        <v>38438</v>
      </c>
      <c r="J40" s="280">
        <v>8406</v>
      </c>
      <c r="K40" s="280">
        <v>5054</v>
      </c>
      <c r="L40" s="278">
        <v>856</v>
      </c>
      <c r="M40" s="278">
        <v>883</v>
      </c>
      <c r="N40" s="280">
        <v>13205</v>
      </c>
      <c r="O40" s="278">
        <v>78</v>
      </c>
      <c r="P40" s="278">
        <v>56</v>
      </c>
      <c r="Q40" s="278">
        <v>0</v>
      </c>
    </row>
    <row r="41" spans="2:17" ht="15" customHeight="1">
      <c r="B41" s="339" t="s">
        <v>314</v>
      </c>
      <c r="C41" s="339"/>
      <c r="D41" s="280">
        <v>3973</v>
      </c>
      <c r="E41" s="278">
        <v>54</v>
      </c>
      <c r="F41" s="278">
        <v>152</v>
      </c>
      <c r="G41" s="278">
        <v>218</v>
      </c>
      <c r="H41" s="278">
        <v>249</v>
      </c>
      <c r="I41" s="278">
        <v>658</v>
      </c>
      <c r="J41" s="280">
        <v>1457</v>
      </c>
      <c r="K41" s="278">
        <v>104</v>
      </c>
      <c r="L41" s="278">
        <v>171</v>
      </c>
      <c r="M41" s="278">
        <v>806</v>
      </c>
      <c r="N41" s="278">
        <v>104</v>
      </c>
      <c r="O41" s="278">
        <v>1</v>
      </c>
      <c r="P41" s="278">
        <v>0</v>
      </c>
      <c r="Q41" s="278">
        <v>0</v>
      </c>
    </row>
    <row r="42" spans="2:17" ht="15" customHeight="1">
      <c r="B42" s="339" t="s">
        <v>315</v>
      </c>
      <c r="C42" s="339"/>
      <c r="D42" s="278">
        <v>20</v>
      </c>
      <c r="E42" s="278">
        <v>0</v>
      </c>
      <c r="F42" s="278">
        <v>0</v>
      </c>
      <c r="G42" s="278">
        <v>20</v>
      </c>
      <c r="H42" s="278">
        <v>0</v>
      </c>
      <c r="I42" s="278">
        <v>0</v>
      </c>
      <c r="J42" s="278">
        <v>0</v>
      </c>
      <c r="K42" s="278">
        <v>0</v>
      </c>
      <c r="L42" s="278">
        <v>0</v>
      </c>
      <c r="M42" s="278">
        <v>0</v>
      </c>
      <c r="N42" s="278">
        <v>0</v>
      </c>
      <c r="O42" s="278">
        <v>0</v>
      </c>
      <c r="P42" s="278">
        <v>0</v>
      </c>
      <c r="Q42" s="278">
        <v>0</v>
      </c>
    </row>
    <row r="43" spans="2:17" ht="15" customHeight="1">
      <c r="B43" s="339" t="s">
        <v>316</v>
      </c>
      <c r="C43" s="339"/>
      <c r="D43" s="278">
        <v>108</v>
      </c>
      <c r="E43" s="278">
        <v>0</v>
      </c>
      <c r="F43" s="278">
        <v>0</v>
      </c>
      <c r="G43" s="278">
        <v>0</v>
      </c>
      <c r="H43" s="278">
        <v>0</v>
      </c>
      <c r="I43" s="278">
        <v>0</v>
      </c>
      <c r="J43" s="278">
        <v>108</v>
      </c>
      <c r="K43" s="278">
        <v>0</v>
      </c>
      <c r="L43" s="278">
        <v>0</v>
      </c>
      <c r="M43" s="278">
        <v>0</v>
      </c>
      <c r="N43" s="278">
        <v>0</v>
      </c>
      <c r="O43" s="278">
        <v>0</v>
      </c>
      <c r="P43" s="278">
        <v>0</v>
      </c>
      <c r="Q43" s="278">
        <v>0</v>
      </c>
    </row>
    <row r="44" spans="2:17" ht="15" customHeight="1">
      <c r="B44" s="339" t="s">
        <v>317</v>
      </c>
      <c r="C44" s="339"/>
      <c r="D44" s="280">
        <v>51365</v>
      </c>
      <c r="E44" s="278">
        <v>584</v>
      </c>
      <c r="F44" s="278">
        <v>117</v>
      </c>
      <c r="G44" s="280">
        <v>2006</v>
      </c>
      <c r="H44" s="280">
        <v>2849</v>
      </c>
      <c r="I44" s="280">
        <v>3018</v>
      </c>
      <c r="J44" s="280">
        <v>25516</v>
      </c>
      <c r="K44" s="278">
        <v>501</v>
      </c>
      <c r="L44" s="280">
        <v>3159</v>
      </c>
      <c r="M44" s="280">
        <v>11107</v>
      </c>
      <c r="N44" s="280">
        <v>2291</v>
      </c>
      <c r="O44" s="278">
        <v>33</v>
      </c>
      <c r="P44" s="278">
        <v>127</v>
      </c>
      <c r="Q44" s="278">
        <v>54</v>
      </c>
    </row>
    <row r="45" spans="2:17">
      <c r="B45" s="278"/>
      <c r="C45" s="279" t="s">
        <v>318</v>
      </c>
      <c r="D45" s="280">
        <v>25491</v>
      </c>
      <c r="E45" s="278">
        <v>490</v>
      </c>
      <c r="F45" s="278">
        <v>67</v>
      </c>
      <c r="G45" s="280">
        <v>1686</v>
      </c>
      <c r="H45" s="280">
        <v>2068</v>
      </c>
      <c r="I45" s="278">
        <v>959</v>
      </c>
      <c r="J45" s="280">
        <v>9101</v>
      </c>
      <c r="K45" s="278">
        <v>250</v>
      </c>
      <c r="L45" s="280">
        <v>2173</v>
      </c>
      <c r="M45" s="280">
        <v>7780</v>
      </c>
      <c r="N45" s="278">
        <v>897</v>
      </c>
      <c r="O45" s="278">
        <v>0</v>
      </c>
      <c r="P45" s="278">
        <v>0</v>
      </c>
      <c r="Q45" s="278">
        <v>0</v>
      </c>
    </row>
    <row r="46" spans="2:17">
      <c r="B46" s="278"/>
      <c r="C46" s="279" t="s">
        <v>319</v>
      </c>
      <c r="D46" s="280">
        <v>12665</v>
      </c>
      <c r="E46" s="278">
        <v>0</v>
      </c>
      <c r="F46" s="278">
        <v>0</v>
      </c>
      <c r="G46" s="278">
        <v>0</v>
      </c>
      <c r="H46" s="281" t="s">
        <v>320</v>
      </c>
      <c r="I46" s="281" t="s">
        <v>321</v>
      </c>
      <c r="J46" s="280">
        <v>11990</v>
      </c>
      <c r="K46" s="278">
        <v>0</v>
      </c>
      <c r="L46" s="278">
        <v>0</v>
      </c>
      <c r="M46" s="278">
        <v>0</v>
      </c>
      <c r="N46" s="278">
        <v>0</v>
      </c>
      <c r="O46" s="278">
        <v>0</v>
      </c>
      <c r="P46" s="278">
        <v>0</v>
      </c>
      <c r="Q46" s="278">
        <v>0</v>
      </c>
    </row>
    <row r="47" spans="2:17">
      <c r="B47" s="278"/>
      <c r="C47" s="279" t="s">
        <v>322</v>
      </c>
      <c r="D47" s="280">
        <v>12406</v>
      </c>
      <c r="E47" s="278">
        <v>43</v>
      </c>
      <c r="F47" s="278">
        <v>50</v>
      </c>
      <c r="G47" s="278">
        <v>320</v>
      </c>
      <c r="H47" s="278">
        <v>779</v>
      </c>
      <c r="I47" s="280">
        <v>1252</v>
      </c>
      <c r="J47" s="280">
        <v>4340</v>
      </c>
      <c r="K47" s="278">
        <v>241</v>
      </c>
      <c r="L47" s="278">
        <v>981</v>
      </c>
      <c r="M47" s="280">
        <v>3037</v>
      </c>
      <c r="N47" s="280">
        <v>1343</v>
      </c>
      <c r="O47" s="278">
        <v>0</v>
      </c>
      <c r="P47" s="278">
        <v>19</v>
      </c>
      <c r="Q47" s="278">
        <v>0</v>
      </c>
    </row>
    <row r="48" spans="2:17">
      <c r="B48" s="278"/>
      <c r="C48" s="279" t="s">
        <v>323</v>
      </c>
      <c r="D48" s="278">
        <v>803</v>
      </c>
      <c r="E48" s="278">
        <v>51</v>
      </c>
      <c r="F48" s="278">
        <v>0</v>
      </c>
      <c r="G48" s="278">
        <v>0</v>
      </c>
      <c r="H48" s="278">
        <v>3</v>
      </c>
      <c r="I48" s="278">
        <v>131</v>
      </c>
      <c r="J48" s="278">
        <v>85</v>
      </c>
      <c r="K48" s="278">
        <v>10</v>
      </c>
      <c r="L48" s="278">
        <v>5</v>
      </c>
      <c r="M48" s="278">
        <v>271</v>
      </c>
      <c r="N48" s="278">
        <v>51</v>
      </c>
      <c r="O48" s="278">
        <v>33</v>
      </c>
      <c r="P48" s="278">
        <v>107</v>
      </c>
      <c r="Q48" s="278">
        <v>54</v>
      </c>
    </row>
    <row r="49" spans="2:17" ht="15" customHeight="1">
      <c r="B49" s="340" t="s">
        <v>324</v>
      </c>
      <c r="C49" s="340"/>
      <c r="D49" s="282">
        <v>130543</v>
      </c>
      <c r="E49" s="282">
        <v>7419</v>
      </c>
      <c r="F49" s="283">
        <v>269</v>
      </c>
      <c r="G49" s="282">
        <v>2618</v>
      </c>
      <c r="H49" s="282">
        <v>4045</v>
      </c>
      <c r="I49" s="282">
        <v>42115</v>
      </c>
      <c r="J49" s="282">
        <v>35487</v>
      </c>
      <c r="K49" s="282">
        <v>5659</v>
      </c>
      <c r="L49" s="282">
        <v>4186</v>
      </c>
      <c r="M49" s="282">
        <v>12796</v>
      </c>
      <c r="N49" s="282">
        <v>15600</v>
      </c>
      <c r="O49" s="283">
        <v>112</v>
      </c>
      <c r="P49" s="283">
        <v>183</v>
      </c>
      <c r="Q49" s="283">
        <v>54</v>
      </c>
    </row>
  </sheetData>
  <mergeCells count="10">
    <mergeCell ref="B41:C41"/>
    <mergeCell ref="B42:C42"/>
    <mergeCell ref="B43:C43"/>
    <mergeCell ref="B44:C44"/>
    <mergeCell ref="B49:C49"/>
    <mergeCell ref="B1:O1"/>
    <mergeCell ref="B38:C38"/>
    <mergeCell ref="B39:C39"/>
    <mergeCell ref="D39:Q39"/>
    <mergeCell ref="B40:C40"/>
  </mergeCells>
  <hyperlinks>
    <hyperlink ref="C11" r:id="rId1"/>
    <hyperlink ref="H46" r:id="rId2" location="cite_note-22" display="http://en.wikipedia.org/wiki/Electricity_sector_in_Canada - cite_note-22"/>
    <hyperlink ref="I46" r:id="rId3" location="cite_note-23" display="http://en.wikipedia.org/wiki/Electricity_sector_in_Canada - cite_note-23"/>
  </hyperlinks>
  <pageMargins left="0.7" right="0.7" top="0.75" bottom="0.75" header="0.3" footer="0.3"/>
  <drawing r:id="rId4"/>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6"/>
  <sheetViews>
    <sheetView showGridLines="0" workbookViewId="0">
      <selection activeCell="I12" sqref="I12"/>
    </sheetView>
  </sheetViews>
  <sheetFormatPr baseColWidth="10" defaultColWidth="8.83203125" defaultRowHeight="12" x14ac:dyDescent="0"/>
  <cols>
    <col min="1" max="1" width="2.5" style="38" customWidth="1"/>
    <col min="2" max="2" width="11.5" style="38" customWidth="1"/>
    <col min="3" max="3" width="13.33203125" style="38" customWidth="1"/>
    <col min="4" max="4" width="12.1640625" style="38" customWidth="1"/>
    <col min="5" max="7" width="11.5" style="38" customWidth="1"/>
    <col min="8" max="8" width="12.5" style="38" customWidth="1"/>
    <col min="9" max="9" width="15.1640625" style="38" customWidth="1"/>
    <col min="10" max="256" width="11.5" style="38" customWidth="1"/>
    <col min="257" max="16384" width="8.83203125" style="38"/>
  </cols>
  <sheetData>
    <row r="1" spans="1:25">
      <c r="A1" s="39"/>
      <c r="B1" s="39"/>
      <c r="C1" s="39"/>
      <c r="D1" s="39"/>
      <c r="E1" s="39"/>
      <c r="F1" s="39"/>
      <c r="G1" s="39"/>
      <c r="H1" s="39"/>
      <c r="I1" s="39"/>
      <c r="J1" s="39"/>
      <c r="K1" s="39"/>
      <c r="L1" s="39"/>
      <c r="M1" s="39"/>
      <c r="N1" s="39"/>
      <c r="O1" s="39"/>
      <c r="P1" s="39"/>
      <c r="Q1" s="39"/>
      <c r="R1" s="39"/>
      <c r="S1" s="39"/>
      <c r="T1" s="39"/>
      <c r="U1" s="39"/>
      <c r="V1" s="39"/>
      <c r="W1" s="39"/>
      <c r="X1" s="39"/>
      <c r="Y1" s="39"/>
    </row>
    <row r="2" spans="1:25" ht="18">
      <c r="A2" s="39"/>
      <c r="B2" s="52" t="s">
        <v>198</v>
      </c>
      <c r="C2" s="49"/>
      <c r="D2" s="49"/>
      <c r="E2" s="49"/>
      <c r="F2" s="49"/>
      <c r="G2" s="49"/>
      <c r="H2" s="49"/>
      <c r="I2" s="49"/>
      <c r="J2" s="49"/>
      <c r="K2" s="39"/>
      <c r="L2" s="39"/>
      <c r="M2" s="39"/>
      <c r="N2" s="39"/>
      <c r="O2" s="39"/>
      <c r="P2" s="39"/>
      <c r="Q2" s="39"/>
      <c r="R2" s="39"/>
      <c r="S2" s="39"/>
      <c r="T2" s="39"/>
      <c r="U2" s="39"/>
      <c r="V2" s="39"/>
      <c r="W2" s="39"/>
      <c r="X2" s="39"/>
      <c r="Y2" s="39"/>
    </row>
    <row r="3" spans="1:25">
      <c r="A3" s="39"/>
      <c r="K3" s="39"/>
      <c r="L3" s="39"/>
      <c r="M3" s="39"/>
      <c r="N3" s="39"/>
      <c r="O3" s="39"/>
      <c r="P3" s="39"/>
      <c r="Q3" s="39"/>
      <c r="R3" s="39"/>
      <c r="S3" s="39"/>
      <c r="T3" s="39"/>
      <c r="U3" s="39"/>
      <c r="V3" s="39"/>
      <c r="W3" s="39"/>
      <c r="X3" s="39"/>
      <c r="Y3" s="39"/>
    </row>
    <row r="4" spans="1:25">
      <c r="A4" s="39"/>
      <c r="B4" s="48"/>
      <c r="C4" s="38" t="s">
        <v>197</v>
      </c>
      <c r="K4" s="39"/>
      <c r="L4" s="39"/>
      <c r="M4" s="39"/>
      <c r="N4" s="39"/>
      <c r="O4" s="39"/>
      <c r="P4" s="39"/>
      <c r="Q4" s="39"/>
      <c r="R4" s="39"/>
      <c r="S4" s="39"/>
      <c r="T4" s="39"/>
      <c r="U4" s="39"/>
      <c r="V4" s="39"/>
      <c r="W4" s="39"/>
      <c r="X4" s="39"/>
      <c r="Y4" s="39"/>
    </row>
    <row r="5" spans="1:25">
      <c r="A5" s="39"/>
      <c r="B5" s="47"/>
      <c r="C5" s="38" t="s">
        <v>196</v>
      </c>
      <c r="K5" s="39"/>
      <c r="L5" s="39"/>
      <c r="M5" s="39"/>
      <c r="N5" s="39"/>
      <c r="O5" s="39"/>
      <c r="P5" s="39"/>
      <c r="Q5" s="39"/>
      <c r="R5" s="39"/>
      <c r="S5" s="39"/>
      <c r="T5" s="39"/>
      <c r="U5" s="39"/>
      <c r="V5" s="39"/>
      <c r="W5" s="39"/>
      <c r="X5" s="39"/>
      <c r="Y5" s="39"/>
    </row>
    <row r="6" spans="1:25">
      <c r="A6" s="39"/>
      <c r="K6" s="39"/>
      <c r="L6" s="39"/>
      <c r="M6" s="39"/>
      <c r="N6" s="39"/>
      <c r="O6" s="39"/>
      <c r="P6" s="39"/>
      <c r="Q6" s="39"/>
      <c r="R6" s="39"/>
      <c r="S6" s="39"/>
      <c r="T6" s="39"/>
      <c r="U6" s="39"/>
      <c r="V6" s="39"/>
      <c r="W6" s="39"/>
      <c r="X6" s="39"/>
      <c r="Y6" s="39"/>
    </row>
    <row r="7" spans="1:25" ht="15">
      <c r="A7" s="39"/>
      <c r="B7" s="46" t="s">
        <v>195</v>
      </c>
      <c r="D7" s="46" t="s">
        <v>194</v>
      </c>
      <c r="K7" s="39"/>
      <c r="L7" s="39"/>
      <c r="M7" s="39"/>
      <c r="N7" s="39"/>
      <c r="O7" s="39"/>
      <c r="P7" s="39"/>
      <c r="Q7" s="39"/>
      <c r="R7" s="39"/>
      <c r="S7" s="39"/>
      <c r="T7" s="39"/>
      <c r="U7" s="39"/>
      <c r="V7" s="39"/>
      <c r="W7" s="39"/>
      <c r="X7" s="39"/>
      <c r="Y7" s="39"/>
    </row>
    <row r="8" spans="1:25">
      <c r="A8" s="39"/>
      <c r="K8" s="39"/>
      <c r="L8" s="39"/>
      <c r="M8" s="39"/>
      <c r="N8" s="39"/>
      <c r="O8" s="39"/>
      <c r="P8" s="39"/>
      <c r="Q8" s="39"/>
      <c r="R8" s="39"/>
      <c r="S8" s="39"/>
      <c r="T8" s="39"/>
      <c r="U8" s="39"/>
      <c r="V8" s="39"/>
      <c r="W8" s="39"/>
      <c r="X8" s="39"/>
      <c r="Y8" s="39"/>
    </row>
    <row r="9" spans="1:25" s="44" customFormat="1" ht="17.25" customHeight="1">
      <c r="A9" s="45"/>
      <c r="B9" s="342" t="s">
        <v>340</v>
      </c>
      <c r="C9" s="343"/>
      <c r="D9" s="343"/>
      <c r="E9" s="343"/>
      <c r="F9" s="343"/>
      <c r="G9" s="343"/>
      <c r="H9" s="344"/>
      <c r="I9" s="50">
        <f>I10*I11*I12*I13</f>
        <v>1174665803143.3186</v>
      </c>
      <c r="J9" s="44" t="s">
        <v>193</v>
      </c>
      <c r="K9" s="45"/>
      <c r="L9" s="45"/>
      <c r="M9" s="45"/>
      <c r="N9" s="45"/>
      <c r="O9" s="45"/>
      <c r="P9" s="45"/>
      <c r="Q9" s="45"/>
      <c r="R9" s="45"/>
      <c r="S9" s="45"/>
      <c r="T9" s="45"/>
      <c r="U9" s="45"/>
      <c r="V9" s="45"/>
      <c r="W9" s="45"/>
      <c r="X9" s="45"/>
      <c r="Y9" s="45"/>
    </row>
    <row r="10" spans="1:25" s="44" customFormat="1" ht="17.25" customHeight="1">
      <c r="A10" s="45"/>
      <c r="B10" s="342" t="s">
        <v>192</v>
      </c>
      <c r="C10" s="343"/>
      <c r="D10" s="343"/>
      <c r="E10" s="343"/>
      <c r="F10" s="343"/>
      <c r="G10" s="343"/>
      <c r="H10" s="344"/>
      <c r="I10" s="284">
        <f>Summary!C57</f>
        <v>6309000000</v>
      </c>
      <c r="J10" s="44" t="s">
        <v>191</v>
      </c>
      <c r="K10" s="45"/>
      <c r="L10" s="45"/>
      <c r="M10" s="45"/>
      <c r="N10" s="45"/>
      <c r="O10" s="45"/>
      <c r="P10" s="45"/>
      <c r="Q10" s="45"/>
      <c r="R10" s="45"/>
      <c r="S10" s="45"/>
      <c r="T10" s="45"/>
      <c r="U10" s="45"/>
      <c r="V10" s="45"/>
      <c r="W10" s="45"/>
      <c r="X10" s="45"/>
      <c r="Y10" s="45"/>
    </row>
    <row r="11" spans="1:25" s="44" customFormat="1" ht="17.25" customHeight="1">
      <c r="A11" s="45"/>
      <c r="B11" s="342" t="s">
        <v>190</v>
      </c>
      <c r="C11" s="343"/>
      <c r="D11" s="343"/>
      <c r="E11" s="343"/>
      <c r="F11" s="343"/>
      <c r="G11" s="343"/>
      <c r="H11" s="344"/>
      <c r="I11" s="302">
        <f>Summary!C60</f>
        <v>0.2</v>
      </c>
      <c r="K11" s="45"/>
      <c r="L11" s="45"/>
      <c r="M11" s="45"/>
      <c r="N11" s="45"/>
      <c r="O11" s="45"/>
      <c r="P11" s="45"/>
      <c r="Q11" s="45"/>
      <c r="R11" s="45"/>
      <c r="S11" s="45"/>
      <c r="T11" s="45"/>
      <c r="U11" s="45"/>
      <c r="V11" s="45"/>
      <c r="W11" s="45"/>
      <c r="X11" s="45"/>
      <c r="Y11" s="45"/>
    </row>
    <row r="12" spans="1:25" s="44" customFormat="1" ht="17.25" customHeight="1">
      <c r="A12" s="45"/>
      <c r="B12" s="342" t="s">
        <v>189</v>
      </c>
      <c r="C12" s="343"/>
      <c r="D12" s="343"/>
      <c r="E12" s="343"/>
      <c r="F12" s="343"/>
      <c r="G12" s="343"/>
      <c r="H12" s="344"/>
      <c r="I12" s="285">
        <f>Summary!C64</f>
        <v>1242.0138888888887</v>
      </c>
      <c r="J12" s="44" t="s">
        <v>188</v>
      </c>
      <c r="K12" s="45"/>
      <c r="L12" s="45"/>
      <c r="M12" s="45"/>
      <c r="N12" s="45"/>
      <c r="O12" s="45"/>
      <c r="P12" s="45"/>
      <c r="Q12" s="45"/>
      <c r="R12" s="45"/>
      <c r="S12" s="45"/>
      <c r="T12" s="45"/>
      <c r="U12" s="45"/>
      <c r="V12" s="45"/>
      <c r="W12" s="45"/>
      <c r="X12" s="45"/>
      <c r="Y12" s="45"/>
    </row>
    <row r="13" spans="1:25" s="44" customFormat="1" ht="17.25" customHeight="1">
      <c r="A13" s="45"/>
      <c r="B13" s="342" t="s">
        <v>187</v>
      </c>
      <c r="C13" s="343"/>
      <c r="D13" s="343"/>
      <c r="E13" s="343"/>
      <c r="F13" s="343"/>
      <c r="G13" s="343"/>
      <c r="H13" s="344"/>
      <c r="I13" s="297">
        <f>(1-I18)*(1-I19)*(1-I20)*(1-I21)*(1-I22)*(1-I23)*(1-I24)*(1-I25)</f>
        <v>0.7495443766899198</v>
      </c>
      <c r="K13" s="45"/>
      <c r="L13" s="45"/>
      <c r="M13" s="45"/>
      <c r="N13" s="45"/>
      <c r="O13" s="45"/>
      <c r="P13" s="45"/>
      <c r="Q13" s="45"/>
      <c r="R13" s="45"/>
      <c r="S13" s="45"/>
      <c r="T13" s="45"/>
      <c r="U13" s="45"/>
      <c r="V13" s="45"/>
      <c r="W13" s="45"/>
      <c r="X13" s="45"/>
      <c r="Y13" s="45"/>
    </row>
    <row r="14" spans="1:25">
      <c r="A14" s="39"/>
      <c r="K14" s="39"/>
      <c r="L14" s="39"/>
      <c r="M14" s="39"/>
      <c r="N14" s="39"/>
      <c r="O14" s="39"/>
      <c r="P14" s="39"/>
      <c r="Q14" s="39"/>
      <c r="R14" s="39"/>
      <c r="S14" s="39"/>
      <c r="T14" s="39"/>
      <c r="U14" s="39"/>
      <c r="V14" s="39"/>
      <c r="W14" s="39"/>
      <c r="X14" s="39"/>
      <c r="Y14" s="39"/>
    </row>
    <row r="15" spans="1:25">
      <c r="A15" s="39"/>
      <c r="H15" s="43" t="s">
        <v>186</v>
      </c>
      <c r="I15" s="287">
        <f>I10*I11</f>
        <v>1261800000</v>
      </c>
      <c r="J15" s="38" t="s">
        <v>185</v>
      </c>
      <c r="K15" s="341" t="s">
        <v>332</v>
      </c>
      <c r="L15" s="341"/>
      <c r="M15" s="341"/>
      <c r="N15" s="341"/>
      <c r="O15" s="341"/>
      <c r="P15" s="341"/>
      <c r="Q15" s="39"/>
      <c r="R15" s="39"/>
      <c r="S15" s="39"/>
      <c r="T15" s="39"/>
      <c r="U15" s="39"/>
      <c r="V15" s="39"/>
      <c r="W15" s="39"/>
      <c r="X15" s="39"/>
      <c r="Y15" s="39"/>
    </row>
    <row r="16" spans="1:25" ht="14" customHeight="1">
      <c r="A16" s="39"/>
      <c r="G16" s="341" t="s">
        <v>333</v>
      </c>
      <c r="H16" s="341"/>
      <c r="I16" s="288">
        <f>1000*I9/(24*365*1000000000)</f>
        <v>134.094269765219</v>
      </c>
      <c r="J16" s="289" t="s">
        <v>334</v>
      </c>
      <c r="K16" s="341" t="s">
        <v>335</v>
      </c>
      <c r="L16" s="341"/>
      <c r="M16" s="341"/>
      <c r="N16" s="341"/>
      <c r="O16" s="341"/>
      <c r="P16" s="341"/>
      <c r="Q16" s="39"/>
      <c r="R16" s="39"/>
      <c r="S16" s="39"/>
      <c r="T16" s="39"/>
      <c r="U16" s="39"/>
      <c r="V16" s="39"/>
      <c r="W16" s="39"/>
      <c r="X16" s="39"/>
      <c r="Y16" s="39"/>
    </row>
    <row r="17" spans="1:25">
      <c r="A17" s="39"/>
      <c r="B17" s="42" t="s">
        <v>184</v>
      </c>
      <c r="K17" s="39"/>
      <c r="L17" s="39"/>
      <c r="M17" s="39"/>
      <c r="N17" s="39"/>
      <c r="O17" s="39"/>
      <c r="P17" s="39"/>
      <c r="Q17" s="39"/>
      <c r="R17" s="39"/>
      <c r="S17" s="39"/>
      <c r="T17" s="39"/>
      <c r="U17" s="39"/>
      <c r="V17" s="39"/>
      <c r="W17" s="39"/>
      <c r="X17" s="39"/>
      <c r="Y17" s="39"/>
    </row>
    <row r="18" spans="1:25">
      <c r="A18" s="39"/>
      <c r="B18" s="41" t="s">
        <v>176</v>
      </c>
      <c r="C18" s="40" t="s">
        <v>183</v>
      </c>
      <c r="I18" s="51">
        <v>0.08</v>
      </c>
      <c r="K18" s="39"/>
      <c r="L18" s="39"/>
      <c r="M18" s="39"/>
      <c r="N18" s="39"/>
      <c r="O18" s="39"/>
      <c r="P18" s="39"/>
      <c r="Q18" s="39"/>
      <c r="R18" s="39"/>
      <c r="S18" s="39"/>
      <c r="T18" s="39"/>
      <c r="U18" s="39"/>
      <c r="V18" s="39"/>
      <c r="W18" s="39"/>
      <c r="X18" s="39"/>
      <c r="Y18" s="39"/>
    </row>
    <row r="19" spans="1:25">
      <c r="A19" s="39"/>
      <c r="B19" s="41" t="s">
        <v>176</v>
      </c>
      <c r="C19" s="40" t="s">
        <v>182</v>
      </c>
      <c r="I19" s="51">
        <v>0.08</v>
      </c>
      <c r="K19" s="39"/>
      <c r="L19" s="39"/>
      <c r="M19" s="39"/>
      <c r="N19" s="39"/>
      <c r="O19" s="39"/>
      <c r="P19" s="39"/>
      <c r="Q19" s="39"/>
      <c r="R19" s="39"/>
      <c r="S19" s="39"/>
      <c r="T19" s="39"/>
      <c r="U19" s="39"/>
      <c r="V19" s="39"/>
      <c r="W19" s="39"/>
      <c r="X19" s="39"/>
      <c r="Y19" s="39"/>
    </row>
    <row r="20" spans="1:25">
      <c r="A20" s="39"/>
      <c r="B20" s="41" t="s">
        <v>176</v>
      </c>
      <c r="C20" s="40" t="s">
        <v>181</v>
      </c>
      <c r="I20" s="51">
        <v>0.02</v>
      </c>
      <c r="K20" s="39"/>
      <c r="L20" s="39"/>
      <c r="M20" s="39"/>
      <c r="N20" s="39"/>
      <c r="O20" s="39"/>
      <c r="P20" s="39"/>
      <c r="Q20" s="39"/>
      <c r="R20" s="39"/>
      <c r="S20" s="39"/>
      <c r="T20" s="39"/>
      <c r="U20" s="39"/>
      <c r="V20" s="39"/>
      <c r="W20" s="39"/>
      <c r="X20" s="39"/>
      <c r="Y20" s="39"/>
    </row>
    <row r="21" spans="1:25">
      <c r="A21" s="39"/>
      <c r="B21" s="41" t="s">
        <v>176</v>
      </c>
      <c r="C21" s="40" t="s">
        <v>180</v>
      </c>
      <c r="I21" s="51">
        <v>0.02</v>
      </c>
      <c r="K21" s="39"/>
      <c r="L21" s="39"/>
      <c r="M21" s="39"/>
      <c r="N21" s="39"/>
      <c r="O21" s="39"/>
      <c r="P21" s="39"/>
      <c r="Q21" s="39"/>
      <c r="R21" s="39"/>
      <c r="S21" s="39"/>
      <c r="T21" s="39"/>
      <c r="U21" s="39"/>
      <c r="V21" s="39"/>
      <c r="W21" s="39"/>
      <c r="X21" s="39"/>
      <c r="Y21" s="39"/>
    </row>
    <row r="22" spans="1:25">
      <c r="A22" s="39"/>
      <c r="B22" s="41" t="s">
        <v>176</v>
      </c>
      <c r="C22" s="40" t="s">
        <v>179</v>
      </c>
      <c r="I22" s="51">
        <v>0.03</v>
      </c>
      <c r="K22" s="39"/>
      <c r="L22" s="39"/>
      <c r="M22" s="39"/>
      <c r="N22" s="39"/>
      <c r="O22" s="39"/>
      <c r="P22" s="39"/>
      <c r="Q22" s="39"/>
      <c r="R22" s="39"/>
      <c r="S22" s="39"/>
      <c r="T22" s="39"/>
      <c r="U22" s="39"/>
      <c r="V22" s="39"/>
      <c r="W22" s="39"/>
      <c r="X22" s="39"/>
      <c r="Y22" s="39"/>
    </row>
    <row r="23" spans="1:25">
      <c r="A23" s="39"/>
      <c r="B23" s="41" t="s">
        <v>176</v>
      </c>
      <c r="C23" s="40" t="s">
        <v>178</v>
      </c>
      <c r="I23" s="51">
        <v>0.03</v>
      </c>
      <c r="K23" s="39"/>
      <c r="L23" s="39"/>
      <c r="M23" s="39"/>
      <c r="N23" s="39"/>
      <c r="O23" s="39"/>
      <c r="P23" s="39"/>
      <c r="Q23" s="39"/>
      <c r="R23" s="39"/>
      <c r="S23" s="39"/>
      <c r="T23" s="39"/>
      <c r="U23" s="39"/>
      <c r="V23" s="39"/>
      <c r="W23" s="39"/>
      <c r="X23" s="39"/>
      <c r="Y23" s="39"/>
    </row>
    <row r="24" spans="1:25">
      <c r="A24" s="39"/>
      <c r="B24" s="41" t="s">
        <v>176</v>
      </c>
      <c r="C24" s="40" t="s">
        <v>177</v>
      </c>
      <c r="I24" s="51">
        <v>0.02</v>
      </c>
      <c r="K24" s="39"/>
      <c r="L24" s="39"/>
      <c r="M24" s="39"/>
      <c r="N24" s="39"/>
      <c r="O24" s="39"/>
      <c r="P24" s="39"/>
      <c r="Q24" s="39"/>
      <c r="R24" s="39"/>
      <c r="S24" s="39"/>
      <c r="T24" s="39"/>
      <c r="U24" s="39"/>
      <c r="V24" s="39"/>
      <c r="W24" s="39"/>
      <c r="X24" s="39"/>
      <c r="Y24" s="39"/>
    </row>
    <row r="25" spans="1:25">
      <c r="A25" s="39"/>
      <c r="B25" s="41" t="s">
        <v>176</v>
      </c>
      <c r="C25" s="40" t="s">
        <v>175</v>
      </c>
      <c r="I25" s="51">
        <v>0</v>
      </c>
      <c r="K25" s="39"/>
      <c r="L25" s="39"/>
      <c r="M25" s="39"/>
      <c r="N25" s="39"/>
      <c r="O25" s="39"/>
      <c r="P25" s="39"/>
      <c r="Q25" s="39"/>
      <c r="R25" s="39"/>
      <c r="S25" s="39"/>
      <c r="T25" s="39"/>
      <c r="U25" s="39"/>
      <c r="V25" s="39"/>
      <c r="W25" s="39"/>
      <c r="X25" s="39"/>
      <c r="Y25" s="39"/>
    </row>
    <row r="26" spans="1:25">
      <c r="A26" s="39"/>
      <c r="K26" s="39"/>
      <c r="L26" s="39"/>
      <c r="M26" s="39"/>
      <c r="N26" s="39"/>
      <c r="O26" s="39"/>
      <c r="P26" s="39"/>
      <c r="Q26" s="39"/>
      <c r="R26" s="39"/>
      <c r="S26" s="39"/>
      <c r="T26" s="39"/>
      <c r="U26" s="39"/>
      <c r="V26" s="39"/>
      <c r="W26" s="39"/>
      <c r="X26" s="39"/>
      <c r="Y26" s="39"/>
    </row>
    <row r="27" spans="1:25">
      <c r="A27" s="39"/>
      <c r="K27" s="39"/>
      <c r="L27" s="39"/>
      <c r="M27" s="39"/>
      <c r="N27" s="39"/>
      <c r="O27" s="39"/>
      <c r="P27" s="39"/>
      <c r="Q27" s="39"/>
      <c r="R27" s="39"/>
      <c r="S27" s="39"/>
      <c r="T27" s="39"/>
      <c r="U27" s="39"/>
      <c r="V27" s="39"/>
      <c r="W27" s="39"/>
      <c r="X27" s="39"/>
      <c r="Y27" s="39"/>
    </row>
    <row r="28" spans="1:25">
      <c r="A28" s="39"/>
      <c r="K28" s="39"/>
      <c r="L28" s="39"/>
      <c r="M28" s="39"/>
      <c r="N28" s="39"/>
      <c r="O28" s="39"/>
      <c r="P28" s="39"/>
      <c r="Q28" s="39"/>
      <c r="R28" s="39"/>
      <c r="S28" s="39"/>
      <c r="T28" s="39"/>
      <c r="U28" s="39"/>
      <c r="V28" s="39"/>
      <c r="W28" s="39"/>
      <c r="X28" s="39"/>
      <c r="Y28" s="39"/>
    </row>
    <row r="29" spans="1:25">
      <c r="A29" s="39"/>
      <c r="K29" s="39"/>
      <c r="L29" s="39"/>
      <c r="M29" s="39"/>
      <c r="N29" s="39"/>
      <c r="O29" s="39"/>
      <c r="P29" s="39"/>
      <c r="Q29" s="39"/>
      <c r="R29" s="39"/>
      <c r="S29" s="39"/>
      <c r="T29" s="39"/>
      <c r="U29" s="39"/>
      <c r="V29" s="39"/>
      <c r="W29" s="39"/>
      <c r="X29" s="39"/>
      <c r="Y29" s="39"/>
    </row>
    <row r="30" spans="1:25">
      <c r="A30" s="39"/>
      <c r="K30" s="39"/>
      <c r="L30" s="39"/>
      <c r="M30" s="39"/>
      <c r="N30" s="39"/>
      <c r="O30" s="39"/>
      <c r="P30" s="39"/>
      <c r="Q30" s="39"/>
      <c r="R30" s="39"/>
      <c r="S30" s="39"/>
      <c r="T30" s="39"/>
      <c r="U30" s="39"/>
      <c r="V30" s="39"/>
      <c r="W30" s="39"/>
      <c r="X30" s="39"/>
      <c r="Y30" s="39"/>
    </row>
    <row r="31" spans="1:25">
      <c r="A31" s="39"/>
      <c r="K31" s="39"/>
      <c r="L31" s="39"/>
      <c r="M31" s="39"/>
      <c r="N31" s="39"/>
      <c r="O31" s="39"/>
      <c r="P31" s="39"/>
      <c r="Q31" s="39"/>
      <c r="R31" s="39"/>
      <c r="S31" s="39"/>
      <c r="T31" s="39"/>
      <c r="U31" s="39"/>
      <c r="V31" s="39"/>
      <c r="W31" s="39"/>
      <c r="X31" s="39"/>
      <c r="Y31" s="39"/>
    </row>
    <row r="32" spans="1:25" s="39" customFormat="1"/>
    <row r="33" s="39" customFormat="1"/>
    <row r="34" s="39" customFormat="1"/>
    <row r="35" s="39" customFormat="1"/>
    <row r="36" s="39" customFormat="1"/>
    <row r="37" s="39" customFormat="1"/>
    <row r="38" s="39" customFormat="1"/>
    <row r="39" s="39" customFormat="1"/>
    <row r="40" s="39" customFormat="1"/>
    <row r="41" s="39" customFormat="1"/>
    <row r="42" s="39" customFormat="1"/>
    <row r="43" s="39" customFormat="1"/>
    <row r="44" s="39" customFormat="1"/>
    <row r="45" s="39" customFormat="1"/>
    <row r="46" s="39" customFormat="1"/>
    <row r="47" s="39" customFormat="1"/>
    <row r="48" s="39" customFormat="1"/>
    <row r="49" s="39" customFormat="1"/>
    <row r="50" s="39" customFormat="1"/>
    <row r="51" s="39" customFormat="1"/>
    <row r="52" s="39" customFormat="1"/>
    <row r="53" s="39" customFormat="1"/>
    <row r="54" s="39" customFormat="1"/>
    <row r="55" s="39" customFormat="1"/>
    <row r="56" s="39" customFormat="1"/>
    <row r="57" s="39" customFormat="1"/>
    <row r="58" s="39" customFormat="1"/>
    <row r="59" s="39" customFormat="1"/>
    <row r="60" s="39" customFormat="1"/>
    <row r="61" s="39" customFormat="1"/>
    <row r="62" s="39" customFormat="1"/>
    <row r="63" s="39" customFormat="1"/>
    <row r="64" s="39" customFormat="1"/>
    <row r="65" s="39" customFormat="1"/>
    <row r="66" s="39" customFormat="1"/>
    <row r="67" s="39" customFormat="1"/>
    <row r="68" s="39" customFormat="1"/>
    <row r="69" s="39" customFormat="1"/>
    <row r="70" s="39" customFormat="1"/>
    <row r="71" s="39" customFormat="1"/>
    <row r="72" s="39" customFormat="1"/>
    <row r="73" s="39" customFormat="1"/>
    <row r="74" s="39" customFormat="1"/>
    <row r="75" s="39" customFormat="1"/>
    <row r="76" s="39" customFormat="1"/>
    <row r="77" s="39" customFormat="1"/>
    <row r="78" s="39" customFormat="1"/>
    <row r="79" s="39" customFormat="1"/>
    <row r="80" s="39" customFormat="1"/>
    <row r="81" s="39" customFormat="1"/>
    <row r="82" s="39" customFormat="1"/>
    <row r="83" s="39" customFormat="1"/>
    <row r="84" s="39" customFormat="1"/>
    <row r="85" s="39" customFormat="1"/>
    <row r="86" s="39" customFormat="1"/>
    <row r="87" s="39" customFormat="1"/>
    <row r="88" s="39" customFormat="1"/>
    <row r="89" s="39" customFormat="1"/>
    <row r="90" s="39" customFormat="1"/>
    <row r="91" s="39" customFormat="1"/>
    <row r="92" s="39" customFormat="1"/>
    <row r="93" s="39" customFormat="1"/>
    <row r="94" s="39" customFormat="1"/>
    <row r="95" s="39" customFormat="1"/>
    <row r="96" s="39" customFormat="1"/>
    <row r="97" s="39" customFormat="1"/>
    <row r="98" s="39" customFormat="1"/>
    <row r="99" s="39" customFormat="1"/>
    <row r="100" s="39" customFormat="1"/>
    <row r="101" s="39" customFormat="1"/>
    <row r="102" s="39" customFormat="1"/>
    <row r="103" s="39" customFormat="1"/>
    <row r="104" s="39" customFormat="1"/>
    <row r="105" s="39" customFormat="1"/>
    <row r="106" s="39" customFormat="1"/>
    <row r="107" s="39" customFormat="1"/>
    <row r="108" s="39" customFormat="1"/>
    <row r="109" s="39" customFormat="1"/>
    <row r="110" s="39" customFormat="1"/>
    <row r="111" s="39" customFormat="1"/>
    <row r="112" s="39" customFormat="1"/>
    <row r="113" s="39" customFormat="1"/>
    <row r="114" s="39" customFormat="1"/>
    <row r="115" s="39" customFormat="1"/>
    <row r="116" s="39" customFormat="1"/>
    <row r="117" s="39" customFormat="1"/>
    <row r="118" s="39" customFormat="1"/>
    <row r="119" s="39" customFormat="1"/>
    <row r="120" s="39" customFormat="1"/>
    <row r="121" s="39" customFormat="1"/>
    <row r="122" s="39" customFormat="1"/>
    <row r="123" s="39" customFormat="1"/>
    <row r="124" s="39" customFormat="1"/>
    <row r="125" s="39" customFormat="1"/>
    <row r="126" s="39" customFormat="1"/>
    <row r="127" s="39" customFormat="1"/>
    <row r="128" s="39" customFormat="1"/>
    <row r="129" s="39" customFormat="1"/>
    <row r="130" s="39" customFormat="1"/>
    <row r="131" s="39" customFormat="1"/>
    <row r="132" s="39" customFormat="1"/>
    <row r="133" s="39" customFormat="1"/>
    <row r="134" s="39" customFormat="1"/>
    <row r="135" s="39" customFormat="1"/>
    <row r="136" s="39" customFormat="1"/>
    <row r="137" s="39" customFormat="1"/>
    <row r="138" s="39" customFormat="1"/>
    <row r="139" s="39" customFormat="1"/>
    <row r="140" s="39" customFormat="1"/>
    <row r="141" s="39" customFormat="1"/>
    <row r="142" s="39" customFormat="1"/>
    <row r="143" s="39" customFormat="1"/>
    <row r="144" s="39" customFormat="1"/>
    <row r="145" s="39" customFormat="1"/>
    <row r="146" s="39" customFormat="1"/>
    <row r="147" s="39" customFormat="1"/>
    <row r="148" s="39" customFormat="1"/>
    <row r="149" s="39" customFormat="1"/>
    <row r="150" s="39" customFormat="1"/>
    <row r="151" s="39" customFormat="1"/>
    <row r="152" s="39" customFormat="1"/>
    <row r="153" s="39" customFormat="1"/>
    <row r="154" s="39" customFormat="1"/>
    <row r="155" s="39" customFormat="1"/>
    <row r="156" s="39" customFormat="1"/>
    <row r="157" s="39" customFormat="1"/>
    <row r="158" s="39" customFormat="1"/>
    <row r="159" s="39" customFormat="1"/>
    <row r="160" s="39" customFormat="1"/>
    <row r="161" s="39" customFormat="1"/>
    <row r="162" s="39" customFormat="1"/>
    <row r="163" s="39" customFormat="1"/>
    <row r="164" s="39" customFormat="1"/>
    <row r="165" s="39" customFormat="1"/>
    <row r="166" s="39" customFormat="1"/>
    <row r="167" s="39" customFormat="1"/>
    <row r="168" s="39" customFormat="1"/>
    <row r="169" s="39" customFormat="1"/>
    <row r="170" s="39" customFormat="1"/>
    <row r="171" s="39" customFormat="1"/>
    <row r="172" s="39" customFormat="1"/>
    <row r="173" s="39" customFormat="1"/>
    <row r="174" s="39" customFormat="1"/>
    <row r="175" s="39" customFormat="1"/>
    <row r="176" s="39" customFormat="1"/>
    <row r="177" s="39" customFormat="1"/>
    <row r="178" s="39" customFormat="1"/>
    <row r="179" s="39" customFormat="1"/>
    <row r="180" s="39" customFormat="1"/>
    <row r="181" s="39" customFormat="1"/>
    <row r="182" s="39" customFormat="1"/>
    <row r="183" s="39" customFormat="1"/>
    <row r="184" s="39" customFormat="1"/>
    <row r="185" s="39" customFormat="1"/>
    <row r="186" s="39" customFormat="1"/>
    <row r="187" s="39" customFormat="1"/>
    <row r="188" s="39" customFormat="1"/>
    <row r="189" s="39" customFormat="1"/>
    <row r="190" s="39" customFormat="1"/>
    <row r="191" s="39" customFormat="1"/>
    <row r="192" s="39" customFormat="1"/>
    <row r="193" s="39" customFormat="1"/>
    <row r="194" s="39" customFormat="1"/>
    <row r="195" s="39" customFormat="1"/>
    <row r="196" s="39" customFormat="1"/>
    <row r="197" s="39" customFormat="1"/>
    <row r="198" s="39" customFormat="1"/>
    <row r="199" s="39" customFormat="1"/>
    <row r="200" s="39" customFormat="1"/>
    <row r="201" s="39" customFormat="1"/>
    <row r="202" s="39" customFormat="1"/>
    <row r="203" s="39" customFormat="1"/>
    <row r="204" s="39" customFormat="1"/>
    <row r="205" s="39" customFormat="1"/>
    <row r="206" s="39" customFormat="1"/>
    <row r="207" s="39" customFormat="1"/>
    <row r="208" s="39" customFormat="1"/>
    <row r="209" s="39" customFormat="1"/>
    <row r="210" s="39" customFormat="1"/>
    <row r="211" s="39" customFormat="1"/>
    <row r="212" s="39" customFormat="1"/>
    <row r="213" s="39" customFormat="1"/>
    <row r="214" s="39" customFormat="1"/>
    <row r="215" s="39" customFormat="1"/>
    <row r="216" s="39" customFormat="1"/>
    <row r="217" s="39" customFormat="1"/>
    <row r="218" s="39" customFormat="1"/>
    <row r="219" s="39" customFormat="1"/>
    <row r="220" s="39" customFormat="1"/>
    <row r="221" s="39" customFormat="1"/>
    <row r="222" s="39" customFormat="1"/>
    <row r="223" s="39" customFormat="1"/>
    <row r="224" s="39" customFormat="1"/>
    <row r="225" s="39" customFormat="1"/>
    <row r="226" s="39" customFormat="1"/>
    <row r="227" s="39" customFormat="1"/>
    <row r="228" s="39" customFormat="1"/>
    <row r="229" s="39" customFormat="1"/>
    <row r="230" s="39" customFormat="1"/>
    <row r="231" s="39" customFormat="1"/>
    <row r="232" s="39" customFormat="1"/>
    <row r="233" s="39" customFormat="1"/>
    <row r="234" s="39" customFormat="1"/>
    <row r="235" s="39" customFormat="1"/>
    <row r="236" s="39" customFormat="1"/>
    <row r="237" s="39" customFormat="1"/>
    <row r="238" s="39" customFormat="1"/>
    <row r="239" s="39" customFormat="1"/>
    <row r="240" s="39" customFormat="1"/>
    <row r="241" s="39" customFormat="1"/>
    <row r="242" s="39" customFormat="1"/>
    <row r="243" s="39" customFormat="1"/>
    <row r="244" s="39" customFormat="1"/>
    <row r="245" s="39" customFormat="1"/>
    <row r="246" s="39" customFormat="1"/>
    <row r="247" s="39" customFormat="1"/>
    <row r="248" s="39" customFormat="1"/>
    <row r="249" s="39" customFormat="1"/>
    <row r="250" s="39" customFormat="1"/>
    <row r="251" s="39" customFormat="1"/>
    <row r="252" s="39" customFormat="1"/>
    <row r="253" s="39" customFormat="1"/>
    <row r="254" s="39" customFormat="1"/>
    <row r="255" s="39" customFormat="1"/>
    <row r="256" s="39" customFormat="1"/>
    <row r="257" s="39" customFormat="1"/>
    <row r="258" s="39" customFormat="1"/>
    <row r="259" s="39" customFormat="1"/>
    <row r="260" s="39" customFormat="1"/>
    <row r="261" s="39" customFormat="1"/>
    <row r="262" s="39" customFormat="1"/>
    <row r="263" s="39" customFormat="1"/>
    <row r="264" s="39" customFormat="1"/>
    <row r="265" s="39" customFormat="1"/>
    <row r="266" s="39" customFormat="1"/>
    <row r="267" s="39" customFormat="1"/>
    <row r="268" s="39" customFormat="1"/>
    <row r="269" s="39" customFormat="1"/>
    <row r="270" s="39" customFormat="1"/>
    <row r="271" s="39" customFormat="1"/>
    <row r="272" s="39" customFormat="1"/>
    <row r="273" s="39" customFormat="1"/>
    <row r="274" s="39" customFormat="1"/>
    <row r="275" s="39" customFormat="1"/>
    <row r="276" s="39" customFormat="1"/>
  </sheetData>
  <mergeCells count="8">
    <mergeCell ref="G16:H16"/>
    <mergeCell ref="K15:P15"/>
    <mergeCell ref="K16:P16"/>
    <mergeCell ref="B9:H9"/>
    <mergeCell ref="B10:H10"/>
    <mergeCell ref="B11:H11"/>
    <mergeCell ref="B12:H12"/>
    <mergeCell ref="B13:H13"/>
  </mergeCells>
  <pageMargins left="0.75" right="0.75" top="1" bottom="1" header="0.4921259845" footer="0.4921259845"/>
  <pageSetup paperSize="9" scale="82" orientation="portrait" horizontalDpi="0" verticalDpi="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
  <sheetViews>
    <sheetView showGridLines="0" workbookViewId="0">
      <selection activeCell="I13" sqref="I13"/>
    </sheetView>
  </sheetViews>
  <sheetFormatPr baseColWidth="10" defaultColWidth="8.83203125" defaultRowHeight="14" x14ac:dyDescent="0"/>
  <cols>
    <col min="1" max="1" width="5.83203125" style="98" customWidth="1"/>
    <col min="2" max="2" width="12.5" style="98" customWidth="1"/>
    <col min="3" max="3" width="14" style="98" customWidth="1"/>
    <col min="4" max="16384" width="8.83203125" style="98"/>
  </cols>
  <sheetData>
    <row r="1" spans="2:16" ht="24" customHeight="1">
      <c r="B1" s="321" t="s">
        <v>255</v>
      </c>
      <c r="C1" s="321"/>
      <c r="D1" s="321"/>
      <c r="E1" s="321"/>
      <c r="F1" s="321"/>
      <c r="G1" s="321"/>
      <c r="H1" s="321"/>
      <c r="I1" s="321"/>
      <c r="J1" s="321"/>
      <c r="K1" s="321"/>
      <c r="L1" s="321"/>
      <c r="M1" s="321"/>
      <c r="N1" s="321"/>
      <c r="O1" s="321"/>
      <c r="P1" s="321"/>
    </row>
    <row r="3" spans="2:16">
      <c r="B3" s="227" t="s">
        <v>6</v>
      </c>
      <c r="C3" s="228">
        <v>7.5</v>
      </c>
      <c r="D3" s="225" t="s">
        <v>8</v>
      </c>
      <c r="E3" s="130"/>
      <c r="F3" s="130"/>
      <c r="G3" s="130"/>
      <c r="H3" s="130"/>
      <c r="I3" s="130"/>
      <c r="J3" s="130"/>
      <c r="K3" s="130"/>
      <c r="L3" s="130"/>
      <c r="M3" s="130"/>
      <c r="N3" s="130"/>
      <c r="O3" s="130"/>
      <c r="P3" s="130"/>
    </row>
    <row r="4" spans="2:16">
      <c r="B4" s="229" t="s">
        <v>7</v>
      </c>
      <c r="C4" s="230">
        <f>C3*2.2369</f>
        <v>16.77675</v>
      </c>
      <c r="D4" s="130"/>
      <c r="E4" s="130"/>
      <c r="F4" s="130"/>
      <c r="G4" s="130"/>
      <c r="H4" s="130"/>
      <c r="I4" s="130"/>
      <c r="J4" s="130"/>
      <c r="K4" s="130"/>
      <c r="L4" s="130"/>
      <c r="M4" s="130"/>
      <c r="N4" s="130"/>
      <c r="O4" s="130"/>
      <c r="P4" s="130"/>
    </row>
    <row r="5" spans="2:16">
      <c r="B5" s="226"/>
      <c r="C5" s="226"/>
      <c r="D5" s="130"/>
      <c r="E5" s="130"/>
      <c r="F5" s="130"/>
      <c r="G5" s="130"/>
      <c r="H5" s="130"/>
      <c r="I5" s="130"/>
      <c r="J5" s="130"/>
      <c r="K5" s="130"/>
      <c r="L5" s="130"/>
      <c r="M5" s="130"/>
      <c r="N5" s="130"/>
      <c r="O5" s="130"/>
      <c r="P5" s="130"/>
    </row>
  </sheetData>
  <mergeCells count="1">
    <mergeCell ref="B1:P1"/>
  </mergeCells>
  <hyperlinks>
    <hyperlink ref="D3" r:id="rId1"/>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5"/>
  <sheetViews>
    <sheetView showGridLines="0" topLeftCell="A38" workbookViewId="0">
      <selection activeCell="F55" sqref="F55"/>
    </sheetView>
  </sheetViews>
  <sheetFormatPr baseColWidth="10" defaultColWidth="8.83203125" defaultRowHeight="14" x14ac:dyDescent="0"/>
  <cols>
    <col min="1" max="1" width="3.33203125" style="63" customWidth="1"/>
    <col min="2" max="2" width="83.5" style="63" customWidth="1"/>
    <col min="3" max="3" width="16.83203125" style="63" customWidth="1"/>
    <col min="4" max="4" width="3.1640625" style="63" customWidth="1"/>
    <col min="5" max="5" width="8.83203125" style="63"/>
    <col min="6" max="6" width="22.5" style="63" bestFit="1" customWidth="1"/>
    <col min="7" max="7" width="11" style="63" bestFit="1" customWidth="1"/>
    <col min="8" max="12" width="8.83203125" style="63"/>
    <col min="13" max="13" width="9.5" style="63" bestFit="1" customWidth="1"/>
    <col min="14" max="16384" width="8.83203125" style="63"/>
  </cols>
  <sheetData>
    <row r="1" spans="2:15" ht="24.75" customHeight="1">
      <c r="B1" s="322" t="s">
        <v>206</v>
      </c>
      <c r="C1" s="322"/>
      <c r="D1" s="322"/>
      <c r="E1" s="322"/>
      <c r="F1" s="322"/>
      <c r="G1" s="322"/>
      <c r="H1" s="322"/>
      <c r="I1" s="322"/>
      <c r="J1" s="322"/>
      <c r="K1" s="322"/>
      <c r="L1" s="322"/>
      <c r="M1" s="322"/>
      <c r="N1" s="322"/>
      <c r="O1" s="322"/>
    </row>
    <row r="2" spans="2:15">
      <c r="B2" s="70"/>
      <c r="C2" s="54"/>
      <c r="D2" s="54"/>
      <c r="E2" s="54"/>
      <c r="F2" s="54"/>
      <c r="G2" s="54"/>
      <c r="H2" s="54"/>
      <c r="I2" s="54"/>
      <c r="J2" s="54"/>
      <c r="K2" s="54"/>
      <c r="L2" s="54"/>
      <c r="M2" s="54"/>
      <c r="N2" s="54"/>
      <c r="O2" s="54"/>
    </row>
    <row r="3" spans="2:15">
      <c r="B3" s="70" t="s">
        <v>284</v>
      </c>
      <c r="C3" s="54"/>
      <c r="D3" s="54"/>
      <c r="E3" s="54"/>
      <c r="F3" s="54"/>
      <c r="G3" s="54"/>
      <c r="H3" s="54"/>
      <c r="I3" s="54"/>
      <c r="J3" s="54"/>
      <c r="K3" s="54"/>
      <c r="L3" s="54"/>
      <c r="M3" s="54"/>
      <c r="N3" s="54"/>
      <c r="O3" s="54"/>
    </row>
    <row r="4" spans="2:15">
      <c r="B4" s="54" t="s">
        <v>214</v>
      </c>
      <c r="C4" s="54"/>
      <c r="D4" s="54"/>
      <c r="E4" s="54"/>
      <c r="F4" s="54"/>
      <c r="G4" s="54"/>
      <c r="H4" s="54"/>
      <c r="I4" s="54"/>
      <c r="J4" s="54"/>
      <c r="K4" s="54"/>
      <c r="L4" s="54"/>
      <c r="M4" s="54"/>
      <c r="N4" s="54"/>
      <c r="O4" s="54"/>
    </row>
    <row r="5" spans="2:15">
      <c r="B5" s="54" t="s">
        <v>256</v>
      </c>
      <c r="C5" s="54"/>
      <c r="D5" s="54"/>
      <c r="E5" s="54"/>
      <c r="F5" s="54"/>
      <c r="G5" s="54"/>
      <c r="H5" s="54"/>
      <c r="I5" s="54"/>
      <c r="J5" s="54"/>
      <c r="K5" s="54"/>
      <c r="L5" s="54"/>
      <c r="M5" s="54"/>
      <c r="N5" s="54"/>
      <c r="O5" s="54"/>
    </row>
    <row r="6" spans="2:15">
      <c r="B6" s="54" t="s">
        <v>213</v>
      </c>
      <c r="C6" s="54"/>
      <c r="D6" s="54"/>
      <c r="E6" s="54"/>
      <c r="F6" s="54"/>
      <c r="G6" s="54"/>
      <c r="H6" s="54"/>
      <c r="I6" s="54"/>
      <c r="J6" s="54"/>
      <c r="K6" s="54"/>
      <c r="L6" s="54"/>
      <c r="M6" s="54"/>
      <c r="N6" s="54"/>
      <c r="O6" s="54"/>
    </row>
    <row r="7" spans="2:15">
      <c r="B7" s="54" t="s">
        <v>26</v>
      </c>
      <c r="C7" s="54"/>
      <c r="D7" s="54"/>
      <c r="E7" s="54"/>
      <c r="F7" s="54"/>
      <c r="G7" s="54"/>
      <c r="H7" s="54"/>
      <c r="I7" s="54"/>
      <c r="J7" s="54"/>
      <c r="K7" s="54"/>
      <c r="L7" s="54"/>
      <c r="M7" s="54"/>
      <c r="N7" s="54"/>
      <c r="O7" s="54"/>
    </row>
    <row r="8" spans="2:15">
      <c r="B8" s="54" t="s">
        <v>27</v>
      </c>
      <c r="C8" s="54"/>
      <c r="D8" s="54"/>
      <c r="E8" s="54"/>
      <c r="F8" s="54"/>
      <c r="G8" s="54"/>
      <c r="H8" s="54"/>
      <c r="I8" s="54"/>
      <c r="J8" s="54"/>
      <c r="K8" s="54"/>
      <c r="L8" s="54"/>
      <c r="M8" s="54"/>
      <c r="N8" s="54"/>
      <c r="O8" s="54"/>
    </row>
    <row r="9" spans="2:15" ht="15" thickBot="1"/>
    <row r="10" spans="2:15">
      <c r="B10" s="55" t="s">
        <v>212</v>
      </c>
      <c r="C10" s="56"/>
      <c r="D10" s="233"/>
      <c r="E10" s="93" t="s">
        <v>22</v>
      </c>
      <c r="F10" s="94"/>
      <c r="G10" s="94"/>
      <c r="H10" s="94"/>
      <c r="I10" s="94"/>
      <c r="J10" s="94"/>
      <c r="K10" s="94"/>
      <c r="L10" s="94"/>
      <c r="M10" s="94"/>
      <c r="N10" s="94"/>
      <c r="O10" s="94"/>
    </row>
    <row r="11" spans="2:15">
      <c r="B11" s="71" t="s">
        <v>282</v>
      </c>
      <c r="C11" s="53"/>
      <c r="E11" s="94"/>
      <c r="F11" s="94"/>
      <c r="G11" s="94"/>
      <c r="H11" s="94"/>
      <c r="I11" s="94"/>
      <c r="J11" s="94"/>
      <c r="K11" s="94"/>
      <c r="L11" s="94"/>
      <c r="M11" s="94"/>
      <c r="N11" s="94"/>
      <c r="O11" s="94"/>
    </row>
    <row r="12" spans="2:15">
      <c r="B12" s="72" t="s">
        <v>283</v>
      </c>
      <c r="C12" s="73">
        <v>140200</v>
      </c>
      <c r="D12" s="64"/>
      <c r="E12" s="93" t="s">
        <v>61</v>
      </c>
      <c r="F12" s="94"/>
      <c r="G12" s="94"/>
      <c r="H12" s="94"/>
      <c r="I12" s="94"/>
      <c r="J12" s="94"/>
      <c r="K12" s="94"/>
      <c r="L12" s="94"/>
      <c r="M12" s="94"/>
      <c r="N12" s="94"/>
      <c r="O12" s="94"/>
    </row>
    <row r="13" spans="2:15" ht="15" thickBot="1">
      <c r="B13" s="74" t="s">
        <v>5</v>
      </c>
      <c r="C13" s="75">
        <f>C12*1000000*Forests!C5/1000000000</f>
        <v>3.6722828783628572</v>
      </c>
      <c r="D13" s="231"/>
      <c r="E13" s="93" t="s">
        <v>2</v>
      </c>
      <c r="F13" s="94"/>
      <c r="G13" s="94"/>
      <c r="H13" s="94"/>
      <c r="I13" s="94"/>
      <c r="J13" s="94"/>
      <c r="K13" s="94"/>
      <c r="L13" s="94"/>
      <c r="M13" s="94"/>
      <c r="N13" s="94"/>
      <c r="O13" s="94"/>
    </row>
    <row r="14" spans="2:15">
      <c r="B14" s="67"/>
      <c r="C14" s="68"/>
      <c r="D14" s="231"/>
      <c r="E14" s="65"/>
    </row>
    <row r="15" spans="2:15">
      <c r="B15" s="57" t="s">
        <v>215</v>
      </c>
      <c r="C15" s="58"/>
      <c r="D15" s="234"/>
      <c r="E15" s="94"/>
      <c r="F15" s="94"/>
      <c r="G15" s="94"/>
      <c r="H15" s="94"/>
      <c r="I15" s="94"/>
      <c r="J15" s="94"/>
      <c r="K15" s="94"/>
      <c r="L15" s="94"/>
      <c r="M15" s="94"/>
      <c r="N15" s="94"/>
      <c r="O15" s="94"/>
    </row>
    <row r="16" spans="2:15">
      <c r="B16" s="72" t="s">
        <v>217</v>
      </c>
      <c r="C16" s="73">
        <v>5</v>
      </c>
      <c r="D16" s="64"/>
      <c r="E16" s="95" t="s">
        <v>66</v>
      </c>
      <c r="F16" s="94"/>
      <c r="G16" s="94"/>
      <c r="H16" s="94"/>
      <c r="I16" s="94"/>
      <c r="J16" s="94"/>
      <c r="K16" s="94"/>
      <c r="L16" s="94"/>
      <c r="M16" s="94"/>
      <c r="N16" s="94"/>
      <c r="O16" s="94"/>
    </row>
    <row r="17" spans="2:15">
      <c r="B17" s="72" t="s">
        <v>218</v>
      </c>
      <c r="C17" s="76">
        <v>0.4</v>
      </c>
      <c r="D17" s="235"/>
      <c r="E17" s="95" t="s">
        <v>67</v>
      </c>
      <c r="F17" s="94"/>
      <c r="G17" s="94"/>
      <c r="H17" s="94"/>
      <c r="I17" s="94"/>
      <c r="J17" s="94"/>
      <c r="K17" s="94"/>
      <c r="L17" s="94"/>
      <c r="M17" s="94"/>
      <c r="N17" s="94"/>
      <c r="O17" s="94"/>
    </row>
    <row r="18" spans="2:15">
      <c r="B18" s="72" t="s">
        <v>219</v>
      </c>
      <c r="C18" s="73">
        <v>1</v>
      </c>
      <c r="D18" s="64"/>
      <c r="E18" s="94"/>
      <c r="F18" s="94"/>
      <c r="G18" s="94"/>
      <c r="H18" s="94"/>
      <c r="I18" s="94"/>
      <c r="J18" s="94"/>
      <c r="K18" s="94"/>
      <c r="L18" s="94"/>
      <c r="M18" s="94"/>
      <c r="N18" s="94"/>
      <c r="O18" s="94"/>
    </row>
    <row r="19" spans="2:15">
      <c r="B19" s="72" t="s">
        <v>220</v>
      </c>
      <c r="C19" s="76">
        <v>0.5</v>
      </c>
      <c r="D19" s="235"/>
      <c r="E19" s="94"/>
      <c r="F19" s="94"/>
      <c r="G19" s="94"/>
      <c r="H19" s="94"/>
      <c r="I19" s="94"/>
      <c r="J19" s="94"/>
      <c r="K19" s="94"/>
      <c r="L19" s="94"/>
      <c r="M19" s="94"/>
      <c r="N19" s="94"/>
      <c r="O19" s="94"/>
    </row>
    <row r="20" spans="2:15">
      <c r="B20" s="72" t="s">
        <v>221</v>
      </c>
      <c r="C20" s="77">
        <f>C19*C12</f>
        <v>70100</v>
      </c>
      <c r="D20" s="236"/>
      <c r="E20" s="94"/>
      <c r="F20" s="94"/>
      <c r="G20" s="94"/>
      <c r="H20" s="94"/>
      <c r="I20" s="94"/>
      <c r="J20" s="94"/>
      <c r="K20" s="94"/>
      <c r="L20" s="94"/>
      <c r="M20" s="94"/>
      <c r="N20" s="94"/>
      <c r="O20" s="94"/>
    </row>
    <row r="21" spans="2:15">
      <c r="B21" s="78" t="s">
        <v>222</v>
      </c>
      <c r="C21" s="77">
        <f>C20/1.6^2</f>
        <v>27382.812499999996</v>
      </c>
      <c r="D21" s="236"/>
      <c r="E21" s="94"/>
      <c r="F21" s="94"/>
      <c r="G21" s="94"/>
      <c r="H21" s="94"/>
      <c r="I21" s="94"/>
      <c r="J21" s="94"/>
      <c r="K21" s="94"/>
      <c r="L21" s="94"/>
      <c r="M21" s="94"/>
      <c r="N21" s="94"/>
      <c r="O21" s="94"/>
    </row>
    <row r="22" spans="2:15">
      <c r="B22" s="78" t="s">
        <v>223</v>
      </c>
      <c r="C22" s="77">
        <f>SQRT(C21)</f>
        <v>165.47752868592158</v>
      </c>
      <c r="D22" s="236"/>
      <c r="E22" s="94"/>
      <c r="F22" s="94"/>
      <c r="G22" s="94"/>
      <c r="H22" s="94"/>
      <c r="I22" s="94"/>
      <c r="J22" s="94"/>
      <c r="K22" s="94"/>
      <c r="L22" s="94"/>
      <c r="M22" s="94"/>
      <c r="N22" s="94"/>
      <c r="O22" s="94"/>
    </row>
    <row r="23" spans="2:15">
      <c r="B23" s="72" t="s">
        <v>224</v>
      </c>
      <c r="C23" s="79">
        <f>C12/C18*C19</f>
        <v>70100</v>
      </c>
      <c r="D23" s="237"/>
      <c r="E23" s="94"/>
      <c r="F23" s="94"/>
      <c r="G23" s="94"/>
      <c r="H23" s="94"/>
      <c r="I23" s="94"/>
      <c r="J23" s="94"/>
      <c r="K23" s="94"/>
      <c r="L23" s="94"/>
      <c r="M23" s="94"/>
      <c r="N23" s="94"/>
      <c r="O23" s="94"/>
    </row>
    <row r="24" spans="2:15">
      <c r="B24" s="72" t="s">
        <v>225</v>
      </c>
      <c r="C24" s="80">
        <f>C23*C17*C16/1000</f>
        <v>140.19999999999999</v>
      </c>
      <c r="D24" s="232"/>
      <c r="E24" s="94"/>
      <c r="F24" s="94"/>
      <c r="G24" s="94"/>
      <c r="H24" s="94"/>
      <c r="I24" s="94"/>
      <c r="J24" s="94"/>
      <c r="K24" s="94"/>
      <c r="L24" s="94"/>
      <c r="M24" s="94"/>
      <c r="N24" s="94"/>
      <c r="O24" s="94"/>
    </row>
    <row r="25" spans="2:15">
      <c r="B25" s="72" t="s">
        <v>226</v>
      </c>
      <c r="C25" s="80">
        <f>C24*365*24/1000</f>
        <v>1228.1519999999998</v>
      </c>
      <c r="D25" s="232"/>
      <c r="E25" s="94"/>
      <c r="F25" s="94"/>
      <c r="G25" s="94"/>
      <c r="H25" s="94"/>
      <c r="I25" s="94"/>
      <c r="J25" s="94"/>
      <c r="K25" s="94"/>
      <c r="L25" s="94"/>
      <c r="M25" s="94"/>
      <c r="N25" s="94"/>
      <c r="O25" s="94"/>
    </row>
    <row r="26" spans="2:15">
      <c r="B26" s="72" t="s">
        <v>85</v>
      </c>
      <c r="C26" s="80">
        <f>C27/C24*1000</f>
        <v>6374.9861527019293</v>
      </c>
      <c r="D26" s="232"/>
      <c r="E26" s="94"/>
      <c r="F26" s="94"/>
      <c r="G26" s="94"/>
      <c r="H26" s="94"/>
      <c r="I26" s="94"/>
      <c r="J26" s="94"/>
      <c r="K26" s="94"/>
      <c r="L26" s="94"/>
      <c r="M26" s="94"/>
      <c r="N26" s="94"/>
      <c r="O26" s="94"/>
    </row>
    <row r="27" spans="2:15">
      <c r="B27" s="268" t="s">
        <v>32</v>
      </c>
      <c r="C27" s="269">
        <f>C25*1000000000*'CO2 amounts'!C3/1000/1000000</f>
        <v>893.7730586088104</v>
      </c>
      <c r="D27" s="232"/>
      <c r="E27" s="94"/>
      <c r="F27" s="94"/>
      <c r="G27" s="94"/>
      <c r="H27" s="94"/>
      <c r="I27" s="94"/>
      <c r="J27" s="94"/>
      <c r="K27" s="94"/>
      <c r="L27" s="94"/>
      <c r="M27" s="94"/>
      <c r="N27" s="94"/>
      <c r="O27" s="94"/>
    </row>
    <row r="28" spans="2:15" ht="15" thickBot="1">
      <c r="B28" s="61"/>
      <c r="C28" s="62"/>
      <c r="D28" s="232"/>
      <c r="E28" s="94"/>
      <c r="F28" s="94"/>
      <c r="G28" s="94"/>
      <c r="H28" s="94"/>
      <c r="I28" s="94"/>
      <c r="J28" s="94"/>
      <c r="K28" s="94"/>
      <c r="L28" s="94"/>
      <c r="M28" s="94"/>
      <c r="N28" s="94"/>
      <c r="O28" s="94"/>
    </row>
    <row r="29" spans="2:15">
      <c r="B29" s="67"/>
      <c r="C29" s="68">
        <f>C24/C23*1000</f>
        <v>2</v>
      </c>
      <c r="E29" s="275">
        <f>C24/C23*1000</f>
        <v>2</v>
      </c>
      <c r="M29" s="274">
        <f>C27/C23</f>
        <v>1.2749972305403857E-2</v>
      </c>
    </row>
    <row r="30" spans="2:15">
      <c r="B30" s="59" t="s">
        <v>281</v>
      </c>
      <c r="C30" s="58"/>
      <c r="D30" s="234"/>
      <c r="E30" s="94"/>
      <c r="F30" s="94"/>
      <c r="G30" s="94"/>
      <c r="H30" s="94"/>
      <c r="I30" s="94"/>
      <c r="J30" s="94"/>
      <c r="K30" s="94"/>
      <c r="L30" s="94"/>
      <c r="M30" s="94"/>
      <c r="N30" s="94"/>
      <c r="O30" s="94"/>
    </row>
    <row r="31" spans="2:15">
      <c r="B31" s="72" t="s">
        <v>28</v>
      </c>
      <c r="C31" s="73">
        <f>1.9*365</f>
        <v>693.5</v>
      </c>
      <c r="D31" s="64"/>
      <c r="E31" s="93" t="s">
        <v>73</v>
      </c>
      <c r="F31" s="94"/>
      <c r="G31" s="94"/>
      <c r="H31" s="94"/>
      <c r="I31" s="94"/>
      <c r="J31" s="94"/>
      <c r="K31" s="94"/>
      <c r="L31" s="94"/>
      <c r="M31" s="94"/>
      <c r="N31" s="94"/>
      <c r="O31" s="94"/>
    </row>
    <row r="32" spans="2:15">
      <c r="B32" s="72" t="s">
        <v>29</v>
      </c>
      <c r="C32" s="80">
        <f>C31*'CO2 amounts'!C4</f>
        <v>49.716666666666669</v>
      </c>
      <c r="D32" s="232"/>
      <c r="E32" s="93" t="s">
        <v>22</v>
      </c>
      <c r="F32" s="94"/>
      <c r="G32" s="94"/>
      <c r="H32" s="94"/>
      <c r="I32" s="94"/>
      <c r="J32" s="94"/>
      <c r="K32" s="94"/>
      <c r="L32" s="94"/>
      <c r="M32" s="94"/>
      <c r="N32" s="94"/>
      <c r="O32" s="94"/>
    </row>
    <row r="33" spans="1:15">
      <c r="B33" s="72" t="s">
        <v>25</v>
      </c>
      <c r="C33" s="80">
        <f>C31*'CO2 amounts'!C6</f>
        <v>298.20499999999998</v>
      </c>
      <c r="D33" s="164"/>
      <c r="E33" s="93" t="s">
        <v>23</v>
      </c>
      <c r="F33" s="94"/>
      <c r="G33" s="94"/>
      <c r="H33" s="94"/>
      <c r="I33" s="94"/>
      <c r="J33" s="94"/>
      <c r="K33" s="94"/>
      <c r="L33" s="94"/>
      <c r="M33" s="94"/>
      <c r="N33" s="94"/>
      <c r="O33" s="94"/>
    </row>
    <row r="34" spans="1:15">
      <c r="B34" s="268" t="s">
        <v>31</v>
      </c>
      <c r="C34" s="269">
        <f>C33+C32</f>
        <v>347.92166666666662</v>
      </c>
      <c r="D34" s="232"/>
      <c r="E34" s="94"/>
      <c r="F34" s="94"/>
      <c r="G34" s="94"/>
      <c r="H34" s="94"/>
      <c r="I34" s="94"/>
      <c r="J34" s="94"/>
      <c r="K34" s="94"/>
      <c r="L34" s="94"/>
      <c r="M34" s="94"/>
      <c r="N34" s="94"/>
      <c r="O34" s="94"/>
    </row>
    <row r="35" spans="1:15" ht="15" thickBot="1">
      <c r="A35" s="66"/>
      <c r="B35" s="61"/>
      <c r="C35" s="62"/>
      <c r="D35" s="232"/>
      <c r="E35" s="94"/>
      <c r="F35" s="94"/>
      <c r="G35" s="94"/>
      <c r="H35" s="94"/>
      <c r="I35" s="94"/>
      <c r="J35" s="94"/>
      <c r="K35" s="94"/>
      <c r="L35" s="94"/>
      <c r="M35" s="94"/>
      <c r="N35" s="94"/>
      <c r="O35" s="94"/>
    </row>
    <row r="36" spans="1:15">
      <c r="B36" s="67"/>
      <c r="C36" s="69"/>
      <c r="D36" s="232"/>
    </row>
    <row r="37" spans="1:15">
      <c r="B37" s="57" t="s">
        <v>216</v>
      </c>
      <c r="C37" s="60"/>
      <c r="D37" s="238"/>
      <c r="E37" s="94"/>
      <c r="F37" s="94"/>
      <c r="G37" s="94"/>
      <c r="H37" s="94"/>
      <c r="I37" s="94"/>
      <c r="J37" s="94"/>
      <c r="K37" s="94"/>
      <c r="L37" s="94"/>
      <c r="M37" s="94"/>
      <c r="N37" s="94"/>
      <c r="O37" s="94"/>
    </row>
    <row r="38" spans="1:15">
      <c r="B38" s="81" t="s">
        <v>352</v>
      </c>
      <c r="C38" s="90">
        <f>'PV Output'!I16</f>
        <v>134.094269765219</v>
      </c>
      <c r="D38" s="231"/>
      <c r="E38" s="94"/>
      <c r="F38" s="94"/>
      <c r="G38" s="94"/>
      <c r="H38" s="94"/>
      <c r="I38" s="94"/>
      <c r="J38" s="94"/>
      <c r="K38" s="94"/>
      <c r="L38" s="94"/>
      <c r="M38" s="94"/>
      <c r="N38" s="94"/>
      <c r="O38" s="94"/>
    </row>
    <row r="39" spans="1:15">
      <c r="B39" s="83" t="s">
        <v>341</v>
      </c>
      <c r="C39" s="90">
        <f>'PV Output'!I9/1000000</f>
        <v>1174665.8031433185</v>
      </c>
      <c r="D39" s="231"/>
      <c r="E39" s="94"/>
      <c r="F39" s="94"/>
      <c r="G39" s="94"/>
      <c r="H39" s="94"/>
      <c r="I39" s="94"/>
      <c r="J39" s="94"/>
      <c r="K39" s="94"/>
      <c r="L39" s="94"/>
      <c r="M39" s="94"/>
      <c r="N39" s="94"/>
      <c r="O39" s="94"/>
    </row>
    <row r="40" spans="1:15">
      <c r="B40" s="83" t="s">
        <v>342</v>
      </c>
      <c r="C40" s="90">
        <f>C39/365</f>
        <v>3218.2624743652564</v>
      </c>
      <c r="D40" s="231"/>
      <c r="E40" s="94"/>
      <c r="F40" s="94"/>
      <c r="G40" s="94"/>
      <c r="H40" s="94"/>
      <c r="I40" s="94"/>
      <c r="J40" s="94"/>
      <c r="K40" s="94"/>
      <c r="L40" s="94"/>
      <c r="M40" s="94"/>
      <c r="N40" s="94"/>
      <c r="O40" s="94"/>
    </row>
    <row r="41" spans="1:15">
      <c r="B41" s="304" t="s">
        <v>343</v>
      </c>
      <c r="C41" s="90">
        <f>(C40/C43)</f>
        <v>357.58471937391738</v>
      </c>
      <c r="D41" s="231"/>
      <c r="E41" s="294" t="s">
        <v>344</v>
      </c>
      <c r="F41" s="294"/>
      <c r="G41" s="94"/>
      <c r="H41" s="94"/>
      <c r="I41" s="94"/>
      <c r="J41" s="94"/>
      <c r="K41" s="94"/>
      <c r="L41" s="94"/>
      <c r="M41" s="94"/>
      <c r="N41" s="94"/>
      <c r="O41" s="94"/>
    </row>
    <row r="42" spans="1:15">
      <c r="B42" s="304" t="s">
        <v>353</v>
      </c>
      <c r="C42" s="90">
        <f>C40/24</f>
        <v>134.09426976521902</v>
      </c>
      <c r="D42" s="231"/>
      <c r="E42" s="294" t="s">
        <v>354</v>
      </c>
      <c r="F42" s="294"/>
      <c r="G42" s="94"/>
      <c r="H42" s="94"/>
      <c r="I42" s="94"/>
      <c r="J42" s="94"/>
      <c r="K42" s="94"/>
      <c r="L42" s="94"/>
      <c r="M42" s="94"/>
      <c r="N42" s="94"/>
      <c r="O42" s="94"/>
    </row>
    <row r="43" spans="1:15">
      <c r="B43" s="83" t="s">
        <v>276</v>
      </c>
      <c r="C43" s="82">
        <f>(C44+C45)/2</f>
        <v>9</v>
      </c>
      <c r="D43" s="231"/>
      <c r="E43" s="94"/>
      <c r="F43" s="94"/>
      <c r="G43" s="94"/>
      <c r="H43" s="94"/>
      <c r="I43" s="94"/>
      <c r="J43" s="94"/>
      <c r="K43" s="94"/>
      <c r="L43" s="94"/>
      <c r="M43" s="94"/>
      <c r="N43" s="94"/>
      <c r="O43" s="94"/>
    </row>
    <row r="44" spans="1:15">
      <c r="B44" s="261" t="s">
        <v>70</v>
      </c>
      <c r="C44" s="313">
        <v>14</v>
      </c>
      <c r="D44" s="231"/>
      <c r="E44" s="93" t="s">
        <v>277</v>
      </c>
      <c r="F44" s="94"/>
      <c r="G44" s="94"/>
      <c r="H44" s="94"/>
      <c r="I44" s="94"/>
      <c r="J44" s="94"/>
      <c r="K44" s="94"/>
      <c r="L44" s="94"/>
      <c r="M44" s="94"/>
      <c r="N44" s="94"/>
      <c r="O44" s="94"/>
    </row>
    <row r="45" spans="1:15">
      <c r="B45" s="261" t="s">
        <v>1</v>
      </c>
      <c r="C45" s="313">
        <v>4</v>
      </c>
      <c r="D45" s="231"/>
      <c r="E45" s="93" t="s">
        <v>277</v>
      </c>
      <c r="F45" s="94"/>
      <c r="G45" s="94"/>
      <c r="H45" s="94"/>
      <c r="I45" s="94"/>
      <c r="J45" s="94"/>
      <c r="K45" s="94"/>
      <c r="L45" s="94"/>
      <c r="M45" s="94"/>
      <c r="N45" s="94"/>
      <c r="O45" s="94"/>
    </row>
    <row r="46" spans="1:15">
      <c r="B46" s="316" t="s">
        <v>351</v>
      </c>
      <c r="C46" s="314">
        <v>1000</v>
      </c>
      <c r="D46" s="231"/>
      <c r="E46" s="93"/>
      <c r="F46" s="94"/>
      <c r="G46" s="94"/>
      <c r="H46" s="94"/>
      <c r="I46" s="94"/>
      <c r="J46" s="94"/>
      <c r="K46" s="94"/>
      <c r="L46" s="94"/>
      <c r="M46" s="94"/>
      <c r="N46" s="94"/>
      <c r="O46" s="94"/>
    </row>
    <row r="47" spans="1:15">
      <c r="B47" s="316" t="s">
        <v>360</v>
      </c>
      <c r="C47" s="314">
        <v>200</v>
      </c>
      <c r="D47" s="231"/>
      <c r="E47" s="327" t="s">
        <v>349</v>
      </c>
      <c r="F47" s="327"/>
      <c r="G47" s="327"/>
      <c r="H47" s="327"/>
      <c r="I47" s="327"/>
      <c r="J47" s="327"/>
      <c r="K47" s="327"/>
      <c r="L47" s="327"/>
      <c r="M47" s="327"/>
      <c r="N47" s="327"/>
      <c r="O47" s="327"/>
    </row>
    <row r="48" spans="1:15">
      <c r="B48" s="316" t="s">
        <v>361</v>
      </c>
      <c r="C48" s="90">
        <f>C63*(C47/C46)</f>
        <v>28.356481481481481</v>
      </c>
      <c r="D48" s="231"/>
      <c r="E48" s="317"/>
      <c r="F48" s="317"/>
      <c r="G48" s="317"/>
      <c r="H48" s="317"/>
      <c r="I48" s="317"/>
      <c r="J48" s="317"/>
      <c r="K48" s="317"/>
      <c r="L48" s="317"/>
      <c r="M48" s="317"/>
      <c r="N48" s="317"/>
      <c r="O48" s="317"/>
    </row>
    <row r="49" spans="2:15">
      <c r="B49" s="345" t="s">
        <v>362</v>
      </c>
      <c r="C49" s="303">
        <f>C48/1000000</f>
        <v>2.8356481481481479E-5</v>
      </c>
      <c r="D49" s="239"/>
      <c r="E49" s="93" t="s">
        <v>134</v>
      </c>
      <c r="F49" s="94"/>
      <c r="G49" s="94"/>
      <c r="H49" s="94"/>
      <c r="I49" s="94"/>
      <c r="J49" s="94"/>
      <c r="K49" s="94"/>
      <c r="L49" s="94"/>
      <c r="M49" s="94"/>
      <c r="N49" s="94"/>
      <c r="O49" s="94"/>
    </row>
    <row r="50" spans="2:15">
      <c r="B50" s="315" t="s">
        <v>369</v>
      </c>
      <c r="C50" s="313">
        <v>1</v>
      </c>
      <c r="D50" s="239"/>
      <c r="E50" s="93"/>
      <c r="F50" s="94"/>
      <c r="G50" s="94"/>
      <c r="H50" s="94"/>
      <c r="I50" s="94"/>
      <c r="J50" s="94"/>
      <c r="K50" s="94"/>
      <c r="L50" s="94"/>
      <c r="M50" s="94"/>
      <c r="N50" s="94"/>
      <c r="O50" s="94"/>
    </row>
    <row r="51" spans="2:15">
      <c r="B51" s="84" t="s">
        <v>227</v>
      </c>
      <c r="C51" s="85">
        <v>0.15</v>
      </c>
      <c r="D51" s="235"/>
      <c r="E51" s="94"/>
      <c r="F51" s="94"/>
      <c r="G51" s="94"/>
      <c r="H51" s="94"/>
      <c r="I51" s="94"/>
      <c r="J51" s="94"/>
      <c r="K51" s="94"/>
      <c r="L51" s="94"/>
      <c r="M51" s="94"/>
      <c r="N51" s="94"/>
      <c r="O51" s="94"/>
    </row>
    <row r="52" spans="2:15">
      <c r="B52" s="84" t="s">
        <v>228</v>
      </c>
      <c r="C52" s="86">
        <f>C51*C12</f>
        <v>21030</v>
      </c>
      <c r="D52" s="236"/>
      <c r="E52" s="94"/>
      <c r="F52" s="94"/>
      <c r="G52" s="94"/>
      <c r="H52" s="94"/>
      <c r="I52" s="94"/>
      <c r="J52" s="94"/>
      <c r="K52" s="94"/>
      <c r="L52" s="94"/>
      <c r="M52" s="94"/>
      <c r="N52" s="94"/>
      <c r="O52" s="94"/>
    </row>
    <row r="53" spans="2:15">
      <c r="B53" s="87" t="s">
        <v>355</v>
      </c>
      <c r="C53" s="86">
        <f>1.6*C55</f>
        <v>145.01724035437994</v>
      </c>
      <c r="D53" s="236"/>
      <c r="E53" s="94"/>
      <c r="F53" s="94"/>
      <c r="G53" s="94"/>
      <c r="H53" s="94"/>
      <c r="I53" s="94"/>
      <c r="J53" s="94"/>
      <c r="K53" s="94"/>
      <c r="L53" s="94"/>
      <c r="M53" s="94"/>
      <c r="N53" s="94"/>
      <c r="O53" s="94"/>
    </row>
    <row r="54" spans="2:15">
      <c r="B54" s="87" t="s">
        <v>222</v>
      </c>
      <c r="C54" s="88">
        <f>C52/1.6^2</f>
        <v>8214.8437499999982</v>
      </c>
      <c r="D54" s="237"/>
      <c r="E54" s="94"/>
      <c r="F54" s="94"/>
      <c r="G54" s="94"/>
      <c r="H54" s="94"/>
      <c r="I54" s="94"/>
      <c r="J54" s="94"/>
      <c r="K54" s="94"/>
      <c r="L54" s="94"/>
      <c r="M54" s="94"/>
      <c r="N54" s="94"/>
      <c r="O54" s="94"/>
    </row>
    <row r="55" spans="2:15">
      <c r="B55" s="87" t="s">
        <v>223</v>
      </c>
      <c r="C55" s="88">
        <f>SQRT(C54)</f>
        <v>90.635775221487449</v>
      </c>
      <c r="D55" s="237"/>
      <c r="E55" s="94"/>
      <c r="F55" s="94"/>
      <c r="G55" s="94"/>
      <c r="H55" s="94"/>
      <c r="I55" s="94"/>
      <c r="J55" s="94"/>
      <c r="K55" s="94"/>
      <c r="L55" s="94"/>
      <c r="M55" s="94"/>
      <c r="N55" s="94"/>
      <c r="O55" s="94"/>
    </row>
    <row r="56" spans="2:15">
      <c r="B56" s="346" t="s">
        <v>371</v>
      </c>
      <c r="C56" s="88"/>
      <c r="D56" s="237"/>
      <c r="E56" s="94"/>
      <c r="F56" s="94"/>
      <c r="G56" s="94"/>
      <c r="H56" s="94"/>
      <c r="I56" s="94"/>
      <c r="J56" s="94"/>
      <c r="K56" s="94"/>
      <c r="L56" s="94"/>
      <c r="M56" s="94"/>
      <c r="N56" s="94"/>
      <c r="O56" s="94"/>
    </row>
    <row r="57" spans="2:15">
      <c r="B57" s="84" t="s">
        <v>370</v>
      </c>
      <c r="C57" s="88">
        <f>C59*C52*1000000</f>
        <v>6309000000</v>
      </c>
      <c r="D57" s="237"/>
      <c r="E57" s="94"/>
      <c r="F57" s="94"/>
      <c r="G57" s="94"/>
      <c r="H57" s="94"/>
      <c r="I57" s="94"/>
      <c r="J57" s="94"/>
      <c r="K57" s="94"/>
      <c r="L57" s="94"/>
      <c r="M57" s="94"/>
      <c r="N57" s="94"/>
      <c r="O57" s="94"/>
    </row>
    <row r="58" spans="2:15">
      <c r="B58" s="84" t="s">
        <v>348</v>
      </c>
      <c r="C58" s="262">
        <f>C57/C50</f>
        <v>6309000000</v>
      </c>
      <c r="D58" s="237"/>
      <c r="E58" s="94"/>
      <c r="F58" s="94"/>
      <c r="G58" s="94"/>
      <c r="H58" s="94"/>
      <c r="I58" s="94"/>
      <c r="J58" s="94"/>
      <c r="K58" s="94"/>
      <c r="L58" s="94"/>
      <c r="M58" s="94"/>
      <c r="N58" s="94"/>
      <c r="O58" s="94"/>
    </row>
    <row r="59" spans="2:15">
      <c r="B59" s="84" t="s">
        <v>229</v>
      </c>
      <c r="C59" s="85">
        <v>0.3</v>
      </c>
      <c r="D59" s="235"/>
      <c r="E59" s="94"/>
      <c r="F59" s="94"/>
      <c r="G59" s="94"/>
      <c r="H59" s="94"/>
      <c r="I59" s="94"/>
      <c r="J59" s="94"/>
      <c r="K59" s="94"/>
      <c r="L59" s="94"/>
      <c r="M59" s="94"/>
      <c r="N59" s="94"/>
      <c r="O59" s="94"/>
    </row>
    <row r="60" spans="2:15">
      <c r="B60" s="298" t="s">
        <v>356</v>
      </c>
      <c r="C60" s="301">
        <v>0.2</v>
      </c>
      <c r="D60" s="237"/>
      <c r="E60" s="93" t="s">
        <v>69</v>
      </c>
      <c r="F60" s="94"/>
      <c r="G60" s="94"/>
      <c r="H60" s="96"/>
      <c r="I60" s="94"/>
      <c r="J60" s="94"/>
      <c r="K60" s="94"/>
      <c r="L60" s="94"/>
      <c r="M60" s="94"/>
      <c r="N60" s="94"/>
      <c r="O60" s="94"/>
    </row>
    <row r="61" spans="2:15">
      <c r="B61" s="298" t="s">
        <v>336</v>
      </c>
      <c r="C61" s="301">
        <f>'PV Output'!I13</f>
        <v>0.7495443766899198</v>
      </c>
      <c r="D61" s="235"/>
      <c r="E61" s="94"/>
      <c r="F61" s="94"/>
      <c r="G61" s="94"/>
      <c r="H61" s="94"/>
      <c r="I61" s="94"/>
      <c r="J61" s="94"/>
      <c r="K61" s="94"/>
      <c r="L61" s="94"/>
      <c r="M61" s="94"/>
      <c r="N61" s="94"/>
      <c r="O61" s="94"/>
    </row>
    <row r="62" spans="2:15">
      <c r="B62" s="299" t="s">
        <v>337</v>
      </c>
      <c r="C62" s="300">
        <f>C60*C61</f>
        <v>0.14990887533798397</v>
      </c>
      <c r="D62" s="235"/>
      <c r="E62" s="93"/>
      <c r="F62" s="94"/>
      <c r="G62" s="94"/>
      <c r="H62" s="94"/>
      <c r="I62" s="94"/>
      <c r="J62" s="94"/>
      <c r="K62" s="94"/>
      <c r="L62" s="94"/>
      <c r="M62" s="94"/>
      <c r="N62" s="94"/>
      <c r="O62" s="94"/>
    </row>
    <row r="63" spans="2:15">
      <c r="B63" s="84" t="s">
        <v>350</v>
      </c>
      <c r="C63" s="90">
        <f>1000*C64/(365*24)</f>
        <v>141.78240740740739</v>
      </c>
      <c r="D63" s="164"/>
      <c r="E63" s="323" t="s">
        <v>338</v>
      </c>
      <c r="F63" s="323"/>
      <c r="G63" s="323"/>
      <c r="H63" s="94"/>
      <c r="I63" s="94"/>
      <c r="J63" s="94"/>
      <c r="K63" s="94"/>
      <c r="L63" s="94"/>
      <c r="M63" s="94"/>
      <c r="N63" s="94"/>
      <c r="O63" s="94"/>
    </row>
    <row r="64" spans="2:15">
      <c r="B64" s="84" t="s">
        <v>339</v>
      </c>
      <c r="C64" s="90">
        <f>(C65+C66)/2</f>
        <v>1242.0138888888887</v>
      </c>
      <c r="D64" s="164"/>
      <c r="E64" s="323"/>
      <c r="F64" s="323"/>
      <c r="G64" s="323"/>
      <c r="H64" s="94"/>
      <c r="I64" s="94"/>
      <c r="J64" s="94"/>
      <c r="K64" s="94"/>
      <c r="L64" s="94"/>
      <c r="M64" s="94"/>
      <c r="N64" s="94"/>
      <c r="O64" s="94"/>
    </row>
    <row r="65" spans="2:15">
      <c r="B65" s="87" t="s">
        <v>70</v>
      </c>
      <c r="C65" s="312">
        <f>C81</f>
        <v>2230.5555555555552</v>
      </c>
      <c r="D65" s="64"/>
      <c r="E65" s="93" t="s">
        <v>71</v>
      </c>
      <c r="F65" s="94"/>
      <c r="G65" s="94"/>
      <c r="H65" s="94"/>
      <c r="I65" s="94"/>
      <c r="J65" s="94"/>
      <c r="K65" s="94"/>
      <c r="L65" s="94"/>
      <c r="M65" s="94"/>
      <c r="N65" s="94"/>
      <c r="O65" s="94"/>
    </row>
    <row r="66" spans="2:15">
      <c r="B66" s="87" t="s">
        <v>1</v>
      </c>
      <c r="C66" s="312">
        <f>C82</f>
        <v>253.4722222222222</v>
      </c>
      <c r="D66" s="64"/>
      <c r="E66" s="93" t="s">
        <v>71</v>
      </c>
      <c r="F66" s="94"/>
      <c r="G66" s="94"/>
      <c r="H66" s="94"/>
      <c r="I66" s="94"/>
      <c r="J66" s="94"/>
      <c r="K66" s="94"/>
      <c r="L66" s="94"/>
      <c r="M66" s="94"/>
      <c r="N66" s="94"/>
      <c r="O66" s="94"/>
    </row>
    <row r="67" spans="2:15">
      <c r="B67" s="84" t="s">
        <v>230</v>
      </c>
      <c r="C67" s="89"/>
      <c r="D67" s="64"/>
      <c r="E67" s="94"/>
      <c r="F67" s="94"/>
      <c r="G67" s="94"/>
      <c r="H67" s="94"/>
      <c r="I67" s="94"/>
      <c r="J67" s="94"/>
      <c r="K67" s="94"/>
      <c r="L67" s="94"/>
      <c r="M67" s="94"/>
      <c r="N67" s="94"/>
      <c r="O67" s="94"/>
    </row>
    <row r="68" spans="2:15">
      <c r="B68" s="290" t="s">
        <v>70</v>
      </c>
      <c r="C68" s="291">
        <f>C65*1000*C57*C62/(24*365*1000000000)</f>
        <v>240.8223620273321</v>
      </c>
      <c r="D68" s="292"/>
      <c r="E68" s="293">
        <f xml:space="preserve"> C65*C62*C57/24/1000000000</f>
        <v>87.900162139976217</v>
      </c>
      <c r="F68" s="294" t="s">
        <v>331</v>
      </c>
      <c r="G68" s="294"/>
      <c r="H68" s="294"/>
      <c r="I68" s="294"/>
      <c r="J68" s="294"/>
      <c r="K68" s="294"/>
      <c r="L68" s="294"/>
      <c r="M68" s="294"/>
      <c r="N68" s="294"/>
      <c r="O68" s="286"/>
    </row>
    <row r="69" spans="2:15">
      <c r="B69" s="290" t="s">
        <v>1</v>
      </c>
      <c r="C69" s="295">
        <f>C66*1000*C57*C62/(24*365*1000000000)</f>
        <v>27.366177503105927</v>
      </c>
      <c r="D69" s="296"/>
      <c r="E69" s="294"/>
      <c r="F69" s="294"/>
      <c r="G69" s="294"/>
      <c r="H69" s="294"/>
      <c r="I69" s="294"/>
      <c r="J69" s="294"/>
      <c r="K69" s="294"/>
      <c r="L69" s="294"/>
      <c r="M69" s="294"/>
      <c r="N69" s="294"/>
      <c r="O69" s="286"/>
    </row>
    <row r="70" spans="2:15">
      <c r="B70" s="87" t="s">
        <v>34</v>
      </c>
      <c r="C70" s="90">
        <f>(C68+C69)/2</f>
        <v>134.09426976521902</v>
      </c>
      <c r="D70" s="232"/>
      <c r="E70" s="94"/>
      <c r="F70" s="94"/>
      <c r="G70" s="94"/>
      <c r="H70" s="94"/>
      <c r="I70" s="94"/>
      <c r="J70" s="94"/>
      <c r="K70" s="94"/>
      <c r="L70" s="94"/>
      <c r="M70" s="94"/>
      <c r="N70" s="94"/>
      <c r="O70" s="94"/>
    </row>
    <row r="71" spans="2:15">
      <c r="B71" s="270" t="s">
        <v>33</v>
      </c>
      <c r="C71" s="271">
        <f>C27*C70/C24</f>
        <v>854.84911290994819</v>
      </c>
      <c r="D71" s="232"/>
      <c r="E71" s="97" t="s">
        <v>74</v>
      </c>
      <c r="F71" s="94"/>
      <c r="G71" s="94"/>
      <c r="H71" s="94"/>
      <c r="I71" s="94"/>
      <c r="J71" s="94"/>
      <c r="K71" s="94"/>
      <c r="L71" s="94"/>
      <c r="M71" s="94"/>
      <c r="N71" s="94"/>
      <c r="O71" s="94"/>
    </row>
    <row r="72" spans="2:15" ht="15" thickBot="1">
      <c r="B72" s="91"/>
      <c r="C72" s="92"/>
      <c r="E72" s="94"/>
      <c r="F72" s="94"/>
      <c r="G72" s="94"/>
      <c r="H72" s="94"/>
      <c r="I72" s="94"/>
      <c r="J72" s="94"/>
      <c r="K72" s="94"/>
      <c r="L72" s="94"/>
      <c r="M72" s="94"/>
      <c r="N72" s="94"/>
      <c r="O72" s="94"/>
    </row>
    <row r="73" spans="2:15">
      <c r="F73" s="276"/>
    </row>
    <row r="75" spans="2:15">
      <c r="D75" s="98"/>
      <c r="E75" s="98"/>
      <c r="F75" s="259"/>
      <c r="G75" s="98"/>
      <c r="H75" s="98"/>
    </row>
    <row r="76" spans="2:15">
      <c r="D76" s="98"/>
      <c r="E76" s="98"/>
      <c r="F76" s="98"/>
      <c r="G76" s="98"/>
      <c r="H76" s="98"/>
    </row>
    <row r="77" spans="2:15">
      <c r="B77" s="305" t="s">
        <v>345</v>
      </c>
      <c r="C77" s="305"/>
      <c r="D77" s="98"/>
      <c r="E77" s="98"/>
      <c r="F77" s="259"/>
      <c r="G77" s="98"/>
      <c r="H77" s="260"/>
    </row>
    <row r="78" spans="2:15">
      <c r="B78" s="306" t="s">
        <v>70</v>
      </c>
      <c r="C78" s="311">
        <v>22</v>
      </c>
      <c r="D78" s="260"/>
      <c r="E78" s="324" t="s">
        <v>71</v>
      </c>
      <c r="F78" s="325"/>
      <c r="G78" s="325"/>
      <c r="H78" s="325"/>
      <c r="I78" s="325"/>
      <c r="J78" s="325"/>
    </row>
    <row r="79" spans="2:15">
      <c r="B79" s="306" t="s">
        <v>1</v>
      </c>
      <c r="C79" s="311">
        <v>2.5</v>
      </c>
      <c r="D79" s="98"/>
      <c r="E79" s="325"/>
      <c r="F79" s="325"/>
      <c r="G79" s="325"/>
      <c r="H79" s="325"/>
      <c r="I79" s="325"/>
      <c r="J79" s="325"/>
    </row>
    <row r="80" spans="2:15">
      <c r="B80" s="305" t="s">
        <v>346</v>
      </c>
      <c r="C80" s="305"/>
      <c r="D80" s="98"/>
      <c r="E80" s="98"/>
      <c r="F80" s="98"/>
      <c r="G80" s="98"/>
      <c r="H80" s="98"/>
    </row>
    <row r="81" spans="2:10">
      <c r="B81" s="306" t="s">
        <v>70</v>
      </c>
      <c r="C81" s="310">
        <f>C78*1000/3600*365</f>
        <v>2230.5555555555552</v>
      </c>
      <c r="D81" s="98"/>
      <c r="E81" s="98"/>
      <c r="F81" s="98"/>
      <c r="G81" s="98"/>
      <c r="H81" s="98"/>
    </row>
    <row r="82" spans="2:10">
      <c r="B82" s="306" t="s">
        <v>1</v>
      </c>
      <c r="C82" s="310">
        <f>C79*1000/3600*365</f>
        <v>253.4722222222222</v>
      </c>
    </row>
    <row r="83" spans="2:10">
      <c r="D83" s="98"/>
      <c r="E83" s="98"/>
      <c r="F83" s="98"/>
      <c r="G83" s="98"/>
      <c r="H83" s="98"/>
    </row>
    <row r="84" spans="2:10">
      <c r="B84" s="326" t="s">
        <v>347</v>
      </c>
      <c r="C84" s="307">
        <v>6250</v>
      </c>
      <c r="D84" s="308"/>
      <c r="E84" s="309" t="s">
        <v>71</v>
      </c>
      <c r="F84" s="294"/>
      <c r="G84" s="294"/>
      <c r="H84" s="294"/>
      <c r="I84" s="294"/>
      <c r="J84" s="294"/>
    </row>
    <row r="85" spans="2:10">
      <c r="B85" s="326"/>
      <c r="C85" s="307">
        <v>1389</v>
      </c>
      <c r="D85" s="308"/>
      <c r="E85" s="309" t="s">
        <v>71</v>
      </c>
      <c r="F85" s="294"/>
      <c r="G85" s="294"/>
      <c r="H85" s="294"/>
      <c r="I85" s="294"/>
      <c r="J85" s="294"/>
    </row>
  </sheetData>
  <mergeCells count="5">
    <mergeCell ref="B1:O1"/>
    <mergeCell ref="E63:G64"/>
    <mergeCell ref="E78:J79"/>
    <mergeCell ref="B84:B85"/>
    <mergeCell ref="E47:O47"/>
  </mergeCells>
  <hyperlinks>
    <hyperlink ref="E10" r:id="rId1"/>
    <hyperlink ref="E12" r:id="rId2"/>
    <hyperlink ref="E13" r:id="rId3"/>
    <hyperlink ref="E33" r:id="rId4"/>
    <hyperlink ref="E32" r:id="rId5"/>
    <hyperlink ref="E16" r:id="rId6"/>
    <hyperlink ref="E17" r:id="rId7"/>
    <hyperlink ref="E65" r:id="rId8"/>
    <hyperlink ref="E66" r:id="rId9"/>
    <hyperlink ref="E60" r:id="rId10"/>
    <hyperlink ref="E49" r:id="rId11"/>
    <hyperlink ref="E44" r:id="rId12"/>
    <hyperlink ref="E45" r:id="rId13"/>
    <hyperlink ref="E84" r:id="rId14"/>
    <hyperlink ref="E85" r:id="rId15"/>
    <hyperlink ref="E78" r:id="rId16"/>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0"/>
  <sheetViews>
    <sheetView showGridLines="0" workbookViewId="0">
      <selection activeCell="C3" sqref="C3"/>
    </sheetView>
  </sheetViews>
  <sheetFormatPr baseColWidth="10" defaultColWidth="8.83203125" defaultRowHeight="14" x14ac:dyDescent="0"/>
  <cols>
    <col min="1" max="1" width="4.83203125" style="98" customWidth="1"/>
    <col min="2" max="2" width="65.5" style="98" customWidth="1"/>
    <col min="3" max="3" width="31.5" style="98" bestFit="1" customWidth="1"/>
    <col min="4" max="4" width="24.6640625" style="98" customWidth="1"/>
    <col min="5" max="6" width="8.83203125" style="98"/>
    <col min="7" max="7" width="23" style="98" customWidth="1"/>
    <col min="8" max="16384" width="8.83203125" style="98"/>
  </cols>
  <sheetData>
    <row r="1" spans="2:12" ht="23.25" customHeight="1">
      <c r="B1" s="321" t="s">
        <v>211</v>
      </c>
      <c r="C1" s="321"/>
      <c r="D1" s="321"/>
      <c r="E1" s="321"/>
      <c r="F1" s="321"/>
      <c r="G1" s="321"/>
      <c r="H1" s="321"/>
      <c r="I1" s="321"/>
      <c r="J1" s="321"/>
      <c r="K1" s="321"/>
      <c r="L1" s="321"/>
    </row>
    <row r="2" spans="2:12" ht="15" thickBot="1">
      <c r="B2" s="100"/>
      <c r="C2" s="100"/>
      <c r="D2" s="100"/>
      <c r="E2" s="100"/>
      <c r="F2" s="100"/>
      <c r="G2" s="100"/>
      <c r="H2" s="100"/>
      <c r="I2" s="100"/>
      <c r="J2" s="100"/>
      <c r="K2" s="100"/>
      <c r="L2" s="100"/>
    </row>
    <row r="3" spans="2:12">
      <c r="B3" s="116" t="s">
        <v>210</v>
      </c>
      <c r="C3" s="117">
        <f>C8</f>
        <v>0.72773814528560843</v>
      </c>
      <c r="D3" s="102" t="s">
        <v>151</v>
      </c>
      <c r="E3" s="100"/>
      <c r="F3" s="100"/>
      <c r="G3" s="100"/>
      <c r="H3" s="100"/>
      <c r="I3" s="100"/>
      <c r="J3" s="100"/>
      <c r="K3" s="100"/>
      <c r="L3" s="100"/>
    </row>
    <row r="4" spans="2:12">
      <c r="B4" s="109" t="s">
        <v>30</v>
      </c>
      <c r="C4" s="109">
        <f>47.1/(1.8*365)</f>
        <v>7.1689497716894979E-2</v>
      </c>
      <c r="D4" s="102" t="s">
        <v>76</v>
      </c>
      <c r="E4" s="100"/>
      <c r="F4" s="100"/>
      <c r="G4" s="100"/>
      <c r="H4" s="100"/>
      <c r="I4" s="100"/>
      <c r="J4" s="100"/>
      <c r="K4" s="100"/>
      <c r="L4" s="100"/>
    </row>
    <row r="5" spans="2:12">
      <c r="B5" s="109"/>
      <c r="C5" s="109"/>
      <c r="D5" s="102" t="s">
        <v>22</v>
      </c>
      <c r="E5" s="100"/>
      <c r="F5" s="100"/>
      <c r="G5" s="100"/>
      <c r="H5" s="100"/>
      <c r="I5" s="100"/>
      <c r="J5" s="100"/>
      <c r="K5" s="100"/>
      <c r="L5" s="100"/>
    </row>
    <row r="6" spans="2:12">
      <c r="B6" s="109" t="s">
        <v>24</v>
      </c>
      <c r="C6" s="109">
        <v>0.43</v>
      </c>
      <c r="D6" s="102" t="s">
        <v>23</v>
      </c>
      <c r="E6" s="100"/>
      <c r="F6" s="100"/>
      <c r="G6" s="100"/>
      <c r="H6" s="100"/>
      <c r="I6" s="100"/>
      <c r="J6" s="100"/>
      <c r="K6" s="100"/>
      <c r="L6" s="100"/>
    </row>
    <row r="7" spans="2:12">
      <c r="B7" s="109"/>
      <c r="C7" s="109"/>
      <c r="D7" s="100"/>
      <c r="E7" s="100"/>
      <c r="F7" s="100"/>
      <c r="G7" s="100"/>
      <c r="H7" s="100"/>
      <c r="I7" s="100"/>
      <c r="J7" s="100"/>
      <c r="K7" s="100"/>
      <c r="L7" s="100"/>
    </row>
    <row r="8" spans="2:12">
      <c r="B8" s="118" t="s">
        <v>119</v>
      </c>
      <c r="C8" s="119">
        <f>'Alberta Electricity Profile'!C15</f>
        <v>0.72773814528560843</v>
      </c>
      <c r="D8" s="100"/>
      <c r="E8" s="100"/>
      <c r="F8" s="100"/>
      <c r="G8" s="100"/>
      <c r="H8" s="100"/>
      <c r="I8" s="100"/>
      <c r="J8" s="100"/>
      <c r="K8" s="100"/>
      <c r="L8" s="100"/>
    </row>
    <row r="9" spans="2:12" ht="15" thickBot="1">
      <c r="B9" s="110" t="s">
        <v>127</v>
      </c>
      <c r="C9" s="110">
        <f>AVERAGE(E20:E22)*0.45359</f>
        <v>0.97068260000000006</v>
      </c>
      <c r="D9" s="100"/>
      <c r="E9" s="100"/>
      <c r="F9" s="100"/>
      <c r="G9" s="100"/>
      <c r="H9" s="100"/>
      <c r="I9" s="100"/>
      <c r="J9" s="100"/>
      <c r="K9" s="100"/>
      <c r="L9" s="100"/>
    </row>
    <row r="10" spans="2:12">
      <c r="B10" s="100"/>
      <c r="C10" s="100"/>
      <c r="D10" s="100"/>
      <c r="E10" s="100"/>
      <c r="F10" s="100"/>
      <c r="G10" s="100"/>
      <c r="H10" s="100"/>
      <c r="I10" s="100"/>
      <c r="J10" s="100"/>
      <c r="K10" s="100"/>
      <c r="L10" s="100"/>
    </row>
    <row r="12" spans="2:12">
      <c r="B12" s="105" t="s">
        <v>19</v>
      </c>
      <c r="C12" s="100"/>
      <c r="D12" s="100"/>
      <c r="E12" s="100"/>
      <c r="F12" s="100"/>
      <c r="G12" s="100"/>
      <c r="H12" s="100"/>
      <c r="I12" s="100"/>
      <c r="J12" s="100"/>
      <c r="K12" s="100"/>
      <c r="L12" s="100"/>
    </row>
    <row r="13" spans="2:12">
      <c r="B13" s="100" t="s">
        <v>231</v>
      </c>
      <c r="C13" s="100"/>
      <c r="D13" s="100"/>
      <c r="E13" s="100"/>
      <c r="F13" s="100"/>
      <c r="G13" s="100"/>
      <c r="H13" s="100"/>
      <c r="I13" s="100"/>
      <c r="J13" s="100"/>
      <c r="K13" s="100"/>
      <c r="L13" s="100"/>
    </row>
    <row r="14" spans="2:12">
      <c r="B14" s="100" t="s">
        <v>232</v>
      </c>
      <c r="C14" s="100"/>
      <c r="D14" s="100"/>
      <c r="E14" s="100"/>
      <c r="F14" s="100"/>
      <c r="G14" s="100"/>
      <c r="H14" s="100"/>
      <c r="I14" s="100"/>
      <c r="J14" s="100"/>
      <c r="K14" s="100"/>
      <c r="L14" s="100"/>
    </row>
    <row r="15" spans="2:12">
      <c r="B15" s="100"/>
      <c r="C15" s="100"/>
      <c r="D15" s="100"/>
      <c r="E15" s="100"/>
      <c r="F15" s="100"/>
      <c r="G15" s="100"/>
      <c r="H15" s="100"/>
      <c r="I15" s="100"/>
      <c r="J15" s="100"/>
      <c r="K15" s="100"/>
      <c r="L15" s="100"/>
    </row>
    <row r="16" spans="2:12">
      <c r="B16" s="100" t="s">
        <v>9</v>
      </c>
      <c r="C16" s="100"/>
      <c r="D16" s="100"/>
      <c r="E16" s="100"/>
      <c r="F16" s="100"/>
      <c r="G16" s="100"/>
      <c r="H16" s="100"/>
      <c r="I16" s="100"/>
      <c r="J16" s="100"/>
      <c r="K16" s="100"/>
      <c r="L16" s="100"/>
    </row>
    <row r="17" spans="2:12" ht="15" thickBot="1">
      <c r="B17" s="100"/>
      <c r="C17" s="100"/>
      <c r="D17" s="100"/>
      <c r="E17" s="100"/>
      <c r="F17" s="100"/>
      <c r="G17" s="100"/>
      <c r="H17" s="100"/>
      <c r="I17" s="100"/>
      <c r="J17" s="100"/>
      <c r="K17" s="100"/>
      <c r="L17" s="100"/>
    </row>
    <row r="18" spans="2:12" ht="15" thickBot="1">
      <c r="B18" s="107" t="s">
        <v>10</v>
      </c>
      <c r="C18" s="113" t="s">
        <v>20</v>
      </c>
      <c r="D18" s="107" t="s">
        <v>11</v>
      </c>
      <c r="E18" s="106" t="s">
        <v>21</v>
      </c>
      <c r="F18" s="108"/>
      <c r="G18" s="100"/>
      <c r="H18" s="100"/>
      <c r="I18" s="100"/>
      <c r="J18" s="100"/>
      <c r="K18" s="100"/>
      <c r="L18" s="100"/>
    </row>
    <row r="19" spans="2:12">
      <c r="B19" s="109" t="s">
        <v>12</v>
      </c>
      <c r="C19" s="94"/>
      <c r="D19" s="109"/>
      <c r="E19" s="94"/>
      <c r="F19" s="103"/>
      <c r="G19" s="100"/>
      <c r="H19" s="100"/>
      <c r="I19" s="100"/>
      <c r="J19" s="100"/>
      <c r="K19" s="100"/>
      <c r="L19" s="100"/>
    </row>
    <row r="20" spans="2:12">
      <c r="B20" s="109" t="s">
        <v>13</v>
      </c>
      <c r="C20" s="94">
        <v>205.3</v>
      </c>
      <c r="D20" s="114">
        <v>10107</v>
      </c>
      <c r="E20" s="94">
        <v>2.08</v>
      </c>
      <c r="F20" s="103"/>
      <c r="G20" s="100"/>
      <c r="H20" s="100"/>
      <c r="I20" s="100"/>
      <c r="J20" s="100"/>
      <c r="K20" s="100"/>
      <c r="L20" s="100"/>
    </row>
    <row r="21" spans="2:12">
      <c r="B21" s="109" t="s">
        <v>14</v>
      </c>
      <c r="C21" s="94">
        <v>212.7</v>
      </c>
      <c r="D21" s="114">
        <v>10107</v>
      </c>
      <c r="E21" s="94">
        <v>2.16</v>
      </c>
      <c r="F21" s="103"/>
      <c r="G21" s="100"/>
      <c r="H21" s="100"/>
      <c r="I21" s="100"/>
      <c r="J21" s="100"/>
      <c r="K21" s="100"/>
      <c r="L21" s="100"/>
    </row>
    <row r="22" spans="2:12">
      <c r="B22" s="109" t="s">
        <v>15</v>
      </c>
      <c r="C22" s="94">
        <v>215.4</v>
      </c>
      <c r="D22" s="114">
        <v>10107</v>
      </c>
      <c r="E22" s="94">
        <v>2.1800000000000002</v>
      </c>
      <c r="F22" s="103"/>
      <c r="G22" s="100"/>
      <c r="H22" s="100"/>
      <c r="I22" s="100"/>
      <c r="J22" s="100"/>
      <c r="K22" s="100"/>
      <c r="L22" s="100"/>
    </row>
    <row r="23" spans="2:12">
      <c r="B23" s="109" t="s">
        <v>16</v>
      </c>
      <c r="C23" s="94">
        <v>117.08</v>
      </c>
      <c r="D23" s="114">
        <v>10416</v>
      </c>
      <c r="E23" s="94">
        <v>1.22</v>
      </c>
      <c r="F23" s="103"/>
      <c r="G23" s="100"/>
      <c r="H23" s="100"/>
      <c r="I23" s="100"/>
      <c r="J23" s="100"/>
      <c r="K23" s="100"/>
      <c r="L23" s="100"/>
    </row>
    <row r="24" spans="2:12">
      <c r="B24" s="109" t="s">
        <v>17</v>
      </c>
      <c r="C24" s="94">
        <v>161.386</v>
      </c>
      <c r="D24" s="114">
        <v>10416</v>
      </c>
      <c r="E24" s="94">
        <v>1.68</v>
      </c>
      <c r="F24" s="103"/>
      <c r="G24" s="100"/>
      <c r="H24" s="100"/>
      <c r="I24" s="100"/>
      <c r="J24" s="100"/>
      <c r="K24" s="100"/>
      <c r="L24" s="100"/>
    </row>
    <row r="25" spans="2:12" ht="15" thickBot="1">
      <c r="B25" s="110" t="s">
        <v>18</v>
      </c>
      <c r="C25" s="111">
        <v>173.90600000000001</v>
      </c>
      <c r="D25" s="115">
        <v>10416</v>
      </c>
      <c r="E25" s="111">
        <v>1.81</v>
      </c>
      <c r="F25" s="112"/>
      <c r="G25" s="100"/>
      <c r="H25" s="100"/>
      <c r="I25" s="100"/>
      <c r="J25" s="100"/>
      <c r="K25" s="100"/>
      <c r="L25" s="100"/>
    </row>
    <row r="26" spans="2:12">
      <c r="B26" s="100"/>
      <c r="C26" s="100"/>
      <c r="D26" s="104"/>
      <c r="E26" s="100"/>
      <c r="F26" s="100"/>
      <c r="G26" s="100"/>
      <c r="H26" s="100"/>
      <c r="I26" s="100"/>
      <c r="J26" s="100"/>
      <c r="K26" s="100"/>
      <c r="L26" s="100"/>
    </row>
    <row r="27" spans="2:12">
      <c r="B27" s="100" t="s">
        <v>75</v>
      </c>
      <c r="C27" s="100"/>
      <c r="D27" s="100"/>
      <c r="E27" s="100"/>
      <c r="F27" s="100"/>
      <c r="G27" s="100"/>
      <c r="H27" s="100"/>
      <c r="I27" s="100"/>
      <c r="J27" s="100"/>
      <c r="K27" s="100"/>
      <c r="L27" s="100"/>
    </row>
    <row r="28" spans="2:12">
      <c r="B28" s="100"/>
      <c r="C28" s="100"/>
      <c r="D28" s="100"/>
      <c r="E28" s="100"/>
      <c r="F28" s="100"/>
      <c r="G28" s="100"/>
      <c r="H28" s="100"/>
      <c r="I28" s="100"/>
      <c r="J28" s="100"/>
      <c r="K28" s="100"/>
      <c r="L28" s="100"/>
    </row>
    <row r="30" spans="2:12" ht="15" thickBot="1"/>
    <row r="31" spans="2:12" ht="15" thickBot="1">
      <c r="B31" s="107" t="s">
        <v>102</v>
      </c>
      <c r="C31" s="107" t="s">
        <v>104</v>
      </c>
      <c r="D31" s="107" t="s">
        <v>106</v>
      </c>
      <c r="E31" s="100" t="s">
        <v>101</v>
      </c>
      <c r="F31" s="100"/>
      <c r="G31" s="100"/>
      <c r="H31" s="100"/>
      <c r="I31" s="100"/>
      <c r="J31" s="100"/>
      <c r="K31" s="100"/>
      <c r="L31" s="100"/>
    </row>
    <row r="32" spans="2:12">
      <c r="B32" s="109" t="s">
        <v>103</v>
      </c>
      <c r="C32" s="109">
        <v>1135</v>
      </c>
      <c r="D32" s="109">
        <f>C32*$C$38/1000</f>
        <v>0.51482691999999997</v>
      </c>
      <c r="E32" s="100"/>
      <c r="F32" s="100"/>
      <c r="G32" s="100"/>
      <c r="H32" s="100"/>
      <c r="I32" s="100"/>
      <c r="J32" s="100"/>
      <c r="K32" s="100"/>
      <c r="L32" s="100"/>
    </row>
    <row r="33" spans="2:12">
      <c r="B33" s="109" t="s">
        <v>12</v>
      </c>
      <c r="C33" s="109">
        <v>2249</v>
      </c>
      <c r="D33" s="109">
        <f>C33*$C$38/1000</f>
        <v>1.0201284079999999</v>
      </c>
      <c r="E33" s="100"/>
      <c r="F33" s="100"/>
      <c r="G33" s="100"/>
      <c r="H33" s="100"/>
      <c r="I33" s="100"/>
      <c r="J33" s="100"/>
      <c r="K33" s="100"/>
      <c r="L33" s="100"/>
    </row>
    <row r="34" spans="2:12">
      <c r="B34" s="109" t="s">
        <v>105</v>
      </c>
      <c r="C34" s="109">
        <v>1672</v>
      </c>
      <c r="D34" s="109">
        <f>C34*$C$38/1000</f>
        <v>0.7584058239999999</v>
      </c>
      <c r="E34" s="100"/>
      <c r="F34" s="100"/>
      <c r="G34" s="100"/>
      <c r="H34" s="100"/>
      <c r="I34" s="100"/>
      <c r="J34" s="100"/>
      <c r="K34" s="100"/>
      <c r="L34" s="100"/>
    </row>
    <row r="35" spans="2:12" ht="15" thickBot="1">
      <c r="B35" s="110" t="s">
        <v>110</v>
      </c>
      <c r="C35" s="110" t="s">
        <v>111</v>
      </c>
      <c r="D35" s="110"/>
      <c r="E35" s="100"/>
      <c r="F35" s="100"/>
      <c r="G35" s="100"/>
      <c r="H35" s="100"/>
      <c r="I35" s="100"/>
      <c r="J35" s="100"/>
      <c r="K35" s="100"/>
      <c r="L35" s="100"/>
    </row>
    <row r="36" spans="2:12">
      <c r="B36" s="100"/>
      <c r="C36" s="100"/>
      <c r="D36" s="100"/>
      <c r="E36" s="100"/>
      <c r="F36" s="100"/>
      <c r="G36" s="100"/>
      <c r="H36" s="100"/>
      <c r="I36" s="100"/>
      <c r="J36" s="100"/>
      <c r="K36" s="100"/>
      <c r="L36" s="100"/>
    </row>
    <row r="37" spans="2:12">
      <c r="B37" s="105" t="s">
        <v>107</v>
      </c>
      <c r="C37" s="105"/>
      <c r="D37" s="100"/>
      <c r="E37" s="100"/>
      <c r="F37" s="100"/>
      <c r="G37" s="100"/>
      <c r="H37" s="100"/>
      <c r="I37" s="100"/>
      <c r="J37" s="100"/>
      <c r="K37" s="100"/>
      <c r="L37" s="100"/>
    </row>
    <row r="38" spans="2:12">
      <c r="B38" s="105" t="s">
        <v>108</v>
      </c>
      <c r="C38" s="101">
        <v>0.453592</v>
      </c>
      <c r="D38" s="100"/>
      <c r="E38" s="100"/>
      <c r="F38" s="100"/>
      <c r="G38" s="100"/>
      <c r="H38" s="100"/>
      <c r="I38" s="100"/>
      <c r="J38" s="100"/>
      <c r="K38" s="100"/>
      <c r="L38" s="100"/>
    </row>
    <row r="39" spans="2:12">
      <c r="B39" s="100"/>
      <c r="C39" s="100"/>
      <c r="D39" s="100"/>
      <c r="E39" s="100"/>
      <c r="F39" s="100"/>
      <c r="G39" s="100"/>
      <c r="H39" s="100"/>
      <c r="I39" s="100"/>
      <c r="J39" s="100"/>
      <c r="K39" s="100"/>
      <c r="L39" s="100"/>
    </row>
    <row r="40" spans="2:12">
      <c r="B40" s="100"/>
      <c r="C40" s="100"/>
      <c r="D40" s="100"/>
      <c r="E40" s="100"/>
      <c r="F40" s="100"/>
      <c r="G40" s="100"/>
      <c r="H40" s="100"/>
      <c r="I40" s="100"/>
      <c r="J40" s="100"/>
      <c r="K40" s="100"/>
      <c r="L40" s="100"/>
    </row>
  </sheetData>
  <mergeCells count="1">
    <mergeCell ref="B1:L1"/>
  </mergeCells>
  <hyperlinks>
    <hyperlink ref="D6" r:id="rId1"/>
    <hyperlink ref="D4" r:id="rId2"/>
    <hyperlink ref="D5" r:id="rId3"/>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61"/>
  <sheetViews>
    <sheetView showGridLines="0" topLeftCell="A3" workbookViewId="0">
      <selection activeCell="T36" sqref="T36"/>
    </sheetView>
  </sheetViews>
  <sheetFormatPr baseColWidth="10" defaultColWidth="8.83203125" defaultRowHeight="14" x14ac:dyDescent="0"/>
  <cols>
    <col min="1" max="1" width="4.6640625" style="98" customWidth="1"/>
    <col min="2" max="16384" width="8.83203125" style="98"/>
  </cols>
  <sheetData>
    <row r="2" spans="2:2">
      <c r="B2" s="98" t="s">
        <v>0</v>
      </c>
    </row>
    <row r="17" spans="4:9">
      <c r="H17"/>
    </row>
    <row r="22" spans="4:9">
      <c r="D22" s="328" t="s">
        <v>275</v>
      </c>
      <c r="E22" s="328"/>
      <c r="F22" s="328"/>
      <c r="G22" s="328"/>
      <c r="H22" s="328"/>
      <c r="I22" s="328"/>
    </row>
    <row r="36" spans="2:2">
      <c r="B36" s="98" t="s">
        <v>274</v>
      </c>
    </row>
    <row r="39" spans="2:2" ht="18" customHeight="1"/>
    <row r="61" spans="2:2">
      <c r="B61" s="98" t="s">
        <v>209</v>
      </c>
    </row>
  </sheetData>
  <mergeCells count="1">
    <mergeCell ref="D22:I22"/>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showGridLines="0" topLeftCell="A22" workbookViewId="0">
      <selection activeCell="E49" sqref="E49"/>
    </sheetView>
  </sheetViews>
  <sheetFormatPr baseColWidth="10" defaultColWidth="8.83203125" defaultRowHeight="14" x14ac:dyDescent="0"/>
  <cols>
    <col min="1" max="1" width="3.5" style="120" customWidth="1"/>
    <col min="2" max="2" width="15.6640625" style="98" customWidth="1"/>
    <col min="3" max="3" width="13.33203125" style="98" customWidth="1"/>
    <col min="4" max="16384" width="8.83203125" style="98"/>
  </cols>
  <sheetData>
    <row r="1" spans="2:22" ht="19" thickBot="1">
      <c r="B1" s="329" t="s">
        <v>203</v>
      </c>
      <c r="C1" s="329"/>
      <c r="D1" s="329"/>
      <c r="E1" s="329"/>
      <c r="F1" s="329"/>
      <c r="G1" s="329"/>
      <c r="H1" s="329"/>
      <c r="I1" s="329"/>
      <c r="J1" s="329"/>
      <c r="K1" s="329"/>
      <c r="L1" s="329"/>
      <c r="M1" s="329"/>
      <c r="N1" s="329"/>
      <c r="O1" s="329"/>
      <c r="P1" s="329"/>
      <c r="Q1" s="329"/>
      <c r="R1" s="329"/>
      <c r="S1" s="329"/>
      <c r="T1" s="329"/>
      <c r="U1" s="329"/>
      <c r="V1" s="329"/>
    </row>
    <row r="2" spans="2:22" ht="15" thickBot="1">
      <c r="B2" s="123" t="s">
        <v>200</v>
      </c>
      <c r="C2" s="124" t="s">
        <v>201</v>
      </c>
      <c r="D2" s="125" t="s">
        <v>202</v>
      </c>
      <c r="E2" s="126"/>
      <c r="F2" s="126"/>
      <c r="G2" s="126"/>
      <c r="H2" s="126"/>
      <c r="I2" s="126"/>
      <c r="J2" s="126"/>
      <c r="K2" s="127"/>
      <c r="L2" s="127"/>
      <c r="M2" s="127"/>
      <c r="N2" s="127"/>
      <c r="O2" s="127"/>
      <c r="P2" s="127"/>
      <c r="Q2" s="127"/>
      <c r="R2" s="127"/>
      <c r="S2" s="127"/>
      <c r="T2" s="127"/>
      <c r="U2" s="127"/>
      <c r="V2" s="128"/>
    </row>
    <row r="3" spans="2:22">
      <c r="B3" s="121" t="s">
        <v>51</v>
      </c>
      <c r="C3" s="109" t="s">
        <v>52</v>
      </c>
      <c r="D3" s="94" t="s">
        <v>53</v>
      </c>
      <c r="E3" s="94"/>
      <c r="F3" s="94"/>
      <c r="G3" s="94"/>
      <c r="H3" s="94"/>
      <c r="I3" s="94"/>
      <c r="J3" s="94"/>
      <c r="K3" s="94"/>
      <c r="L3" s="94"/>
      <c r="M3" s="94"/>
      <c r="N3" s="94"/>
      <c r="O3" s="94"/>
      <c r="P3" s="94"/>
      <c r="Q3" s="94"/>
      <c r="R3" s="94"/>
      <c r="S3" s="94"/>
      <c r="T3" s="94"/>
      <c r="U3" s="94"/>
      <c r="V3" s="103"/>
    </row>
    <row r="4" spans="2:22">
      <c r="B4" s="121" t="s">
        <v>51</v>
      </c>
      <c r="C4" s="109" t="s">
        <v>54</v>
      </c>
      <c r="D4" s="94" t="s">
        <v>55</v>
      </c>
      <c r="E4" s="94"/>
      <c r="F4" s="94"/>
      <c r="G4" s="94"/>
      <c r="H4" s="94"/>
      <c r="I4" s="94"/>
      <c r="J4" s="94"/>
      <c r="K4" s="94"/>
      <c r="L4" s="94"/>
      <c r="M4" s="94"/>
      <c r="N4" s="94"/>
      <c r="O4" s="94"/>
      <c r="P4" s="94"/>
      <c r="Q4" s="94"/>
      <c r="R4" s="94"/>
      <c r="S4" s="94"/>
      <c r="T4" s="94"/>
      <c r="U4" s="94"/>
      <c r="V4" s="103"/>
    </row>
    <row r="5" spans="2:22">
      <c r="B5" s="121" t="s">
        <v>62</v>
      </c>
      <c r="C5" s="109" t="s">
        <v>79</v>
      </c>
      <c r="D5" s="94" t="s">
        <v>63</v>
      </c>
      <c r="E5" s="94"/>
      <c r="F5" s="94"/>
      <c r="G5" s="94"/>
      <c r="H5" s="94"/>
      <c r="I5" s="94"/>
      <c r="J5" s="94"/>
      <c r="K5" s="94"/>
      <c r="L5" s="94"/>
      <c r="M5" s="94"/>
      <c r="N5" s="94"/>
      <c r="O5" s="94"/>
      <c r="P5" s="94"/>
      <c r="Q5" s="94"/>
      <c r="R5" s="94"/>
      <c r="S5" s="94"/>
      <c r="T5" s="94"/>
      <c r="U5" s="94"/>
      <c r="V5" s="103"/>
    </row>
    <row r="6" spans="2:22">
      <c r="B6" s="121" t="s">
        <v>62</v>
      </c>
      <c r="C6" s="109" t="s">
        <v>79</v>
      </c>
      <c r="D6" s="94" t="s">
        <v>64</v>
      </c>
      <c r="E6" s="94"/>
      <c r="F6" s="94"/>
      <c r="G6" s="94"/>
      <c r="H6" s="94"/>
      <c r="I6" s="94"/>
      <c r="J6" s="94"/>
      <c r="K6" s="94"/>
      <c r="L6" s="94"/>
      <c r="M6" s="94"/>
      <c r="N6" s="94"/>
      <c r="O6" s="94"/>
      <c r="P6" s="94"/>
      <c r="Q6" s="94"/>
      <c r="R6" s="94"/>
      <c r="S6" s="94"/>
      <c r="T6" s="94"/>
      <c r="U6" s="94"/>
      <c r="V6" s="103"/>
    </row>
    <row r="7" spans="2:22">
      <c r="B7" s="121" t="s">
        <v>62</v>
      </c>
      <c r="C7" s="109" t="s">
        <v>79</v>
      </c>
      <c r="D7" s="94" t="s">
        <v>65</v>
      </c>
      <c r="E7" s="94"/>
      <c r="F7" s="94"/>
      <c r="G7" s="94"/>
      <c r="H7" s="94"/>
      <c r="I7" s="94"/>
      <c r="J7" s="94"/>
      <c r="K7" s="94"/>
      <c r="L7" s="94"/>
      <c r="M7" s="94"/>
      <c r="N7" s="94"/>
      <c r="O7" s="94"/>
      <c r="P7" s="94"/>
      <c r="Q7" s="94"/>
      <c r="R7" s="94"/>
      <c r="S7" s="94"/>
      <c r="T7" s="94"/>
      <c r="U7" s="94"/>
      <c r="V7" s="103"/>
    </row>
    <row r="8" spans="2:22">
      <c r="B8" s="121" t="s">
        <v>62</v>
      </c>
      <c r="C8" s="109" t="s">
        <v>79</v>
      </c>
      <c r="D8" s="94" t="s">
        <v>68</v>
      </c>
      <c r="E8" s="94"/>
      <c r="F8" s="94"/>
      <c r="G8" s="94"/>
      <c r="H8" s="94"/>
      <c r="I8" s="94"/>
      <c r="J8" s="94"/>
      <c r="K8" s="94"/>
      <c r="L8" s="94"/>
      <c r="M8" s="94"/>
      <c r="N8" s="94"/>
      <c r="O8" s="94"/>
      <c r="P8" s="94"/>
      <c r="Q8" s="94"/>
      <c r="R8" s="94"/>
      <c r="S8" s="94"/>
      <c r="T8" s="94"/>
      <c r="U8" s="94"/>
      <c r="V8" s="103"/>
    </row>
    <row r="9" spans="2:22">
      <c r="B9" s="121" t="s">
        <v>62</v>
      </c>
      <c r="C9" s="109" t="s">
        <v>79</v>
      </c>
      <c r="D9" s="94" t="s">
        <v>72</v>
      </c>
      <c r="E9" s="94"/>
      <c r="F9" s="94"/>
      <c r="G9" s="94"/>
      <c r="H9" s="94"/>
      <c r="I9" s="94"/>
      <c r="J9" s="94"/>
      <c r="K9" s="94"/>
      <c r="L9" s="94"/>
      <c r="M9" s="94"/>
      <c r="N9" s="94"/>
      <c r="O9" s="94"/>
      <c r="P9" s="94"/>
      <c r="Q9" s="94"/>
      <c r="R9" s="94"/>
      <c r="S9" s="94"/>
      <c r="T9" s="94"/>
      <c r="U9" s="94"/>
      <c r="V9" s="103"/>
    </row>
    <row r="10" spans="2:22">
      <c r="B10" s="121" t="s">
        <v>62</v>
      </c>
      <c r="C10" s="109" t="s">
        <v>79</v>
      </c>
      <c r="D10" s="122" t="s">
        <v>83</v>
      </c>
      <c r="E10" s="94"/>
      <c r="F10" s="94"/>
      <c r="G10" s="94"/>
      <c r="H10" s="94"/>
      <c r="I10" s="94"/>
      <c r="J10" s="94"/>
      <c r="K10" s="94"/>
      <c r="L10" s="94"/>
      <c r="M10" s="94"/>
      <c r="N10" s="94"/>
      <c r="O10" s="94"/>
      <c r="P10" s="94"/>
      <c r="Q10" s="94"/>
      <c r="R10" s="94"/>
      <c r="S10" s="94"/>
      <c r="T10" s="94"/>
      <c r="U10" s="94"/>
      <c r="V10" s="103"/>
    </row>
    <row r="11" spans="2:22">
      <c r="B11" s="121" t="s">
        <v>62</v>
      </c>
      <c r="C11" s="109" t="s">
        <v>79</v>
      </c>
      <c r="D11" s="94" t="s">
        <v>78</v>
      </c>
      <c r="E11" s="94"/>
      <c r="F11" s="94"/>
      <c r="G11" s="94"/>
      <c r="H11" s="94"/>
      <c r="I11" s="94"/>
      <c r="J11" s="94"/>
      <c r="K11" s="94"/>
      <c r="L11" s="94"/>
      <c r="M11" s="94"/>
      <c r="N11" s="94"/>
      <c r="O11" s="94"/>
      <c r="P11" s="94"/>
      <c r="Q11" s="94"/>
      <c r="R11" s="94"/>
      <c r="S11" s="94"/>
      <c r="T11" s="94"/>
      <c r="U11" s="94"/>
      <c r="V11" s="103"/>
    </row>
    <row r="12" spans="2:22">
      <c r="B12" s="121" t="s">
        <v>62</v>
      </c>
      <c r="C12" s="109" t="s">
        <v>82</v>
      </c>
      <c r="D12" s="94" t="s">
        <v>122</v>
      </c>
      <c r="E12" s="94"/>
      <c r="F12" s="94"/>
      <c r="G12" s="94"/>
      <c r="H12" s="94"/>
      <c r="I12" s="94"/>
      <c r="J12" s="94"/>
      <c r="K12" s="94"/>
      <c r="L12" s="94"/>
      <c r="M12" s="94"/>
      <c r="N12" s="94"/>
      <c r="O12" s="94"/>
      <c r="P12" s="94"/>
      <c r="Q12" s="94"/>
      <c r="R12" s="94"/>
      <c r="S12" s="94"/>
      <c r="T12" s="94"/>
      <c r="U12" s="94"/>
      <c r="V12" s="103"/>
    </row>
    <row r="13" spans="2:22">
      <c r="B13" s="121" t="s">
        <v>62</v>
      </c>
      <c r="C13" s="109" t="s">
        <v>82</v>
      </c>
      <c r="D13" s="94" t="s">
        <v>123</v>
      </c>
      <c r="E13" s="94"/>
      <c r="F13" s="94"/>
      <c r="G13" s="94"/>
      <c r="H13" s="94"/>
      <c r="I13" s="94"/>
      <c r="J13" s="94"/>
      <c r="K13" s="94"/>
      <c r="L13" s="94"/>
      <c r="M13" s="94"/>
      <c r="N13" s="94"/>
      <c r="O13" s="94"/>
      <c r="P13" s="94"/>
      <c r="Q13" s="94"/>
      <c r="R13" s="94"/>
      <c r="S13" s="94"/>
      <c r="T13" s="94"/>
      <c r="U13" s="94"/>
      <c r="V13" s="103"/>
    </row>
    <row r="14" spans="2:22">
      <c r="B14" s="121" t="s">
        <v>62</v>
      </c>
      <c r="C14" s="109" t="s">
        <v>82</v>
      </c>
      <c r="D14" s="94" t="s">
        <v>124</v>
      </c>
      <c r="E14" s="94"/>
      <c r="F14" s="94"/>
      <c r="G14" s="94"/>
      <c r="H14" s="94"/>
      <c r="I14" s="94"/>
      <c r="J14" s="94"/>
      <c r="K14" s="94"/>
      <c r="L14" s="94"/>
      <c r="M14" s="94"/>
      <c r="N14" s="94"/>
      <c r="O14" s="94"/>
      <c r="P14" s="94"/>
      <c r="Q14" s="94"/>
      <c r="R14" s="94"/>
      <c r="S14" s="94"/>
      <c r="T14" s="94"/>
      <c r="U14" s="94"/>
      <c r="V14" s="103"/>
    </row>
    <row r="15" spans="2:22">
      <c r="B15" s="121" t="s">
        <v>62</v>
      </c>
      <c r="C15" s="109" t="s">
        <v>82</v>
      </c>
      <c r="D15" s="94" t="s">
        <v>126</v>
      </c>
      <c r="E15" s="94"/>
      <c r="F15" s="94"/>
      <c r="G15" s="94"/>
      <c r="H15" s="94"/>
      <c r="I15" s="94"/>
      <c r="J15" s="94"/>
      <c r="K15" s="94"/>
      <c r="L15" s="94"/>
      <c r="M15" s="94"/>
      <c r="N15" s="94"/>
      <c r="O15" s="94"/>
      <c r="P15" s="94"/>
      <c r="Q15" s="94"/>
      <c r="R15" s="94"/>
      <c r="S15" s="94"/>
      <c r="T15" s="94"/>
      <c r="U15" s="94"/>
      <c r="V15" s="103"/>
    </row>
    <row r="16" spans="2:22">
      <c r="B16" s="121" t="s">
        <v>62</v>
      </c>
      <c r="C16" s="109" t="s">
        <v>82</v>
      </c>
      <c r="D16" s="94" t="s">
        <v>125</v>
      </c>
      <c r="E16" s="94"/>
      <c r="F16" s="94"/>
      <c r="G16" s="94"/>
      <c r="H16" s="94"/>
      <c r="I16" s="94"/>
      <c r="J16" s="94"/>
      <c r="K16" s="94"/>
      <c r="L16" s="94"/>
      <c r="M16" s="94"/>
      <c r="N16" s="94"/>
      <c r="O16" s="94"/>
      <c r="P16" s="94"/>
      <c r="Q16" s="94"/>
      <c r="R16" s="94"/>
      <c r="S16" s="94"/>
      <c r="T16" s="94"/>
      <c r="U16" s="94"/>
      <c r="V16" s="103"/>
    </row>
    <row r="17" spans="2:22">
      <c r="B17" s="121" t="s">
        <v>62</v>
      </c>
      <c r="C17" s="109" t="s">
        <v>82</v>
      </c>
      <c r="D17" s="94" t="s">
        <v>84</v>
      </c>
      <c r="E17" s="94"/>
      <c r="F17" s="94"/>
      <c r="G17" s="94"/>
      <c r="H17" s="94"/>
      <c r="I17" s="94"/>
      <c r="J17" s="94"/>
      <c r="K17" s="94"/>
      <c r="L17" s="94"/>
      <c r="M17" s="94"/>
      <c r="N17" s="94"/>
      <c r="O17" s="94"/>
      <c r="P17" s="94"/>
      <c r="Q17" s="94"/>
      <c r="R17" s="94"/>
      <c r="S17" s="94"/>
      <c r="T17" s="94"/>
      <c r="U17" s="94"/>
      <c r="V17" s="103"/>
    </row>
    <row r="18" spans="2:22">
      <c r="B18" s="121" t="s">
        <v>51</v>
      </c>
      <c r="C18" s="109" t="s">
        <v>87</v>
      </c>
      <c r="D18" s="94" t="s">
        <v>88</v>
      </c>
      <c r="E18" s="94"/>
      <c r="F18" s="94"/>
      <c r="G18" s="94"/>
      <c r="H18" s="94"/>
      <c r="I18" s="94"/>
      <c r="J18" s="94"/>
      <c r="K18" s="94"/>
      <c r="L18" s="94"/>
      <c r="M18" s="94"/>
      <c r="N18" s="94"/>
      <c r="O18" s="94"/>
      <c r="P18" s="94"/>
      <c r="Q18" s="94"/>
      <c r="R18" s="94"/>
      <c r="S18" s="94"/>
      <c r="T18" s="94"/>
      <c r="U18" s="94"/>
      <c r="V18" s="103"/>
    </row>
    <row r="19" spans="2:22">
      <c r="B19" s="121" t="s">
        <v>89</v>
      </c>
      <c r="C19" s="109" t="s">
        <v>116</v>
      </c>
      <c r="D19" s="94" t="s">
        <v>115</v>
      </c>
      <c r="E19" s="94"/>
      <c r="F19" s="94"/>
      <c r="G19" s="94"/>
      <c r="H19" s="94"/>
      <c r="I19" s="94"/>
      <c r="J19" s="94"/>
      <c r="K19" s="94"/>
      <c r="L19" s="94"/>
      <c r="M19" s="94"/>
      <c r="N19" s="94"/>
      <c r="O19" s="94"/>
      <c r="P19" s="94"/>
      <c r="Q19" s="94"/>
      <c r="R19" s="94"/>
      <c r="S19" s="94"/>
      <c r="T19" s="94"/>
      <c r="U19" s="94"/>
      <c r="V19" s="103"/>
    </row>
    <row r="20" spans="2:22">
      <c r="B20" s="121" t="s">
        <v>62</v>
      </c>
      <c r="C20" s="109" t="s">
        <v>128</v>
      </c>
      <c r="D20" s="94" t="s">
        <v>129</v>
      </c>
      <c r="E20" s="94"/>
      <c r="F20" s="94"/>
      <c r="G20" s="94"/>
      <c r="H20" s="94"/>
      <c r="I20" s="94"/>
      <c r="J20" s="94"/>
      <c r="K20" s="94"/>
      <c r="L20" s="94"/>
      <c r="M20" s="94"/>
      <c r="N20" s="94"/>
      <c r="O20" s="94"/>
      <c r="P20" s="94"/>
      <c r="Q20" s="94"/>
      <c r="R20" s="94"/>
      <c r="S20" s="94"/>
      <c r="T20" s="94"/>
      <c r="U20" s="94"/>
      <c r="V20" s="103"/>
    </row>
    <row r="21" spans="2:22">
      <c r="B21" s="121" t="s">
        <v>62</v>
      </c>
      <c r="C21" s="109" t="s">
        <v>128</v>
      </c>
      <c r="D21" s="94" t="s">
        <v>130</v>
      </c>
      <c r="E21" s="94"/>
      <c r="F21" s="94"/>
      <c r="G21" s="94"/>
      <c r="H21" s="94"/>
      <c r="I21" s="94"/>
      <c r="J21" s="94"/>
      <c r="K21" s="94"/>
      <c r="L21" s="94"/>
      <c r="M21" s="94"/>
      <c r="N21" s="94"/>
      <c r="O21" s="94"/>
      <c r="P21" s="94"/>
      <c r="Q21" s="94"/>
      <c r="R21" s="94"/>
      <c r="S21" s="94"/>
      <c r="T21" s="94"/>
      <c r="U21" s="94"/>
      <c r="V21" s="103"/>
    </row>
    <row r="22" spans="2:22">
      <c r="B22" s="121" t="s">
        <v>62</v>
      </c>
      <c r="C22" s="109" t="s">
        <v>128</v>
      </c>
      <c r="D22" s="94" t="s">
        <v>132</v>
      </c>
      <c r="E22" s="94"/>
      <c r="F22" s="94"/>
      <c r="G22" s="94"/>
      <c r="H22" s="94"/>
      <c r="I22" s="94"/>
      <c r="J22" s="94"/>
      <c r="K22" s="94"/>
      <c r="L22" s="94"/>
      <c r="M22" s="94"/>
      <c r="N22" s="94"/>
      <c r="O22" s="94"/>
      <c r="P22" s="94"/>
      <c r="Q22" s="94"/>
      <c r="R22" s="94"/>
      <c r="S22" s="94"/>
      <c r="T22" s="94"/>
      <c r="U22" s="94"/>
      <c r="V22" s="103"/>
    </row>
    <row r="23" spans="2:22">
      <c r="B23" s="121" t="s">
        <v>62</v>
      </c>
      <c r="C23" s="109" t="s">
        <v>128</v>
      </c>
      <c r="D23" s="94" t="s">
        <v>133</v>
      </c>
      <c r="E23" s="94"/>
      <c r="F23" s="94"/>
      <c r="G23" s="94"/>
      <c r="H23" s="94"/>
      <c r="I23" s="94"/>
      <c r="J23" s="94"/>
      <c r="K23" s="94"/>
      <c r="L23" s="94"/>
      <c r="M23" s="94"/>
      <c r="N23" s="94"/>
      <c r="O23" s="94"/>
      <c r="P23" s="94"/>
      <c r="Q23" s="94"/>
      <c r="R23" s="94"/>
      <c r="S23" s="94"/>
      <c r="T23" s="94"/>
      <c r="U23" s="94"/>
      <c r="V23" s="103"/>
    </row>
    <row r="24" spans="2:22">
      <c r="B24" s="121" t="s">
        <v>62</v>
      </c>
      <c r="C24" s="109" t="s">
        <v>128</v>
      </c>
      <c r="D24" s="94" t="s">
        <v>135</v>
      </c>
      <c r="E24" s="94"/>
      <c r="F24" s="94"/>
      <c r="G24" s="94"/>
      <c r="H24" s="94"/>
      <c r="I24" s="94"/>
      <c r="J24" s="94"/>
      <c r="K24" s="94"/>
      <c r="L24" s="94"/>
      <c r="M24" s="94"/>
      <c r="N24" s="94"/>
      <c r="O24" s="94"/>
      <c r="P24" s="94"/>
      <c r="Q24" s="94"/>
      <c r="R24" s="94"/>
      <c r="S24" s="94"/>
      <c r="T24" s="94"/>
      <c r="U24" s="94"/>
      <c r="V24" s="103"/>
    </row>
    <row r="25" spans="2:22">
      <c r="B25" s="121" t="s">
        <v>62</v>
      </c>
      <c r="C25" s="109" t="s">
        <v>128</v>
      </c>
      <c r="D25" s="94" t="s">
        <v>136</v>
      </c>
      <c r="E25" s="94"/>
      <c r="F25" s="94"/>
      <c r="G25" s="94"/>
      <c r="H25" s="94"/>
      <c r="I25" s="94"/>
      <c r="J25" s="94"/>
      <c r="K25" s="94"/>
      <c r="L25" s="94"/>
      <c r="M25" s="94"/>
      <c r="N25" s="94"/>
      <c r="O25" s="94"/>
      <c r="P25" s="94"/>
      <c r="Q25" s="94"/>
      <c r="R25" s="94"/>
      <c r="S25" s="94"/>
      <c r="T25" s="94"/>
      <c r="U25" s="94"/>
      <c r="V25" s="103"/>
    </row>
    <row r="26" spans="2:22">
      <c r="B26" s="121" t="s">
        <v>62</v>
      </c>
      <c r="C26" s="109" t="s">
        <v>128</v>
      </c>
      <c r="D26" s="94" t="s">
        <v>137</v>
      </c>
      <c r="E26" s="94"/>
      <c r="F26" s="94"/>
      <c r="G26" s="94"/>
      <c r="H26" s="94"/>
      <c r="I26" s="94"/>
      <c r="J26" s="94"/>
      <c r="K26" s="94"/>
      <c r="L26" s="94"/>
      <c r="M26" s="94"/>
      <c r="N26" s="94"/>
      <c r="O26" s="94"/>
      <c r="P26" s="94"/>
      <c r="Q26" s="94"/>
      <c r="R26" s="94"/>
      <c r="S26" s="94"/>
      <c r="T26" s="94"/>
      <c r="U26" s="94"/>
      <c r="V26" s="103"/>
    </row>
    <row r="27" spans="2:22">
      <c r="B27" s="121" t="s">
        <v>62</v>
      </c>
      <c r="C27" s="109" t="s">
        <v>138</v>
      </c>
      <c r="D27" s="94" t="s">
        <v>140</v>
      </c>
      <c r="E27" s="94"/>
      <c r="F27" s="94"/>
      <c r="G27" s="94"/>
      <c r="H27" s="94"/>
      <c r="I27" s="94"/>
      <c r="J27" s="94"/>
      <c r="K27" s="94"/>
      <c r="L27" s="94"/>
      <c r="M27" s="94"/>
      <c r="N27" s="94"/>
      <c r="O27" s="94"/>
      <c r="P27" s="94"/>
      <c r="Q27" s="94"/>
      <c r="R27" s="94"/>
      <c r="S27" s="94"/>
      <c r="T27" s="94"/>
      <c r="U27" s="94"/>
      <c r="V27" s="103"/>
    </row>
    <row r="28" spans="2:22">
      <c r="B28" s="121" t="s">
        <v>62</v>
      </c>
      <c r="C28" s="109" t="s">
        <v>138</v>
      </c>
      <c r="D28" s="94" t="s">
        <v>139</v>
      </c>
      <c r="E28" s="94"/>
      <c r="F28" s="94"/>
      <c r="G28" s="94"/>
      <c r="H28" s="94"/>
      <c r="I28" s="94"/>
      <c r="J28" s="94"/>
      <c r="K28" s="94"/>
      <c r="L28" s="94"/>
      <c r="M28" s="94"/>
      <c r="N28" s="94"/>
      <c r="O28" s="94"/>
      <c r="P28" s="94"/>
      <c r="Q28" s="94"/>
      <c r="R28" s="94"/>
      <c r="S28" s="94"/>
      <c r="T28" s="94"/>
      <c r="U28" s="94"/>
      <c r="V28" s="103"/>
    </row>
    <row r="29" spans="2:22">
      <c r="B29" s="121" t="s">
        <v>62</v>
      </c>
      <c r="C29" s="109" t="s">
        <v>141</v>
      </c>
      <c r="D29" s="94" t="s">
        <v>143</v>
      </c>
      <c r="E29" s="94"/>
      <c r="F29" s="94"/>
      <c r="G29" s="94"/>
      <c r="H29" s="94"/>
      <c r="I29" s="94"/>
      <c r="J29" s="94"/>
      <c r="K29" s="94"/>
      <c r="L29" s="94"/>
      <c r="M29" s="94"/>
      <c r="N29" s="94"/>
      <c r="O29" s="94"/>
      <c r="P29" s="94"/>
      <c r="Q29" s="94"/>
      <c r="R29" s="94"/>
      <c r="S29" s="94"/>
      <c r="T29" s="94"/>
      <c r="U29" s="94"/>
      <c r="V29" s="103"/>
    </row>
    <row r="30" spans="2:22">
      <c r="B30" s="121" t="s">
        <v>62</v>
      </c>
      <c r="C30" s="109" t="s">
        <v>141</v>
      </c>
      <c r="D30" s="94" t="s">
        <v>142</v>
      </c>
      <c r="E30" s="94"/>
      <c r="F30" s="94"/>
      <c r="G30" s="94"/>
      <c r="H30" s="94"/>
      <c r="I30" s="94"/>
      <c r="J30" s="94"/>
      <c r="K30" s="94"/>
      <c r="L30" s="94"/>
      <c r="M30" s="94"/>
      <c r="N30" s="94"/>
      <c r="O30" s="94"/>
      <c r="P30" s="94"/>
      <c r="Q30" s="94"/>
      <c r="R30" s="94"/>
      <c r="S30" s="94"/>
      <c r="T30" s="94"/>
      <c r="U30" s="94"/>
      <c r="V30" s="103"/>
    </row>
    <row r="31" spans="2:22">
      <c r="B31" s="121" t="s">
        <v>51</v>
      </c>
      <c r="C31" s="109" t="s">
        <v>144</v>
      </c>
      <c r="D31" s="94" t="s">
        <v>145</v>
      </c>
      <c r="E31" s="94"/>
      <c r="F31" s="94"/>
      <c r="G31" s="94"/>
      <c r="H31" s="94"/>
      <c r="I31" s="94"/>
      <c r="J31" s="94"/>
      <c r="K31" s="94"/>
      <c r="L31" s="94"/>
      <c r="M31" s="94"/>
      <c r="N31" s="94"/>
      <c r="O31" s="94"/>
      <c r="P31" s="94"/>
      <c r="Q31" s="94"/>
      <c r="R31" s="94"/>
      <c r="S31" s="94"/>
      <c r="T31" s="94"/>
      <c r="U31" s="94"/>
      <c r="V31" s="103"/>
    </row>
    <row r="32" spans="2:22">
      <c r="B32" s="121" t="s">
        <v>51</v>
      </c>
      <c r="C32" s="109" t="s">
        <v>144</v>
      </c>
      <c r="D32" s="94" t="s">
        <v>146</v>
      </c>
      <c r="E32" s="94"/>
      <c r="F32" s="94"/>
      <c r="G32" s="94"/>
      <c r="H32" s="94"/>
      <c r="I32" s="94"/>
      <c r="J32" s="94"/>
      <c r="K32" s="94"/>
      <c r="L32" s="94"/>
      <c r="M32" s="94"/>
      <c r="N32" s="94"/>
      <c r="O32" s="94"/>
      <c r="P32" s="94"/>
      <c r="Q32" s="94"/>
      <c r="R32" s="94"/>
      <c r="S32" s="94"/>
      <c r="T32" s="94"/>
      <c r="U32" s="94"/>
      <c r="V32" s="103"/>
    </row>
    <row r="33" spans="2:22">
      <c r="B33" s="121" t="s">
        <v>89</v>
      </c>
      <c r="C33" s="109" t="s">
        <v>148</v>
      </c>
      <c r="D33" s="94" t="s">
        <v>147</v>
      </c>
      <c r="E33" s="94"/>
      <c r="F33" s="94"/>
      <c r="G33" s="94"/>
      <c r="H33" s="94"/>
      <c r="I33" s="94"/>
      <c r="J33" s="94"/>
      <c r="K33" s="94"/>
      <c r="L33" s="94"/>
      <c r="M33" s="94"/>
      <c r="N33" s="94"/>
      <c r="O33" s="94"/>
      <c r="P33" s="94"/>
      <c r="Q33" s="94"/>
      <c r="R33" s="94"/>
      <c r="S33" s="94"/>
      <c r="T33" s="94"/>
      <c r="U33" s="94"/>
      <c r="V33" s="103"/>
    </row>
    <row r="34" spans="2:22">
      <c r="B34" s="121" t="s">
        <v>89</v>
      </c>
      <c r="C34" s="109" t="s">
        <v>171</v>
      </c>
      <c r="D34" s="94" t="s">
        <v>153</v>
      </c>
      <c r="E34" s="94"/>
      <c r="F34" s="94"/>
      <c r="G34" s="94"/>
      <c r="H34" s="94"/>
      <c r="I34" s="94"/>
      <c r="J34" s="94"/>
      <c r="K34" s="94"/>
      <c r="L34" s="94"/>
      <c r="M34" s="94"/>
      <c r="N34" s="94"/>
      <c r="O34" s="94"/>
      <c r="P34" s="94"/>
      <c r="Q34" s="94"/>
      <c r="R34" s="94"/>
      <c r="S34" s="94"/>
      <c r="T34" s="94"/>
      <c r="U34" s="94"/>
      <c r="V34" s="103"/>
    </row>
    <row r="35" spans="2:22">
      <c r="B35" s="121" t="s">
        <v>89</v>
      </c>
      <c r="C35" s="109" t="s">
        <v>171</v>
      </c>
      <c r="D35" s="94" t="s">
        <v>155</v>
      </c>
      <c r="E35" s="94"/>
      <c r="F35" s="94"/>
      <c r="G35" s="94"/>
      <c r="H35" s="94"/>
      <c r="I35" s="94"/>
      <c r="J35" s="94"/>
      <c r="K35" s="94"/>
      <c r="L35" s="94"/>
      <c r="M35" s="94"/>
      <c r="N35" s="94"/>
      <c r="O35" s="94"/>
      <c r="P35" s="94"/>
      <c r="Q35" s="94"/>
      <c r="R35" s="94"/>
      <c r="S35" s="94"/>
      <c r="T35" s="94"/>
      <c r="U35" s="94"/>
      <c r="V35" s="103"/>
    </row>
    <row r="36" spans="2:22">
      <c r="B36" s="121" t="s">
        <v>89</v>
      </c>
      <c r="C36" s="109" t="s">
        <v>171</v>
      </c>
      <c r="D36" s="94" t="s">
        <v>170</v>
      </c>
      <c r="E36" s="94"/>
      <c r="F36" s="94"/>
      <c r="G36" s="94"/>
      <c r="H36" s="94"/>
      <c r="I36" s="94"/>
      <c r="J36" s="94"/>
      <c r="K36" s="94"/>
      <c r="L36" s="94"/>
      <c r="M36" s="94"/>
      <c r="N36" s="94"/>
      <c r="O36" s="94"/>
      <c r="P36" s="94"/>
      <c r="Q36" s="94"/>
      <c r="R36" s="94"/>
      <c r="S36" s="94"/>
      <c r="T36" s="94"/>
      <c r="U36" s="94"/>
      <c r="V36" s="103"/>
    </row>
    <row r="37" spans="2:22">
      <c r="B37" s="121" t="s">
        <v>62</v>
      </c>
      <c r="C37" s="109" t="s">
        <v>172</v>
      </c>
      <c r="D37" s="94" t="s">
        <v>174</v>
      </c>
      <c r="E37" s="94"/>
      <c r="F37" s="94"/>
      <c r="G37" s="94"/>
      <c r="H37" s="94"/>
      <c r="I37" s="94"/>
      <c r="J37" s="94"/>
      <c r="K37" s="94"/>
      <c r="L37" s="94"/>
      <c r="M37" s="94"/>
      <c r="N37" s="94"/>
      <c r="O37" s="94"/>
      <c r="P37" s="94"/>
      <c r="Q37" s="94"/>
      <c r="R37" s="94"/>
      <c r="S37" s="94"/>
      <c r="T37" s="94"/>
      <c r="U37" s="94"/>
      <c r="V37" s="103"/>
    </row>
    <row r="38" spans="2:22">
      <c r="B38" s="121" t="s">
        <v>62</v>
      </c>
      <c r="C38" s="109" t="s">
        <v>172</v>
      </c>
      <c r="D38" s="94" t="s">
        <v>173</v>
      </c>
      <c r="E38" s="94"/>
      <c r="F38" s="94"/>
      <c r="G38" s="94"/>
      <c r="H38" s="94"/>
      <c r="I38" s="94"/>
      <c r="J38" s="94"/>
      <c r="K38" s="94"/>
      <c r="L38" s="94"/>
      <c r="M38" s="94"/>
      <c r="N38" s="94"/>
      <c r="O38" s="94"/>
      <c r="P38" s="94"/>
      <c r="Q38" s="94"/>
      <c r="R38" s="94"/>
      <c r="S38" s="94"/>
      <c r="T38" s="94"/>
      <c r="U38" s="94"/>
      <c r="V38" s="103"/>
    </row>
    <row r="39" spans="2:22">
      <c r="B39" s="121" t="s">
        <v>62</v>
      </c>
      <c r="C39" s="109" t="s">
        <v>172</v>
      </c>
      <c r="D39" s="94" t="s">
        <v>199</v>
      </c>
      <c r="E39" s="94"/>
      <c r="F39" s="94"/>
      <c r="G39" s="94"/>
      <c r="H39" s="94"/>
      <c r="I39" s="94"/>
      <c r="J39" s="94"/>
      <c r="K39" s="94"/>
      <c r="L39" s="94"/>
      <c r="M39" s="94"/>
      <c r="N39" s="94"/>
      <c r="O39" s="94"/>
      <c r="P39" s="94"/>
      <c r="Q39" s="94"/>
      <c r="R39" s="94"/>
      <c r="S39" s="94"/>
      <c r="T39" s="94"/>
      <c r="U39" s="94"/>
      <c r="V39" s="103"/>
    </row>
    <row r="40" spans="2:22">
      <c r="B40" s="121" t="s">
        <v>62</v>
      </c>
      <c r="C40" s="109" t="s">
        <v>172</v>
      </c>
      <c r="D40" s="94" t="s">
        <v>233</v>
      </c>
      <c r="E40" s="94"/>
      <c r="F40" s="94"/>
      <c r="G40" s="94"/>
      <c r="H40" s="94"/>
      <c r="I40" s="94"/>
      <c r="J40" s="94"/>
      <c r="K40" s="94"/>
      <c r="L40" s="94"/>
      <c r="M40" s="94"/>
      <c r="N40" s="94"/>
      <c r="O40" s="94"/>
      <c r="P40" s="94"/>
      <c r="Q40" s="94"/>
      <c r="R40" s="94"/>
      <c r="S40" s="94"/>
      <c r="T40" s="94"/>
      <c r="U40" s="94"/>
      <c r="V40" s="103"/>
    </row>
    <row r="41" spans="2:22">
      <c r="B41" s="121" t="s">
        <v>62</v>
      </c>
      <c r="C41" s="109" t="s">
        <v>271</v>
      </c>
      <c r="D41" s="94" t="s">
        <v>272</v>
      </c>
      <c r="E41" s="94"/>
      <c r="F41" s="94"/>
      <c r="G41" s="94"/>
      <c r="H41" s="94"/>
      <c r="I41" s="94"/>
      <c r="J41" s="94"/>
      <c r="K41" s="94"/>
      <c r="L41" s="94"/>
      <c r="M41" s="94"/>
      <c r="N41" s="94"/>
      <c r="O41" s="94"/>
      <c r="P41" s="94"/>
      <c r="Q41" s="94"/>
      <c r="R41" s="94"/>
      <c r="S41" s="94"/>
      <c r="T41" s="94"/>
      <c r="U41" s="94"/>
      <c r="V41" s="103"/>
    </row>
    <row r="42" spans="2:22">
      <c r="B42" s="121" t="s">
        <v>62</v>
      </c>
      <c r="C42" s="109" t="s">
        <v>271</v>
      </c>
      <c r="D42" s="94" t="s">
        <v>273</v>
      </c>
      <c r="E42" s="94"/>
      <c r="F42" s="94"/>
      <c r="G42" s="94"/>
      <c r="H42" s="94"/>
      <c r="I42" s="94"/>
      <c r="J42" s="94"/>
      <c r="K42" s="94"/>
      <c r="L42" s="94"/>
      <c r="M42" s="94"/>
      <c r="N42" s="94"/>
      <c r="O42" s="94"/>
      <c r="P42" s="94"/>
      <c r="Q42" s="94"/>
      <c r="R42" s="94"/>
      <c r="S42" s="94"/>
      <c r="T42" s="94"/>
      <c r="U42" s="94"/>
      <c r="V42" s="103"/>
    </row>
    <row r="43" spans="2:22">
      <c r="B43" s="109" t="s">
        <v>62</v>
      </c>
      <c r="C43" s="109" t="s">
        <v>271</v>
      </c>
      <c r="D43" s="121" t="s">
        <v>279</v>
      </c>
      <c r="E43" s="94"/>
      <c r="F43" s="94"/>
      <c r="G43" s="94"/>
      <c r="H43" s="94"/>
      <c r="I43" s="94"/>
      <c r="J43" s="94"/>
      <c r="K43" s="94"/>
      <c r="L43" s="94"/>
      <c r="M43" s="94"/>
      <c r="N43" s="94"/>
      <c r="O43" s="94"/>
      <c r="P43" s="94"/>
      <c r="Q43" s="94"/>
      <c r="R43" s="94"/>
      <c r="S43" s="94"/>
      <c r="T43" s="94"/>
      <c r="U43" s="94"/>
      <c r="V43" s="103"/>
    </row>
    <row r="44" spans="2:22">
      <c r="B44" s="109" t="s">
        <v>62</v>
      </c>
      <c r="C44" s="109" t="s">
        <v>271</v>
      </c>
      <c r="D44" s="121" t="s">
        <v>278</v>
      </c>
      <c r="E44" s="94"/>
      <c r="F44" s="94"/>
      <c r="G44" s="94"/>
      <c r="H44" s="94"/>
      <c r="I44" s="94"/>
      <c r="J44" s="94"/>
      <c r="K44" s="94"/>
      <c r="L44" s="94"/>
      <c r="M44" s="94"/>
      <c r="N44" s="94"/>
      <c r="O44" s="94"/>
      <c r="P44" s="94"/>
      <c r="Q44" s="94"/>
      <c r="R44" s="94"/>
      <c r="S44" s="94"/>
      <c r="T44" s="94"/>
      <c r="U44" s="94"/>
      <c r="V44" s="103"/>
    </row>
    <row r="45" spans="2:22" ht="15" thickBot="1">
      <c r="B45" s="110" t="s">
        <v>62</v>
      </c>
      <c r="C45" s="110" t="s">
        <v>271</v>
      </c>
      <c r="D45" s="91" t="s">
        <v>280</v>
      </c>
      <c r="E45" s="111"/>
      <c r="F45" s="111"/>
      <c r="G45" s="111"/>
      <c r="H45" s="111"/>
      <c r="I45" s="111"/>
      <c r="J45" s="111"/>
      <c r="K45" s="111"/>
      <c r="L45" s="111"/>
      <c r="M45" s="111"/>
      <c r="N45" s="111"/>
      <c r="O45" s="111"/>
      <c r="P45" s="111"/>
      <c r="Q45" s="111"/>
      <c r="R45" s="111"/>
      <c r="S45" s="111"/>
      <c r="T45" s="111"/>
      <c r="U45" s="111"/>
      <c r="V45" s="112"/>
    </row>
    <row r="46" spans="2:22">
      <c r="B46" s="98" t="s">
        <v>89</v>
      </c>
      <c r="C46" s="98" t="s">
        <v>292</v>
      </c>
      <c r="D46" s="98" t="s">
        <v>326</v>
      </c>
    </row>
    <row r="47" spans="2:22">
      <c r="B47" s="98" t="s">
        <v>89</v>
      </c>
      <c r="C47" s="98" t="s">
        <v>292</v>
      </c>
      <c r="D47" s="98" t="s">
        <v>327</v>
      </c>
    </row>
    <row r="48" spans="2:22">
      <c r="B48" s="98" t="s">
        <v>89</v>
      </c>
      <c r="C48" s="98" t="s">
        <v>292</v>
      </c>
      <c r="D48" s="98" t="s">
        <v>329</v>
      </c>
    </row>
  </sheetData>
  <mergeCells count="1">
    <mergeCell ref="B1:V1"/>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election activeCell="F10" sqref="F10"/>
    </sheetView>
  </sheetViews>
  <sheetFormatPr baseColWidth="10" defaultColWidth="8.83203125" defaultRowHeight="14" x14ac:dyDescent="0"/>
  <cols>
    <col min="1" max="1" width="34.5" style="2" customWidth="1"/>
    <col min="2" max="2" width="16" style="1" customWidth="1"/>
    <col min="3" max="6" width="12.6640625" style="1" customWidth="1"/>
    <col min="7" max="8" width="12.6640625" style="5" customWidth="1"/>
    <col min="9" max="9" width="21" style="2" customWidth="1"/>
    <col min="10" max="10" width="18.6640625" style="2" customWidth="1"/>
    <col min="11" max="16384" width="8.83203125" style="2"/>
  </cols>
  <sheetData>
    <row r="1" spans="1:10">
      <c r="A1" s="4"/>
    </row>
    <row r="2" spans="1:10">
      <c r="A2" s="4"/>
    </row>
    <row r="3" spans="1:10" ht="28">
      <c r="A3" s="4" t="s">
        <v>46</v>
      </c>
      <c r="B3" s="3">
        <f>Summary!C31</f>
        <v>693.5</v>
      </c>
      <c r="C3" s="3"/>
      <c r="D3" s="3"/>
      <c r="E3" s="3"/>
      <c r="F3" s="3"/>
      <c r="G3" s="6"/>
      <c r="H3" s="6"/>
    </row>
    <row r="4" spans="1:10" ht="28">
      <c r="A4" s="4" t="s">
        <v>47</v>
      </c>
      <c r="B4" s="7">
        <v>20</v>
      </c>
      <c r="C4" s="7" t="s">
        <v>59</v>
      </c>
      <c r="D4" s="7" t="s">
        <v>60</v>
      </c>
      <c r="E4" s="7"/>
      <c r="F4" s="7"/>
      <c r="G4" s="8"/>
      <c r="H4" s="8"/>
    </row>
    <row r="5" spans="1:10">
      <c r="A5" s="4" t="s">
        <v>57</v>
      </c>
      <c r="B5" s="9">
        <f>B4*B3*1000000</f>
        <v>13870000000</v>
      </c>
      <c r="C5" s="9"/>
      <c r="D5" s="9"/>
      <c r="E5" s="9"/>
      <c r="F5" s="9"/>
      <c r="G5" s="8"/>
      <c r="H5" s="8"/>
    </row>
    <row r="6" spans="1:10" ht="28">
      <c r="A6" s="4" t="s">
        <v>48</v>
      </c>
      <c r="B6" s="7">
        <v>0.05</v>
      </c>
      <c r="C6" s="7"/>
      <c r="D6" s="7"/>
      <c r="E6" s="7"/>
      <c r="F6" s="7"/>
      <c r="G6" s="8"/>
      <c r="H6" s="8"/>
    </row>
    <row r="7" spans="1:10" ht="28">
      <c r="A7" s="4" t="s">
        <v>39</v>
      </c>
    </row>
    <row r="8" spans="1:10" ht="28">
      <c r="A8" s="10" t="s">
        <v>35</v>
      </c>
      <c r="B8" s="1">
        <v>4</v>
      </c>
      <c r="G8" s="11"/>
    </row>
    <row r="9" spans="1:10" ht="28">
      <c r="A9" s="10" t="s">
        <v>36</v>
      </c>
      <c r="B9" s="3">
        <f>Summary!C16</f>
        <v>5</v>
      </c>
    </row>
    <row r="10" spans="1:10">
      <c r="A10" s="10" t="s">
        <v>37</v>
      </c>
      <c r="B10" s="12">
        <f>B9*1000000*B8</f>
        <v>20000000</v>
      </c>
      <c r="C10" s="12"/>
      <c r="D10" s="12"/>
      <c r="E10" s="12"/>
      <c r="F10" s="12"/>
      <c r="G10" s="13"/>
      <c r="H10" s="13"/>
    </row>
    <row r="11" spans="1:10" ht="28">
      <c r="A11" s="10" t="s">
        <v>38</v>
      </c>
      <c r="B11" s="3">
        <f>B5/B10</f>
        <v>693.5</v>
      </c>
      <c r="C11" s="3"/>
      <c r="D11" s="3"/>
      <c r="E11" s="3"/>
      <c r="F11" s="3"/>
      <c r="G11" s="6"/>
      <c r="H11" s="6"/>
    </row>
    <row r="12" spans="1:10" ht="28">
      <c r="A12" s="10" t="s">
        <v>77</v>
      </c>
      <c r="B12" s="14">
        <v>1000</v>
      </c>
      <c r="C12" s="3"/>
      <c r="D12" s="3"/>
      <c r="E12" s="3"/>
      <c r="F12" s="3"/>
      <c r="G12" s="6"/>
      <c r="H12" s="6"/>
    </row>
    <row r="13" spans="1:10" s="4" customFormat="1" ht="56">
      <c r="A13" s="15" t="s">
        <v>40</v>
      </c>
      <c r="B13" s="16" t="s">
        <v>49</v>
      </c>
      <c r="C13" s="4" t="s">
        <v>45</v>
      </c>
      <c r="D13" s="4" t="s">
        <v>41</v>
      </c>
      <c r="E13" s="4" t="s">
        <v>50</v>
      </c>
      <c r="F13" s="4" t="s">
        <v>42</v>
      </c>
      <c r="G13" s="17" t="s">
        <v>43</v>
      </c>
      <c r="H13" s="17" t="s">
        <v>44</v>
      </c>
      <c r="I13" s="4" t="s">
        <v>58</v>
      </c>
      <c r="J13" s="4" t="s">
        <v>56</v>
      </c>
    </row>
    <row r="14" spans="1:10">
      <c r="A14" s="2">
        <v>1</v>
      </c>
      <c r="B14" s="3">
        <f>D14</f>
        <v>693.5</v>
      </c>
      <c r="C14" s="18">
        <f t="shared" ref="C14:C53" si="0">G14/H14</f>
        <v>0</v>
      </c>
      <c r="D14" s="19">
        <f>J14/B$10</f>
        <v>693.5</v>
      </c>
      <c r="E14" s="20">
        <f>D14*B$12/1000000</f>
        <v>0.69350000000000001</v>
      </c>
      <c r="F14" s="21">
        <f>B14/Summary!C$23</f>
        <v>9.8930099857346653E-3</v>
      </c>
      <c r="G14" s="22">
        <v>0</v>
      </c>
      <c r="H14" s="22">
        <f>Summary!C34</f>
        <v>347.92166666666662</v>
      </c>
      <c r="I14" s="19"/>
      <c r="J14" s="23">
        <f t="shared" ref="J14:J53" si="1">B$5+I14</f>
        <v>13870000000</v>
      </c>
    </row>
    <row r="15" spans="1:10">
      <c r="A15" s="2">
        <f>A14+1</f>
        <v>2</v>
      </c>
      <c r="B15" s="3">
        <f>B14+D15</f>
        <v>1417.5</v>
      </c>
      <c r="C15" s="18">
        <f t="shared" si="0"/>
        <v>1.270703529117796E-2</v>
      </c>
      <c r="D15" s="19">
        <f t="shared" ref="D15:D53" si="2">ROUNDDOWN(J15/B$10,0)</f>
        <v>724</v>
      </c>
      <c r="E15" s="20">
        <f t="shared" ref="E15:E53" si="3">D15*B$12/1000000</f>
        <v>0.72399999999999998</v>
      </c>
      <c r="F15" s="21">
        <f>B15/Summary!C$23</f>
        <v>2.0221112696148361E-2</v>
      </c>
      <c r="G15" s="22">
        <f>G14+('development plan (Wind)'!B14/Summary!C$23)*Summary!C$27</f>
        <v>8.8421057937975753</v>
      </c>
      <c r="H15" s="22">
        <f>H14+H$14</f>
        <v>695.84333333333325</v>
      </c>
      <c r="I15" s="23">
        <f>B14*Summary!C$16*Summary!C$17*24*375*1000*B$6</f>
        <v>624150000</v>
      </c>
      <c r="J15" s="23">
        <f t="shared" si="1"/>
        <v>14494150000</v>
      </c>
    </row>
    <row r="16" spans="1:10">
      <c r="A16" s="2">
        <f t="shared" ref="A16:A30" si="4">A15+1</f>
        <v>3</v>
      </c>
      <c r="B16" s="3">
        <f>B15+D16</f>
        <v>2174.5</v>
      </c>
      <c r="C16" s="18">
        <f t="shared" si="0"/>
        <v>2.5786639269095579E-2</v>
      </c>
      <c r="D16" s="19">
        <f t="shared" si="2"/>
        <v>757</v>
      </c>
      <c r="E16" s="20">
        <f t="shared" si="3"/>
        <v>0.75700000000000001</v>
      </c>
      <c r="F16" s="21">
        <f>B16/Summary!C$23</f>
        <v>3.101997146932953E-2</v>
      </c>
      <c r="G16" s="22">
        <f>G15+('development plan (Wind)'!B15/Summary!C$23)*Summary!C$27</f>
        <v>26.915191536707542</v>
      </c>
      <c r="H16" s="22">
        <f t="shared" ref="H16:H43" si="5">H15+H$14</f>
        <v>1043.7649999999999</v>
      </c>
      <c r="I16" s="23">
        <f>B15*Summary!C$16*Summary!C$17*24*375*1000*B$6</f>
        <v>1275750000</v>
      </c>
      <c r="J16" s="23">
        <f t="shared" si="1"/>
        <v>15145750000</v>
      </c>
    </row>
    <row r="17" spans="1:10">
      <c r="A17" s="2">
        <f t="shared" si="4"/>
        <v>4</v>
      </c>
      <c r="B17" s="3">
        <f t="shared" ref="B17:B21" si="6">B16+D17</f>
        <v>2965.5</v>
      </c>
      <c r="C17" s="18">
        <f t="shared" si="0"/>
        <v>3.9261715746462256E-2</v>
      </c>
      <c r="D17" s="19">
        <f t="shared" si="2"/>
        <v>791</v>
      </c>
      <c r="E17" s="20">
        <f t="shared" si="3"/>
        <v>0.79100000000000004</v>
      </c>
      <c r="F17" s="21">
        <f>B17/Summary!C$23</f>
        <v>4.2303851640513555E-2</v>
      </c>
      <c r="G17" s="22">
        <f>G16+('development plan (Wind)'!B16/Summary!C$23)*Summary!C$27</f>
        <v>54.640006314808232</v>
      </c>
      <c r="H17" s="22">
        <f t="shared" si="5"/>
        <v>1391.6866666666665</v>
      </c>
      <c r="I17" s="23">
        <f>B16*Summary!C$16*Summary!C$17*24*375*1000*B$6</f>
        <v>1957050000</v>
      </c>
      <c r="J17" s="23">
        <f t="shared" si="1"/>
        <v>15827050000</v>
      </c>
    </row>
    <row r="18" spans="1:10">
      <c r="A18" s="2">
        <f t="shared" si="4"/>
        <v>5</v>
      </c>
      <c r="B18" s="3">
        <f t="shared" si="6"/>
        <v>3791.5</v>
      </c>
      <c r="C18" s="18">
        <f t="shared" si="0"/>
        <v>5.3144174705886886E-2</v>
      </c>
      <c r="D18" s="19">
        <f t="shared" si="2"/>
        <v>826</v>
      </c>
      <c r="E18" s="20">
        <f t="shared" si="3"/>
        <v>0.82599999999999996</v>
      </c>
      <c r="F18" s="21">
        <f>B18/Summary!C$23</f>
        <v>5.4087018544935805E-2</v>
      </c>
      <c r="G18" s="22">
        <f>G17+('development plan (Wind)'!B17/Summary!C$23)*Summary!C$27</f>
        <v>92.450049186483369</v>
      </c>
      <c r="H18" s="22">
        <f t="shared" si="5"/>
        <v>1739.6083333333331</v>
      </c>
      <c r="I18" s="23">
        <f>B17*Summary!C$16*Summary!C$17*24*375*1000*B$6</f>
        <v>2668950000</v>
      </c>
      <c r="J18" s="23">
        <f t="shared" si="1"/>
        <v>16538950000</v>
      </c>
    </row>
    <row r="19" spans="1:10">
      <c r="A19" s="2">
        <f t="shared" si="4"/>
        <v>6</v>
      </c>
      <c r="B19" s="3">
        <f t="shared" si="6"/>
        <v>4655.5</v>
      </c>
      <c r="C19" s="18">
        <f t="shared" si="0"/>
        <v>6.7444093824961623E-2</v>
      </c>
      <c r="D19" s="19">
        <f t="shared" si="2"/>
        <v>864</v>
      </c>
      <c r="E19" s="20">
        <f t="shared" si="3"/>
        <v>0.86399999999999999</v>
      </c>
      <c r="F19" s="21">
        <f>B19/Summary!C$23</f>
        <v>6.6412268188302426E-2</v>
      </c>
      <c r="G19" s="22">
        <f>G18+('development plan (Wind)'!B18/Summary!C$23)*Summary!C$27</f>
        <v>140.79156918242211</v>
      </c>
      <c r="H19" s="22">
        <f t="shared" si="5"/>
        <v>2087.5299999999997</v>
      </c>
      <c r="I19" s="23">
        <f>B18*Summary!C$16*Summary!C$17*24*375*1000*B$6</f>
        <v>3412350000</v>
      </c>
      <c r="J19" s="23">
        <f t="shared" si="1"/>
        <v>17282350000</v>
      </c>
    </row>
    <row r="20" spans="1:10">
      <c r="A20" s="2">
        <f t="shared" si="4"/>
        <v>7</v>
      </c>
      <c r="B20" s="3">
        <f t="shared" si="6"/>
        <v>5557.5</v>
      </c>
      <c r="C20" s="18">
        <f t="shared" si="0"/>
        <v>8.2181497579940935E-2</v>
      </c>
      <c r="D20" s="19">
        <f t="shared" si="2"/>
        <v>902</v>
      </c>
      <c r="E20" s="20">
        <f t="shared" si="3"/>
        <v>0.90200000000000002</v>
      </c>
      <c r="F20" s="21">
        <f>B20/Summary!C$23</f>
        <v>7.9279600570613409E-2</v>
      </c>
      <c r="G20" s="22">
        <f>G19+('development plan (Wind)'!B19/Summary!C$23)*Summary!C$27</f>
        <v>200.14906525022977</v>
      </c>
      <c r="H20" s="22">
        <f t="shared" si="5"/>
        <v>2435.4516666666664</v>
      </c>
      <c r="I20" s="23">
        <f>B19*Summary!C$16*Summary!C$17*24*375*1000*B$6</f>
        <v>4189950000</v>
      </c>
      <c r="J20" s="23">
        <f t="shared" si="1"/>
        <v>18059950000</v>
      </c>
    </row>
    <row r="21" spans="1:10">
      <c r="A21" s="2">
        <f t="shared" si="4"/>
        <v>8</v>
      </c>
      <c r="B21" s="3">
        <f t="shared" si="6"/>
        <v>6500.5</v>
      </c>
      <c r="C21" s="18">
        <f t="shared" si="0"/>
        <v>9.7366398208952112E-2</v>
      </c>
      <c r="D21" s="19">
        <f t="shared" si="2"/>
        <v>943</v>
      </c>
      <c r="E21" s="20">
        <f t="shared" si="3"/>
        <v>0.94299999999999995</v>
      </c>
      <c r="F21" s="21">
        <f>B21/Summary!C$23</f>
        <v>9.2731811697574898E-2</v>
      </c>
      <c r="G21" s="22">
        <f>G20+('development plan (Wind)'!B20/Summary!C$23)*Summary!C$27</f>
        <v>271.00703633751169</v>
      </c>
      <c r="H21" s="22">
        <f t="shared" si="5"/>
        <v>2783.373333333333</v>
      </c>
      <c r="I21" s="23">
        <f>B20*Summary!C$16*Summary!C$17*24*375*1000*B$6</f>
        <v>5001750000</v>
      </c>
      <c r="J21" s="23">
        <f t="shared" si="1"/>
        <v>18871750000</v>
      </c>
    </row>
    <row r="22" spans="1:10">
      <c r="A22" s="2">
        <f t="shared" si="4"/>
        <v>9</v>
      </c>
      <c r="B22" s="3">
        <f t="shared" ref="B22:B30" si="7">B21+D22</f>
        <v>7486.5</v>
      </c>
      <c r="C22" s="18">
        <f t="shared" si="0"/>
        <v>0.11301657343328864</v>
      </c>
      <c r="D22" s="19">
        <f t="shared" si="2"/>
        <v>986</v>
      </c>
      <c r="E22" s="20">
        <f t="shared" si="3"/>
        <v>0.98599999999999999</v>
      </c>
      <c r="F22" s="21">
        <f>B22/Summary!C$23</f>
        <v>0.10679743223965764</v>
      </c>
      <c r="G22" s="22">
        <f>G21+('development plan (Wind)'!B21/Summary!C$23)*Summary!C$27</f>
        <v>353.8882313087895</v>
      </c>
      <c r="H22" s="22">
        <f t="shared" si="5"/>
        <v>3131.2949999999996</v>
      </c>
      <c r="I22" s="23">
        <f>B21*Summary!C$16*Summary!C$17*24*375*1000*B$6</f>
        <v>5850450000</v>
      </c>
      <c r="J22" s="23">
        <f t="shared" si="1"/>
        <v>19720450000</v>
      </c>
    </row>
    <row r="23" spans="1:10">
      <c r="A23" s="2">
        <f t="shared" si="4"/>
        <v>10</v>
      </c>
      <c r="B23" s="3">
        <f t="shared" si="7"/>
        <v>8516.5</v>
      </c>
      <c r="C23" s="18">
        <f t="shared" si="0"/>
        <v>0.1291500191057936</v>
      </c>
      <c r="D23" s="19">
        <f t="shared" si="2"/>
        <v>1030</v>
      </c>
      <c r="E23" s="20">
        <f t="shared" si="3"/>
        <v>1.03</v>
      </c>
      <c r="F23" s="21">
        <f>B23/Summary!C$23</f>
        <v>0.121490727532097</v>
      </c>
      <c r="G23" s="22">
        <f>G22+('development plan (Wind)'!B22/Summary!C$23)*Summary!C$27</f>
        <v>449.34089897319546</v>
      </c>
      <c r="H23" s="22">
        <f t="shared" si="5"/>
        <v>3479.2166666666662</v>
      </c>
      <c r="I23" s="23">
        <f>B22*Summary!C$16*Summary!C$17*24*375*1000*B$6</f>
        <v>6737850000</v>
      </c>
      <c r="J23" s="23">
        <f t="shared" si="1"/>
        <v>20607850000</v>
      </c>
    </row>
    <row r="24" spans="1:10">
      <c r="A24" s="2">
        <f t="shared" si="4"/>
        <v>11</v>
      </c>
      <c r="B24" s="3">
        <f t="shared" si="7"/>
        <v>9592.5</v>
      </c>
      <c r="C24" s="18">
        <f t="shared" si="0"/>
        <v>0.14578151859648852</v>
      </c>
      <c r="D24" s="19">
        <f t="shared" si="2"/>
        <v>1076</v>
      </c>
      <c r="E24" s="20">
        <f t="shared" si="3"/>
        <v>1.0760000000000001</v>
      </c>
      <c r="F24" s="21">
        <f>B24/Summary!C$23</f>
        <v>0.13684022824536377</v>
      </c>
      <c r="G24" s="22">
        <f>G23+('development plan (Wind)'!B23/Summary!C$23)*Summary!C$27</f>
        <v>557.92603811216736</v>
      </c>
      <c r="H24" s="22">
        <f t="shared" si="5"/>
        <v>3827.1383333333329</v>
      </c>
      <c r="I24" s="23">
        <f>B23*Summary!C$16*Summary!C$17*24*375*1000*B$6</f>
        <v>7664850000</v>
      </c>
      <c r="J24" s="23">
        <f t="shared" si="1"/>
        <v>21534850000</v>
      </c>
    </row>
    <row r="25" spans="1:10">
      <c r="A25" s="2">
        <f t="shared" si="4"/>
        <v>12</v>
      </c>
      <c r="B25" s="3">
        <f t="shared" si="7"/>
        <v>10717.5</v>
      </c>
      <c r="C25" s="18">
        <f t="shared" si="0"/>
        <v>0.16292703516877696</v>
      </c>
      <c r="D25" s="19">
        <f t="shared" si="2"/>
        <v>1125</v>
      </c>
      <c r="E25" s="20">
        <f t="shared" si="3"/>
        <v>1.125</v>
      </c>
      <c r="F25" s="21">
        <f>B25/Summary!C$23</f>
        <v>0.15288873038516404</v>
      </c>
      <c r="G25" s="22">
        <f>G24+('development plan (Wind)'!B24/Summary!C$23)*Summary!C$27</f>
        <v>680.23014745175385</v>
      </c>
      <c r="H25" s="22">
        <f t="shared" si="5"/>
        <v>4175.0599999999995</v>
      </c>
      <c r="I25" s="23">
        <f>B24*Summary!C$16*Summary!C$17*24*375*1000*B$6</f>
        <v>8633250000</v>
      </c>
      <c r="J25" s="23">
        <f t="shared" si="1"/>
        <v>22503250000</v>
      </c>
    </row>
    <row r="26" spans="1:10">
      <c r="A26" s="2">
        <f t="shared" si="4"/>
        <v>13</v>
      </c>
      <c r="B26" s="3">
        <f t="shared" si="7"/>
        <v>11892.5</v>
      </c>
      <c r="C26" s="18">
        <f t="shared" si="0"/>
        <v>0.18060607710509249</v>
      </c>
      <c r="D26" s="19">
        <f t="shared" si="2"/>
        <v>1175</v>
      </c>
      <c r="E26" s="20">
        <f t="shared" si="3"/>
        <v>1.175</v>
      </c>
      <c r="F26" s="21">
        <f>B26/Summary!C$23</f>
        <v>0.16965049928673323</v>
      </c>
      <c r="G26" s="22">
        <f>G25+('development plan (Wind)'!B25/Summary!C$23)*Summary!C$27</f>
        <v>816.87797563491972</v>
      </c>
      <c r="H26" s="22">
        <f t="shared" si="5"/>
        <v>4522.9816666666666</v>
      </c>
      <c r="I26" s="23">
        <f>B25*Summary!C$16*Summary!C$17*24*375*1000*B$6</f>
        <v>9645750000</v>
      </c>
      <c r="J26" s="23">
        <f t="shared" si="1"/>
        <v>23515750000</v>
      </c>
    </row>
    <row r="27" spans="1:10">
      <c r="A27" s="2">
        <f t="shared" si="4"/>
        <v>14</v>
      </c>
      <c r="B27" s="3">
        <f t="shared" si="7"/>
        <v>13120.5</v>
      </c>
      <c r="C27" s="18">
        <f t="shared" si="0"/>
        <v>0.19883519647148307</v>
      </c>
      <c r="D27" s="19">
        <f t="shared" si="2"/>
        <v>1228</v>
      </c>
      <c r="E27" s="20">
        <f t="shared" si="3"/>
        <v>1.228</v>
      </c>
      <c r="F27" s="21">
        <f>B27/Summary!C$23</f>
        <v>0.18716833095577745</v>
      </c>
      <c r="G27" s="22">
        <f>G26+('development plan (Wind)'!B26/Summary!C$23)*Summary!C$27</f>
        <v>968.50702127693512</v>
      </c>
      <c r="H27" s="22">
        <f t="shared" si="5"/>
        <v>4870.9033333333336</v>
      </c>
      <c r="I27" s="23">
        <f>B26*Summary!C$16*Summary!C$17*24*375*1000*B$6</f>
        <v>10703250000</v>
      </c>
      <c r="J27" s="23">
        <f t="shared" si="1"/>
        <v>24573250000</v>
      </c>
    </row>
    <row r="28" spans="1:10">
      <c r="A28" s="2">
        <f t="shared" si="4"/>
        <v>15</v>
      </c>
      <c r="B28" s="3">
        <f t="shared" si="7"/>
        <v>14403.5</v>
      </c>
      <c r="C28" s="18">
        <f t="shared" si="0"/>
        <v>0.21763386066978413</v>
      </c>
      <c r="D28" s="19">
        <f t="shared" si="2"/>
        <v>1283</v>
      </c>
      <c r="E28" s="20">
        <f t="shared" si="3"/>
        <v>1.2829999999999999</v>
      </c>
      <c r="F28" s="21">
        <f>B28/Summary!C$23</f>
        <v>0.20547075606276746</v>
      </c>
      <c r="G28" s="22">
        <f>G27+('development plan (Wind)'!B27/Summary!C$23)*Summary!C$27</f>
        <v>1135.7930329099863</v>
      </c>
      <c r="H28" s="22">
        <f t="shared" si="5"/>
        <v>5218.8250000000007</v>
      </c>
      <c r="I28" s="23">
        <f>B27*Summary!C$16*Summary!C$17*24*375*1000*B$6</f>
        <v>11808450000</v>
      </c>
      <c r="J28" s="23">
        <f t="shared" si="1"/>
        <v>25678450000</v>
      </c>
    </row>
    <row r="29" spans="1:10">
      <c r="A29" s="2">
        <f t="shared" si="4"/>
        <v>16</v>
      </c>
      <c r="B29" s="3">
        <f t="shared" si="7"/>
        <v>15744.5</v>
      </c>
      <c r="C29" s="18">
        <f t="shared" si="0"/>
        <v>0.23702125101391427</v>
      </c>
      <c r="D29" s="19">
        <f t="shared" si="2"/>
        <v>1341</v>
      </c>
      <c r="E29" s="20">
        <f t="shared" si="3"/>
        <v>1.341</v>
      </c>
      <c r="F29" s="21">
        <f>B29/Summary!C$23</f>
        <v>0.22460057061340941</v>
      </c>
      <c r="G29" s="22">
        <f>G28+('development plan (Wind)'!B28/Summary!C$23)*Summary!C$27</f>
        <v>1319.4372590108708</v>
      </c>
      <c r="H29" s="22">
        <f t="shared" si="5"/>
        <v>5566.7466666666678</v>
      </c>
      <c r="I29" s="23">
        <f>B28*Summary!C$16*Summary!C$17*24*375*1000*B$6</f>
        <v>12963150000</v>
      </c>
      <c r="J29" s="23">
        <f t="shared" si="1"/>
        <v>26833150000</v>
      </c>
    </row>
    <row r="30" spans="1:10">
      <c r="A30" s="2">
        <f t="shared" si="4"/>
        <v>17</v>
      </c>
      <c r="B30" s="3">
        <f t="shared" si="7"/>
        <v>17146.5</v>
      </c>
      <c r="C30" s="18">
        <f t="shared" si="0"/>
        <v>0.25701850252634084</v>
      </c>
      <c r="D30" s="19">
        <f t="shared" si="2"/>
        <v>1402</v>
      </c>
      <c r="E30" s="20">
        <f t="shared" si="3"/>
        <v>1.4019999999999999</v>
      </c>
      <c r="F30" s="21">
        <f>B30/Summary!C$23</f>
        <v>0.24460057061340942</v>
      </c>
      <c r="G30" s="22">
        <f>G29+('development plan (Wind)'!B29/Summary!C$23)*Summary!C$27</f>
        <v>1520.1791979733018</v>
      </c>
      <c r="H30" s="22">
        <f t="shared" si="5"/>
        <v>5914.6683333333349</v>
      </c>
      <c r="I30" s="23">
        <f>B29*Summary!C$16*Summary!C$17*24*375*1000*B$6</f>
        <v>14170050000</v>
      </c>
      <c r="J30" s="23">
        <f t="shared" si="1"/>
        <v>28040050000</v>
      </c>
    </row>
    <row r="31" spans="1:10">
      <c r="A31" s="2">
        <f t="shared" ref="A31:A43" si="8">A30+1</f>
        <v>18</v>
      </c>
      <c r="B31" s="3">
        <f t="shared" ref="B31:B43" si="9">B30+D31</f>
        <v>18611.5</v>
      </c>
      <c r="C31" s="18">
        <f t="shared" si="0"/>
        <v>0.27764816124126096</v>
      </c>
      <c r="D31" s="19">
        <f t="shared" si="2"/>
        <v>1465</v>
      </c>
      <c r="E31" s="20">
        <f t="shared" si="3"/>
        <v>1.4650000000000001</v>
      </c>
      <c r="F31" s="21">
        <f>B31/Summary!C$23</f>
        <v>0.26549928673323825</v>
      </c>
      <c r="G31" s="22">
        <f>G30+('development plan (Wind)'!B30/Summary!C$23)*Summary!C$27</f>
        <v>1738.7965981079092</v>
      </c>
      <c r="H31" s="22">
        <f t="shared" si="5"/>
        <v>6262.590000000002</v>
      </c>
      <c r="I31" s="23">
        <f>B30*Summary!C$16*Summary!C$17*24*375*1000*B$6</f>
        <v>15431850000</v>
      </c>
      <c r="J31" s="23">
        <f t="shared" si="1"/>
        <v>29301850000</v>
      </c>
    </row>
    <row r="32" spans="1:10">
      <c r="A32" s="2">
        <f t="shared" si="8"/>
        <v>19</v>
      </c>
      <c r="B32" s="3">
        <f t="shared" si="9"/>
        <v>20142.5</v>
      </c>
      <c r="C32" s="18">
        <f t="shared" si="0"/>
        <v>0.29893188414360244</v>
      </c>
      <c r="D32" s="19">
        <f t="shared" si="2"/>
        <v>1531</v>
      </c>
      <c r="E32" s="20">
        <f t="shared" si="3"/>
        <v>1.5309999999999999</v>
      </c>
      <c r="F32" s="21">
        <f>B32/Summary!C$23</f>
        <v>0.287339514978602</v>
      </c>
      <c r="G32" s="22">
        <f>G31+('development plan (Wind)'!B31/Summary!C$23)*Summary!C$27</f>
        <v>1976.0927076699331</v>
      </c>
      <c r="H32" s="22">
        <f t="shared" si="5"/>
        <v>6610.511666666669</v>
      </c>
      <c r="I32" s="23">
        <f>B31*Summary!C$16*Summary!C$17*24*375*1000*B$6</f>
        <v>16750350000</v>
      </c>
      <c r="J32" s="23">
        <f t="shared" si="1"/>
        <v>30620350000</v>
      </c>
    </row>
    <row r="33" spans="1:10">
      <c r="A33" s="2">
        <f t="shared" si="8"/>
        <v>20</v>
      </c>
      <c r="B33" s="3">
        <f t="shared" si="9"/>
        <v>21741.5</v>
      </c>
      <c r="C33" s="18">
        <f t="shared" si="0"/>
        <v>0.3208924937363577</v>
      </c>
      <c r="D33" s="19">
        <f t="shared" si="2"/>
        <v>1599</v>
      </c>
      <c r="E33" s="20">
        <f t="shared" si="3"/>
        <v>1.599</v>
      </c>
      <c r="F33" s="21">
        <f>B33/Summary!C$23</f>
        <v>0.31014978601997145</v>
      </c>
      <c r="G33" s="22">
        <f>G32+('development plan (Wind)'!B32/Summary!C$23)*Summary!C$27</f>
        <v>2232.9090248315301</v>
      </c>
      <c r="H33" s="22">
        <f t="shared" si="5"/>
        <v>6958.4333333333361</v>
      </c>
      <c r="I33" s="23">
        <f>B32*Summary!C$16*Summary!C$17*24*375*1000*B$6</f>
        <v>18128250000</v>
      </c>
      <c r="J33" s="23">
        <f t="shared" si="1"/>
        <v>31998250000</v>
      </c>
    </row>
    <row r="34" spans="1:10">
      <c r="A34" s="2">
        <f t="shared" si="8"/>
        <v>21</v>
      </c>
      <c r="B34" s="3">
        <f t="shared" si="9"/>
        <v>23412.5</v>
      </c>
      <c r="C34" s="18">
        <f t="shared" si="0"/>
        <v>0.34355195548388584</v>
      </c>
      <c r="D34" s="19">
        <f t="shared" si="2"/>
        <v>1671</v>
      </c>
      <c r="E34" s="20">
        <f t="shared" si="3"/>
        <v>1.671</v>
      </c>
      <c r="F34" s="21">
        <f>B34/Summary!C$23</f>
        <v>0.33398716119828814</v>
      </c>
      <c r="G34" s="22">
        <f>G33+('development plan (Wind)'!B33/Summary!C$23)*Summary!C$27</f>
        <v>2510.1125477094679</v>
      </c>
      <c r="H34" s="22">
        <f t="shared" si="5"/>
        <v>7306.3550000000032</v>
      </c>
      <c r="I34" s="23">
        <f>B33*Summary!C$16*Summary!C$17*24*375*1000*B$6</f>
        <v>19567350000</v>
      </c>
      <c r="J34" s="23">
        <f t="shared" si="1"/>
        <v>33437350000</v>
      </c>
    </row>
    <row r="35" spans="1:10">
      <c r="A35" s="2">
        <f t="shared" si="8"/>
        <v>22</v>
      </c>
      <c r="B35" s="3">
        <f t="shared" si="9"/>
        <v>25159.5</v>
      </c>
      <c r="C35" s="18">
        <f t="shared" si="0"/>
        <v>0.36693490405708717</v>
      </c>
      <c r="D35" s="19">
        <f t="shared" si="2"/>
        <v>1747</v>
      </c>
      <c r="E35" s="20">
        <f t="shared" si="3"/>
        <v>1.7470000000000001</v>
      </c>
      <c r="F35" s="21">
        <f>B35/Summary!C$23</f>
        <v>0.35890870185449358</v>
      </c>
      <c r="G35" s="22">
        <f>G34+('development plan (Wind)'!B34/Summary!C$23)*Summary!C$27</f>
        <v>2808.6212743097358</v>
      </c>
      <c r="H35" s="22">
        <f t="shared" si="5"/>
        <v>7654.2766666666703</v>
      </c>
      <c r="I35" s="23">
        <f>B34*Summary!C$16*Summary!C$17*24*375*1000*B$6</f>
        <v>21071250000</v>
      </c>
      <c r="J35" s="23">
        <f t="shared" si="1"/>
        <v>34941250000</v>
      </c>
    </row>
    <row r="36" spans="1:10">
      <c r="A36" s="2">
        <f t="shared" si="8"/>
        <v>23</v>
      </c>
      <c r="B36" s="3">
        <f t="shared" si="9"/>
        <v>26984.5</v>
      </c>
      <c r="C36" s="18">
        <f t="shared" si="0"/>
        <v>0.39106806307111136</v>
      </c>
      <c r="D36" s="19">
        <f t="shared" si="2"/>
        <v>1825</v>
      </c>
      <c r="E36" s="20">
        <f t="shared" si="3"/>
        <v>1.825</v>
      </c>
      <c r="F36" s="21">
        <f>B36/Summary!C$23</f>
        <v>0.38494293865905849</v>
      </c>
      <c r="G36" s="22">
        <f>G35+('development plan (Wind)'!B35/Summary!C$23)*Summary!C$27</f>
        <v>3129.4042025275439</v>
      </c>
      <c r="H36" s="22">
        <f t="shared" si="5"/>
        <v>8002.1983333333374</v>
      </c>
      <c r="I36" s="23">
        <f>B35*Summary!C$16*Summary!C$17*24*375*1000*B$6</f>
        <v>22643550000</v>
      </c>
      <c r="J36" s="23">
        <f t="shared" si="1"/>
        <v>36513550000</v>
      </c>
    </row>
    <row r="37" spans="1:10">
      <c r="A37" s="2">
        <f t="shared" si="8"/>
        <v>24</v>
      </c>
      <c r="B37" s="3">
        <f t="shared" si="9"/>
        <v>28891.5</v>
      </c>
      <c r="C37" s="18">
        <f t="shared" si="0"/>
        <v>0.41597675604694456</v>
      </c>
      <c r="D37" s="19">
        <f t="shared" si="2"/>
        <v>1907</v>
      </c>
      <c r="E37" s="20">
        <f t="shared" si="3"/>
        <v>1.907</v>
      </c>
      <c r="F37" s="21">
        <f>B37/Summary!C$23</f>
        <v>0.41214693295292437</v>
      </c>
      <c r="G37" s="22">
        <f>G36+('development plan (Wind)'!B36/Summary!C$23)*Summary!C$27</f>
        <v>3473.4558302027144</v>
      </c>
      <c r="H37" s="22">
        <f t="shared" si="5"/>
        <v>8350.1200000000044</v>
      </c>
      <c r="I37" s="23">
        <f>B36*Summary!C$16*Summary!C$17*24*375*1000*B$6</f>
        <v>24286050000</v>
      </c>
      <c r="J37" s="23">
        <f t="shared" si="1"/>
        <v>38156050000</v>
      </c>
    </row>
    <row r="38" spans="1:10">
      <c r="A38" s="2">
        <f t="shared" si="8"/>
        <v>25</v>
      </c>
      <c r="B38" s="3">
        <f t="shared" si="9"/>
        <v>30884.5</v>
      </c>
      <c r="C38" s="18">
        <f t="shared" si="0"/>
        <v>0.44168811811826852</v>
      </c>
      <c r="D38" s="19">
        <f t="shared" si="2"/>
        <v>1993</v>
      </c>
      <c r="E38" s="20">
        <f t="shared" si="3"/>
        <v>1.9930000000000001</v>
      </c>
      <c r="F38" s="21">
        <f>B38/Summary!C$23</f>
        <v>0.44057774607703282</v>
      </c>
      <c r="G38" s="22">
        <f>G37+('development plan (Wind)'!B37/Summary!C$23)*Summary!C$27</f>
        <v>3841.8216550642901</v>
      </c>
      <c r="H38" s="22">
        <f t="shared" si="5"/>
        <v>8698.0416666666715</v>
      </c>
      <c r="I38" s="23">
        <f>B37*Summary!C$16*Summary!C$17*24*375*1000*B$6</f>
        <v>26002350000</v>
      </c>
      <c r="J38" s="23">
        <f t="shared" si="1"/>
        <v>39872350000</v>
      </c>
    </row>
    <row r="39" spans="1:10">
      <c r="A39" s="2">
        <f t="shared" si="8"/>
        <v>26</v>
      </c>
      <c r="B39" s="3">
        <f t="shared" si="9"/>
        <v>32967.5</v>
      </c>
      <c r="C39" s="18">
        <f t="shared" si="0"/>
        <v>0.4682307476444042</v>
      </c>
      <c r="D39" s="19">
        <f t="shared" si="2"/>
        <v>2083</v>
      </c>
      <c r="E39" s="20">
        <f t="shared" si="3"/>
        <v>2.0830000000000002</v>
      </c>
      <c r="F39" s="21">
        <f>B39/Summary!C$23</f>
        <v>0.47029243937232523</v>
      </c>
      <c r="G39" s="22">
        <f>G38+('development plan (Wind)'!B38/Summary!C$23)*Summary!C$27</f>
        <v>4235.5981747305359</v>
      </c>
      <c r="H39" s="22">
        <f t="shared" si="5"/>
        <v>9045.9633333333386</v>
      </c>
      <c r="I39" s="23">
        <f>B38*Summary!C$16*Summary!C$17*24*375*1000*B$6</f>
        <v>27796050000</v>
      </c>
      <c r="J39" s="23">
        <f t="shared" si="1"/>
        <v>41666050000</v>
      </c>
    </row>
    <row r="40" spans="1:10">
      <c r="A40" s="2">
        <f t="shared" si="8"/>
        <v>27</v>
      </c>
      <c r="B40" s="3">
        <f t="shared" si="9"/>
        <v>35144.5</v>
      </c>
      <c r="C40" s="18">
        <f t="shared" si="0"/>
        <v>0.49563443524260031</v>
      </c>
      <c r="D40" s="19">
        <f t="shared" si="2"/>
        <v>2177</v>
      </c>
      <c r="E40" s="20">
        <f t="shared" si="3"/>
        <v>2.177</v>
      </c>
      <c r="F40" s="21">
        <f>B40/Summary!C$23</f>
        <v>0.50134807417974325</v>
      </c>
      <c r="G40" s="22">
        <f>G39+('development plan (Wind)'!B39/Summary!C$23)*Summary!C$27</f>
        <v>4655.9328867089371</v>
      </c>
      <c r="H40" s="22">
        <f t="shared" si="5"/>
        <v>9393.8850000000057</v>
      </c>
      <c r="I40" s="23">
        <f>B39*Summary!C$16*Summary!C$17*24*375*1000*B$6</f>
        <v>29670750000</v>
      </c>
      <c r="J40" s="23">
        <f t="shared" si="1"/>
        <v>43540750000</v>
      </c>
    </row>
    <row r="41" spans="1:10">
      <c r="A41" s="2">
        <f t="shared" si="8"/>
        <v>28</v>
      </c>
      <c r="B41" s="3">
        <f t="shared" si="9"/>
        <v>37419.5</v>
      </c>
      <c r="C41" s="18">
        <f t="shared" si="0"/>
        <v>0.52392995088483241</v>
      </c>
      <c r="D41" s="19">
        <f t="shared" si="2"/>
        <v>2275</v>
      </c>
      <c r="E41" s="20">
        <f t="shared" si="3"/>
        <v>2.2749999999999999</v>
      </c>
      <c r="F41" s="21">
        <f>B41/Summary!C$23</f>
        <v>0.53380171184022829</v>
      </c>
      <c r="G41" s="22">
        <f>G40+('development plan (Wind)'!B40/Summary!C$23)*Summary!C$27</f>
        <v>5104.0242883962028</v>
      </c>
      <c r="H41" s="22">
        <f t="shared" si="5"/>
        <v>9741.8066666666728</v>
      </c>
      <c r="I41" s="23">
        <f>B40*Summary!C$16*Summary!C$17*24*375*1000*B$6</f>
        <v>31630050000</v>
      </c>
      <c r="J41" s="23">
        <f t="shared" si="1"/>
        <v>45500050000</v>
      </c>
    </row>
    <row r="42" spans="1:10">
      <c r="A42" s="2">
        <f t="shared" si="8"/>
        <v>29</v>
      </c>
      <c r="B42" s="3">
        <f t="shared" si="9"/>
        <v>39796.5</v>
      </c>
      <c r="C42" s="18">
        <f t="shared" si="0"/>
        <v>0.55314887504353938</v>
      </c>
      <c r="D42" s="19">
        <f t="shared" si="2"/>
        <v>2377</v>
      </c>
      <c r="E42" s="20">
        <f t="shared" si="3"/>
        <v>2.3769999999999998</v>
      </c>
      <c r="F42" s="21">
        <f>B42/Summary!C$23</f>
        <v>0.56771041369472186</v>
      </c>
      <c r="G42" s="22">
        <f>G41+('development plan (Wind)'!B41/Summary!C$23)*Summary!C$27</f>
        <v>5581.1218770782625</v>
      </c>
      <c r="H42" s="22">
        <f t="shared" si="5"/>
        <v>10089.72833333334</v>
      </c>
      <c r="I42" s="23">
        <f>B41*Summary!C$16*Summary!C$17*24*375*1000*B$6</f>
        <v>33677550000</v>
      </c>
      <c r="J42" s="23">
        <f t="shared" si="1"/>
        <v>47547550000</v>
      </c>
    </row>
    <row r="43" spans="1:10">
      <c r="A43" s="24">
        <f t="shared" si="8"/>
        <v>30</v>
      </c>
      <c r="B43" s="25">
        <f t="shared" si="9"/>
        <v>42280.5</v>
      </c>
      <c r="C43" s="26">
        <f t="shared" si="0"/>
        <v>0.58332346360821286</v>
      </c>
      <c r="D43" s="27">
        <f t="shared" si="2"/>
        <v>2484</v>
      </c>
      <c r="E43" s="28">
        <f t="shared" si="3"/>
        <v>2.484</v>
      </c>
      <c r="F43" s="29">
        <f>B43/Summary!C$23</f>
        <v>0.6031455064194009</v>
      </c>
      <c r="G43" s="30">
        <f>G42+('development plan (Wind)'!B42/Summary!C$23)*Summary!C$27</f>
        <v>6088.5261499302669</v>
      </c>
      <c r="H43" s="30">
        <f t="shared" si="5"/>
        <v>10437.650000000007</v>
      </c>
      <c r="I43" s="23">
        <f>B42*Summary!C$16*Summary!C$17*24*375*1000*B$6</f>
        <v>35816850000</v>
      </c>
      <c r="J43" s="23">
        <f t="shared" si="1"/>
        <v>49686850000</v>
      </c>
    </row>
    <row r="44" spans="1:10">
      <c r="A44" s="2">
        <f t="shared" ref="A44:A51" si="10">A43+1</f>
        <v>31</v>
      </c>
      <c r="B44" s="3">
        <f t="shared" ref="B44:B51" si="11">B43+D44</f>
        <v>44876.5</v>
      </c>
      <c r="C44" s="18">
        <f t="shared" si="0"/>
        <v>0.61448772107943184</v>
      </c>
      <c r="D44" s="19">
        <f t="shared" si="2"/>
        <v>2596</v>
      </c>
      <c r="E44" s="20">
        <f t="shared" si="3"/>
        <v>2.5960000000000001</v>
      </c>
      <c r="F44" s="21">
        <f>B44/Summary!C$23</f>
        <v>0.64017831669044223</v>
      </c>
      <c r="G44" s="22">
        <f>G43+('development plan (Wind)'!B43/Summary!C$23)*Summary!C$27</f>
        <v>6627.6013539888945</v>
      </c>
      <c r="H44" s="22">
        <f t="shared" ref="H44:H51" si="12">H43+H$14</f>
        <v>10785.571666666674</v>
      </c>
      <c r="I44" s="23">
        <f>B43*Summary!C$16*Summary!C$17*24*375*1000*B$6</f>
        <v>38052450000</v>
      </c>
      <c r="J44" s="23">
        <f t="shared" si="1"/>
        <v>51922450000</v>
      </c>
    </row>
    <row r="45" spans="1:10">
      <c r="A45" s="2">
        <f t="shared" si="10"/>
        <v>32</v>
      </c>
      <c r="B45" s="3">
        <f t="shared" si="11"/>
        <v>47588.5</v>
      </c>
      <c r="C45" s="18">
        <f t="shared" si="0"/>
        <v>0.64667712734838056</v>
      </c>
      <c r="D45" s="19">
        <f t="shared" si="2"/>
        <v>2712</v>
      </c>
      <c r="E45" s="20">
        <f t="shared" si="3"/>
        <v>2.7120000000000002</v>
      </c>
      <c r="F45" s="21">
        <f>B45/Summary!C$23</f>
        <v>0.67886590584878748</v>
      </c>
      <c r="G45" s="22">
        <f>G44+('development plan (Wind)'!B44/Summary!C$23)*Summary!C$27</f>
        <v>7199.7754861523508</v>
      </c>
      <c r="H45" s="22">
        <f t="shared" si="12"/>
        <v>11133.493333333341</v>
      </c>
      <c r="I45" s="23">
        <f>B44*Summary!C$16*Summary!C$17*24*375*1000*B$6</f>
        <v>40388850000</v>
      </c>
      <c r="J45" s="23">
        <f t="shared" si="1"/>
        <v>54258850000</v>
      </c>
    </row>
    <row r="46" spans="1:10">
      <c r="A46" s="2">
        <f t="shared" si="10"/>
        <v>33</v>
      </c>
      <c r="B46" s="3">
        <f t="shared" si="11"/>
        <v>50422.5</v>
      </c>
      <c r="C46" s="18">
        <f t="shared" si="0"/>
        <v>0.67992730366492782</v>
      </c>
      <c r="D46" s="19">
        <f t="shared" si="2"/>
        <v>2834</v>
      </c>
      <c r="E46" s="20">
        <f t="shared" si="3"/>
        <v>2.8340000000000001</v>
      </c>
      <c r="F46" s="21">
        <f>B46/Summary!C$23</f>
        <v>0.71929386590584876</v>
      </c>
      <c r="G46" s="22">
        <f>G45+('development plan (Wind)'!B45/Summary!C$23)*Summary!C$27</f>
        <v>7806.5275432080625</v>
      </c>
      <c r="H46" s="22">
        <f t="shared" si="12"/>
        <v>11481.415000000008</v>
      </c>
      <c r="I46" s="23">
        <f>B45*Summary!C$16*Summary!C$17*24*375*1000*B$6</f>
        <v>42829650000</v>
      </c>
      <c r="J46" s="23">
        <f t="shared" si="1"/>
        <v>56699650000</v>
      </c>
    </row>
    <row r="47" spans="1:10">
      <c r="A47" s="2">
        <f t="shared" si="10"/>
        <v>34</v>
      </c>
      <c r="B47" s="3">
        <f t="shared" si="11"/>
        <v>53384.5</v>
      </c>
      <c r="C47" s="18">
        <f t="shared" si="0"/>
        <v>0.71427614750254664</v>
      </c>
      <c r="D47" s="19">
        <f t="shared" si="2"/>
        <v>2962</v>
      </c>
      <c r="E47" s="20">
        <f t="shared" si="3"/>
        <v>2.9620000000000002</v>
      </c>
      <c r="F47" s="21">
        <f>B47/Summary!C$23</f>
        <v>0.76154778887303853</v>
      </c>
      <c r="G47" s="22">
        <f>G46+('development plan (Wind)'!B46/Summary!C$23)*Summary!C$27</f>
        <v>8449.413021777289</v>
      </c>
      <c r="H47" s="22">
        <f t="shared" si="12"/>
        <v>11829.336666666675</v>
      </c>
      <c r="I47" s="23">
        <f>B46*Summary!C$16*Summary!C$17*24*375*1000*B$6</f>
        <v>45380250000</v>
      </c>
      <c r="J47" s="23">
        <f t="shared" si="1"/>
        <v>59250250000</v>
      </c>
    </row>
    <row r="48" spans="1:10">
      <c r="A48" s="24">
        <f t="shared" si="10"/>
        <v>35</v>
      </c>
      <c r="B48" s="25">
        <f t="shared" si="11"/>
        <v>56479.5</v>
      </c>
      <c r="C48" s="26">
        <f t="shared" si="0"/>
        <v>0.74976350738351327</v>
      </c>
      <c r="D48" s="27">
        <f t="shared" si="2"/>
        <v>3095</v>
      </c>
      <c r="E48" s="28">
        <f t="shared" si="3"/>
        <v>3.0950000000000002</v>
      </c>
      <c r="F48" s="29">
        <f>B48/Summary!C$23</f>
        <v>0.8056990014265335</v>
      </c>
      <c r="G48" s="30">
        <f>G47+('development plan (Wind)'!B47/Summary!C$23)*Summary!C$27</f>
        <v>9130.0639183151216</v>
      </c>
      <c r="H48" s="30">
        <f t="shared" si="12"/>
        <v>12177.258333333342</v>
      </c>
      <c r="I48" s="23">
        <f>B47*Summary!C$16*Summary!C$17*24*375*1000*B$6</f>
        <v>48046050000</v>
      </c>
      <c r="J48" s="23">
        <f t="shared" si="1"/>
        <v>61916050000</v>
      </c>
    </row>
    <row r="49" spans="1:10">
      <c r="A49" s="2">
        <f t="shared" si="10"/>
        <v>36</v>
      </c>
      <c r="B49" s="3">
        <f t="shared" si="11"/>
        <v>59714.5</v>
      </c>
      <c r="C49" s="18">
        <f t="shared" si="0"/>
        <v>0.78642989395267549</v>
      </c>
      <c r="D49" s="19">
        <f t="shared" si="2"/>
        <v>3235</v>
      </c>
      <c r="E49" s="20">
        <f t="shared" si="3"/>
        <v>3.2349999999999999</v>
      </c>
      <c r="F49" s="21">
        <f>B49/Summary!C$23</f>
        <v>0.85184736091298141</v>
      </c>
      <c r="G49" s="22">
        <f>G48+('development plan (Wind)'!B48/Summary!C$23)*Summary!C$27</f>
        <v>9850.1759791381792</v>
      </c>
      <c r="H49" s="22">
        <f t="shared" si="12"/>
        <v>12525.180000000009</v>
      </c>
      <c r="I49" s="23">
        <f>B48*Summary!C$16*Summary!C$17*24*375*1000*B$6</f>
        <v>50831550000</v>
      </c>
      <c r="J49" s="23">
        <f t="shared" si="1"/>
        <v>64701550000</v>
      </c>
    </row>
    <row r="50" spans="1:10">
      <c r="A50" s="2">
        <f t="shared" si="10"/>
        <v>37</v>
      </c>
      <c r="B50" s="3">
        <f t="shared" si="11"/>
        <v>63094.5</v>
      </c>
      <c r="C50" s="18">
        <f t="shared" si="0"/>
        <v>0.8243183713717176</v>
      </c>
      <c r="D50" s="19">
        <f t="shared" si="2"/>
        <v>3380</v>
      </c>
      <c r="E50" s="20">
        <f t="shared" si="3"/>
        <v>3.38</v>
      </c>
      <c r="F50" s="21">
        <f>B50/Summary!C$23</f>
        <v>0.90006419400855919</v>
      </c>
      <c r="G50" s="22">
        <f>G49+('development plan (Wind)'!B49/Summary!C$23)*Summary!C$27</f>
        <v>10611.534200369219</v>
      </c>
      <c r="H50" s="22">
        <f t="shared" si="12"/>
        <v>12873.101666666676</v>
      </c>
      <c r="I50" s="23">
        <f>B49*Summary!C$16*Summary!C$17*24*375*1000*B$6</f>
        <v>53743050000</v>
      </c>
      <c r="J50" s="23">
        <f t="shared" si="1"/>
        <v>67613050000</v>
      </c>
    </row>
    <row r="51" spans="1:10">
      <c r="A51" s="2">
        <f t="shared" si="10"/>
        <v>38</v>
      </c>
      <c r="B51" s="3">
        <f t="shared" si="11"/>
        <v>66626.5</v>
      </c>
      <c r="C51" s="18">
        <f t="shared" si="0"/>
        <v>0.86347229258798019</v>
      </c>
      <c r="D51" s="19">
        <f t="shared" si="2"/>
        <v>3532</v>
      </c>
      <c r="E51" s="20">
        <f t="shared" si="3"/>
        <v>3.532</v>
      </c>
      <c r="F51" s="21">
        <f>B51/Summary!C$23</f>
        <v>0.95044935805991437</v>
      </c>
      <c r="G51" s="22">
        <f>G50+('development plan (Wind)'!B50/Summary!C$23)*Summary!C$27</f>
        <v>11415.987327992521</v>
      </c>
      <c r="H51" s="22">
        <f t="shared" si="12"/>
        <v>13221.023333333344</v>
      </c>
      <c r="I51" s="23">
        <f>B50*Summary!C$16*Summary!C$17*24*375*1000*B$6</f>
        <v>56785050000</v>
      </c>
      <c r="J51" s="23">
        <f t="shared" si="1"/>
        <v>70655050000</v>
      </c>
    </row>
    <row r="52" spans="1:10">
      <c r="A52" s="2">
        <f t="shared" ref="A52:A67" si="13">A51+1</f>
        <v>39</v>
      </c>
      <c r="B52" s="3">
        <f t="shared" ref="B52:B62" si="14">B51+D52</f>
        <v>70317.5</v>
      </c>
      <c r="C52" s="18">
        <f t="shared" si="0"/>
        <v>0.90393714159785465</v>
      </c>
      <c r="D52" s="19">
        <f t="shared" si="2"/>
        <v>3691</v>
      </c>
      <c r="E52" s="20">
        <f t="shared" si="3"/>
        <v>3.6909999999999998</v>
      </c>
      <c r="F52" s="21">
        <f>B52/Summary!C$23</f>
        <v>1.0031027104136947</v>
      </c>
      <c r="G52" s="22">
        <f>G51+('development plan (Wind)'!B51/Summary!C$23)*Summary!C$27</f>
        <v>12265.473357798512</v>
      </c>
      <c r="H52" s="22">
        <f t="shared" ref="H52:H67" si="15">H51+H$14</f>
        <v>13568.945000000011</v>
      </c>
      <c r="I52" s="23">
        <f>B51*Summary!C$16*Summary!C$17*24*375*1000*B$6</f>
        <v>59963850000</v>
      </c>
      <c r="J52" s="23">
        <f t="shared" si="1"/>
        <v>73833850000</v>
      </c>
    </row>
    <row r="53" spans="1:10">
      <c r="A53" s="2">
        <f t="shared" si="13"/>
        <v>40</v>
      </c>
      <c r="B53" s="3">
        <f t="shared" si="14"/>
        <v>74174.5</v>
      </c>
      <c r="C53" s="18">
        <f t="shared" si="0"/>
        <v>0.94576026706565208</v>
      </c>
      <c r="D53" s="19">
        <f t="shared" si="2"/>
        <v>3857</v>
      </c>
      <c r="E53" s="20">
        <f t="shared" si="3"/>
        <v>3.8570000000000002</v>
      </c>
      <c r="F53" s="21">
        <f>B53/Summary!C$23</f>
        <v>1.0581241084165478</v>
      </c>
      <c r="G53" s="22">
        <f>G52+('development plan (Wind)'!B52/Summary!C$23)*Summary!C$27</f>
        <v>13162.019535383748</v>
      </c>
      <c r="H53" s="22">
        <f t="shared" si="15"/>
        <v>13916.866666666678</v>
      </c>
      <c r="I53" s="23">
        <f>B52*Summary!C$16*Summary!C$17*24*375*1000*B$6</f>
        <v>63285750000</v>
      </c>
      <c r="J53" s="23">
        <f t="shared" si="1"/>
        <v>77155750000</v>
      </c>
    </row>
    <row r="54" spans="1:10">
      <c r="A54" s="31">
        <f t="shared" si="13"/>
        <v>41</v>
      </c>
      <c r="B54" s="32">
        <f t="shared" si="14"/>
        <v>78205.5</v>
      </c>
      <c r="C54" s="33">
        <f t="shared" ref="C54:C67" si="16">G54/H54</f>
        <v>0.98899065492507587</v>
      </c>
      <c r="D54" s="34">
        <f t="shared" ref="D54:D67" si="17">ROUNDDOWN(J54/B$10,0)</f>
        <v>4031</v>
      </c>
      <c r="E54" s="35">
        <f t="shared" ref="E54:E67" si="18">D54*B$12/1000000</f>
        <v>4.0309999999999997</v>
      </c>
      <c r="F54" s="36">
        <f>B54/Summary!C$23</f>
        <v>1.1156276747503566</v>
      </c>
      <c r="G54" s="37">
        <f>G53+('development plan (Wind)'!B53/Summary!C$23)*Summary!C$27</f>
        <v>14107.742356150926</v>
      </c>
      <c r="H54" s="37">
        <f t="shared" si="15"/>
        <v>14264.788333333345</v>
      </c>
      <c r="I54" s="23">
        <f>B53*Summary!C$16*Summary!C$17*24*375*1000*B$6</f>
        <v>66757050000</v>
      </c>
      <c r="J54" s="23">
        <f t="shared" ref="J54:J67" si="19">B$5+I54</f>
        <v>80627050000</v>
      </c>
    </row>
    <row r="55" spans="1:10">
      <c r="A55" s="2">
        <f t="shared" si="13"/>
        <v>42</v>
      </c>
      <c r="B55" s="3">
        <f t="shared" si="14"/>
        <v>82417.5</v>
      </c>
      <c r="C55" s="18">
        <f t="shared" si="16"/>
        <v>1.0336796059923981</v>
      </c>
      <c r="D55" s="19">
        <f t="shared" si="17"/>
        <v>4212</v>
      </c>
      <c r="E55" s="20">
        <f t="shared" si="18"/>
        <v>4.2119999999999997</v>
      </c>
      <c r="F55" s="21">
        <f>B55/Summary!C$23</f>
        <v>1.1757132667617689</v>
      </c>
      <c r="G55" s="22">
        <f>G54+('development plan (Wind)'!B54/Summary!C$23)*Summary!C$27</f>
        <v>15104.860315281187</v>
      </c>
      <c r="H55" s="22">
        <f t="shared" si="15"/>
        <v>14612.710000000012</v>
      </c>
      <c r="I55" s="23">
        <f>B54*Summary!C$16*Summary!C$17*24*375*1000*B$6</f>
        <v>70384950000</v>
      </c>
      <c r="J55" s="23">
        <f t="shared" si="19"/>
        <v>84254950000</v>
      </c>
    </row>
    <row r="56" spans="1:10">
      <c r="A56" s="2">
        <f t="shared" si="13"/>
        <v>43</v>
      </c>
      <c r="B56" s="3">
        <f t="shared" si="14"/>
        <v>86819.5</v>
      </c>
      <c r="C56" s="18">
        <f t="shared" si="16"/>
        <v>1.0798796145591756</v>
      </c>
      <c r="D56" s="19">
        <f t="shared" si="17"/>
        <v>4402</v>
      </c>
      <c r="E56" s="20">
        <f t="shared" si="18"/>
        <v>4.4020000000000001</v>
      </c>
      <c r="F56" s="21">
        <f>B56/Summary!C$23</f>
        <v>1.238509272467903</v>
      </c>
      <c r="G56" s="22">
        <f>G55+('development plan (Wind)'!B55/Summary!C$23)*Summary!C$27</f>
        <v>16155.681157761808</v>
      </c>
      <c r="H56" s="22">
        <f t="shared" si="15"/>
        <v>14960.631666666679</v>
      </c>
      <c r="I56" s="23">
        <f>B55*Summary!C$16*Summary!C$17*24*375*1000*B$6</f>
        <v>74175750000</v>
      </c>
      <c r="J56" s="23">
        <f t="shared" si="19"/>
        <v>88045750000</v>
      </c>
    </row>
    <row r="57" spans="1:10">
      <c r="A57" s="2">
        <f t="shared" si="13"/>
        <v>44</v>
      </c>
      <c r="B57" s="3">
        <f t="shared" si="14"/>
        <v>91419.5</v>
      </c>
      <c r="C57" s="18">
        <f t="shared" si="16"/>
        <v>1.1276458985018922</v>
      </c>
      <c r="D57" s="19">
        <f t="shared" si="17"/>
        <v>4600</v>
      </c>
      <c r="E57" s="20">
        <f t="shared" si="18"/>
        <v>4.5999999999999996</v>
      </c>
      <c r="F57" s="21">
        <f>B57/Summary!C$23</f>
        <v>1.3041298145506419</v>
      </c>
      <c r="G57" s="22">
        <f>G56+('development plan (Wind)'!B56/Summary!C$23)*Summary!C$27</f>
        <v>17262.627378330817</v>
      </c>
      <c r="H57" s="22">
        <f t="shared" si="15"/>
        <v>15308.553333333346</v>
      </c>
      <c r="I57" s="23">
        <f>B56*Summary!C$16*Summary!C$17*24*375*1000*B$6</f>
        <v>78137550000</v>
      </c>
      <c r="J57" s="23">
        <f t="shared" si="19"/>
        <v>92007550000</v>
      </c>
    </row>
    <row r="58" spans="1:10">
      <c r="A58" s="2">
        <f t="shared" si="13"/>
        <v>45</v>
      </c>
      <c r="B58" s="3">
        <f t="shared" si="14"/>
        <v>96226.5</v>
      </c>
      <c r="C58" s="18">
        <f t="shared" si="16"/>
        <v>1.1770352823036263</v>
      </c>
      <c r="D58" s="19">
        <f t="shared" si="17"/>
        <v>4807</v>
      </c>
      <c r="E58" s="20">
        <f t="shared" si="18"/>
        <v>4.8070000000000004</v>
      </c>
      <c r="F58" s="21">
        <f>B58/Summary!C$23</f>
        <v>1.372703281027104</v>
      </c>
      <c r="G58" s="22">
        <f>G57+('development plan (Wind)'!B57/Summary!C$23)*Summary!C$27</f>
        <v>18428.223471504683</v>
      </c>
      <c r="H58" s="22">
        <f t="shared" si="15"/>
        <v>15656.475000000013</v>
      </c>
      <c r="I58" s="23">
        <f>B57*Summary!C$16*Summary!C$17*24*375*1000*B$6</f>
        <v>82277550000</v>
      </c>
      <c r="J58" s="23">
        <f t="shared" si="19"/>
        <v>96147550000</v>
      </c>
    </row>
    <row r="59" spans="1:10">
      <c r="A59" s="2">
        <f t="shared" si="13"/>
        <v>46</v>
      </c>
      <c r="B59" s="3">
        <f t="shared" si="14"/>
        <v>101249.5</v>
      </c>
      <c r="C59" s="18">
        <f t="shared" si="16"/>
        <v>1.2281068190772542</v>
      </c>
      <c r="D59" s="19">
        <f t="shared" si="17"/>
        <v>5023</v>
      </c>
      <c r="E59" s="20">
        <f t="shared" si="18"/>
        <v>5.0229999999999997</v>
      </c>
      <c r="F59" s="21">
        <f>B59/Summary!C$23</f>
        <v>1.4443580599144079</v>
      </c>
      <c r="G59" s="22">
        <f>G58+('development plan (Wind)'!B58/Summary!C$23)*Summary!C$27</f>
        <v>19655.108681550628</v>
      </c>
      <c r="H59" s="22">
        <f t="shared" si="15"/>
        <v>16004.39666666668</v>
      </c>
      <c r="I59" s="23">
        <f>B58*Summary!C$16*Summary!C$17*24*375*1000*B$6</f>
        <v>86603850000</v>
      </c>
      <c r="J59" s="23">
        <f t="shared" si="19"/>
        <v>100473850000</v>
      </c>
    </row>
    <row r="60" spans="1:10">
      <c r="A60" s="2">
        <f t="shared" si="13"/>
        <v>47</v>
      </c>
      <c r="B60" s="3">
        <f t="shared" si="14"/>
        <v>106498.5</v>
      </c>
      <c r="C60" s="18">
        <f t="shared" si="16"/>
        <v>1.2809215534771736</v>
      </c>
      <c r="D60" s="19">
        <f t="shared" si="17"/>
        <v>5249</v>
      </c>
      <c r="E60" s="20">
        <f t="shared" si="18"/>
        <v>5.2489999999999997</v>
      </c>
      <c r="F60" s="21">
        <f>B60/Summary!C$23</f>
        <v>1.5192368045649072</v>
      </c>
      <c r="G60" s="22">
        <f>G59+('development plan (Wind)'!B59/Summary!C$23)*Summary!C$27</f>
        <v>20946.037002486617</v>
      </c>
      <c r="H60" s="22">
        <f t="shared" si="15"/>
        <v>16352.318333333347</v>
      </c>
      <c r="I60" s="23">
        <f>B59*Summary!C$16*Summary!C$17*24*375*1000*B$6</f>
        <v>91124550000</v>
      </c>
      <c r="J60" s="23">
        <f t="shared" si="19"/>
        <v>104994550000</v>
      </c>
    </row>
    <row r="61" spans="1:10">
      <c r="A61" s="2">
        <f t="shared" si="13"/>
        <v>48</v>
      </c>
      <c r="B61" s="3">
        <f t="shared" si="14"/>
        <v>111983.5</v>
      </c>
      <c r="C61" s="18">
        <f t="shared" si="16"/>
        <v>1.335543077707485</v>
      </c>
      <c r="D61" s="19">
        <f t="shared" si="17"/>
        <v>5485</v>
      </c>
      <c r="E61" s="20">
        <f t="shared" si="18"/>
        <v>5.4850000000000003</v>
      </c>
      <c r="F61" s="21">
        <f>B61/Summary!C$23</f>
        <v>1.5974821683309557</v>
      </c>
      <c r="G61" s="22">
        <f>G60+('development plan (Wind)'!B60/Summary!C$23)*Summary!C$27</f>
        <v>22303.889928053668</v>
      </c>
      <c r="H61" s="22">
        <f t="shared" si="15"/>
        <v>16700.240000000013</v>
      </c>
      <c r="I61" s="23">
        <f>B60*Summary!C$16*Summary!C$17*24*375*1000*B$6</f>
        <v>95848650000</v>
      </c>
      <c r="J61" s="23">
        <f t="shared" si="19"/>
        <v>109718650000</v>
      </c>
    </row>
    <row r="62" spans="1:10">
      <c r="A62" s="2">
        <f t="shared" si="13"/>
        <v>49</v>
      </c>
      <c r="B62" s="3">
        <f t="shared" si="14"/>
        <v>117715.5</v>
      </c>
      <c r="C62" s="18">
        <f t="shared" si="16"/>
        <v>1.3920372715679419</v>
      </c>
      <c r="D62" s="19">
        <f t="shared" si="17"/>
        <v>5732</v>
      </c>
      <c r="E62" s="20">
        <f t="shared" si="18"/>
        <v>5.7320000000000002</v>
      </c>
      <c r="F62" s="21">
        <f>B62/Summary!C$23</f>
        <v>1.6792510699001426</v>
      </c>
      <c r="G62" s="22">
        <f>G61+('development plan (Wind)'!B61/Summary!C$23)*Summary!C$27</f>
        <v>23731.676451715859</v>
      </c>
      <c r="H62" s="22">
        <f t="shared" si="15"/>
        <v>17048.161666666678</v>
      </c>
      <c r="I62" s="23">
        <f>B61*Summary!C$16*Summary!C$17*24*375*1000*B$6</f>
        <v>100785150000</v>
      </c>
      <c r="J62" s="23">
        <f t="shared" si="19"/>
        <v>114655150000</v>
      </c>
    </row>
    <row r="63" spans="1:10">
      <c r="A63" s="24">
        <f t="shared" si="13"/>
        <v>50</v>
      </c>
      <c r="B63" s="25">
        <f t="shared" ref="B63:B67" si="20">B62+D63</f>
        <v>123705.5</v>
      </c>
      <c r="C63" s="26">
        <f t="shared" si="16"/>
        <v>1.4504728066163906</v>
      </c>
      <c r="D63" s="27">
        <f t="shared" si="17"/>
        <v>5990</v>
      </c>
      <c r="E63" s="28">
        <f t="shared" si="18"/>
        <v>5.99</v>
      </c>
      <c r="F63" s="29">
        <f>B63/Summary!C$23</f>
        <v>1.7647004279600571</v>
      </c>
      <c r="G63" s="30">
        <f>G62+('development plan (Wind)'!B62/Summary!C$23)*Summary!C$27</f>
        <v>25232.545816632628</v>
      </c>
      <c r="H63" s="30">
        <f t="shared" si="15"/>
        <v>17396.083333333343</v>
      </c>
      <c r="I63" s="23">
        <f>B62*Summary!C$16*Summary!C$17*24*375*1000*B$6</f>
        <v>105943950000</v>
      </c>
      <c r="J63" s="23">
        <f t="shared" si="19"/>
        <v>119813950000</v>
      </c>
    </row>
    <row r="64" spans="1:10">
      <c r="A64" s="2">
        <f t="shared" si="13"/>
        <v>51</v>
      </c>
      <c r="B64" s="3">
        <f t="shared" si="20"/>
        <v>129965.5</v>
      </c>
      <c r="C64" s="18">
        <f t="shared" si="16"/>
        <v>1.5109208724669967</v>
      </c>
      <c r="D64" s="19">
        <f t="shared" si="17"/>
        <v>6260</v>
      </c>
      <c r="E64" s="20">
        <f t="shared" si="18"/>
        <v>6.26</v>
      </c>
      <c r="F64" s="21">
        <f>B64/Summary!C$23</f>
        <v>1.8540014265335236</v>
      </c>
      <c r="G64" s="22">
        <f>G63+('development plan (Wind)'!B63/Summary!C$23)*Summary!C$27</f>
        <v>26809.787515658765</v>
      </c>
      <c r="H64" s="22">
        <f t="shared" si="15"/>
        <v>17744.005000000008</v>
      </c>
      <c r="I64" s="23">
        <f>B63*Summary!C$16*Summary!C$17*24*375*1000*B$6</f>
        <v>111334950000</v>
      </c>
      <c r="J64" s="23">
        <f t="shared" si="19"/>
        <v>125204950000</v>
      </c>
    </row>
    <row r="65" spans="1:10">
      <c r="A65" s="31">
        <f t="shared" si="13"/>
        <v>52</v>
      </c>
      <c r="B65" s="32">
        <f t="shared" si="20"/>
        <v>136506.5</v>
      </c>
      <c r="C65" s="33">
        <f t="shared" si="16"/>
        <v>1.5734556394021451</v>
      </c>
      <c r="D65" s="34">
        <f t="shared" si="17"/>
        <v>6541</v>
      </c>
      <c r="E65" s="35">
        <f t="shared" si="18"/>
        <v>6.5410000000000004</v>
      </c>
      <c r="F65" s="36">
        <f>B65/Summary!C$23</f>
        <v>1.9473109843081313</v>
      </c>
      <c r="G65" s="37">
        <f>G64+('development plan (Wind)'!B64/Summary!C$23)*Summary!C$27</f>
        <v>28466.84404131673</v>
      </c>
      <c r="H65" s="37">
        <f t="shared" si="15"/>
        <v>18091.926666666674</v>
      </c>
      <c r="I65" s="23">
        <f>B64*Summary!C$16*Summary!C$17*24*375*1000*B$6</f>
        <v>116968950000</v>
      </c>
      <c r="J65" s="23">
        <f t="shared" si="19"/>
        <v>130838950000</v>
      </c>
    </row>
    <row r="66" spans="1:10">
      <c r="A66" s="2">
        <f t="shared" si="13"/>
        <v>53</v>
      </c>
      <c r="B66" s="3">
        <f t="shared" si="20"/>
        <v>143342.5</v>
      </c>
      <c r="C66" s="18">
        <f t="shared" si="16"/>
        <v>1.638153285741468</v>
      </c>
      <c r="D66" s="19">
        <f t="shared" si="17"/>
        <v>6836</v>
      </c>
      <c r="E66" s="20">
        <f t="shared" si="18"/>
        <v>6.8360000000000003</v>
      </c>
      <c r="F66" s="21">
        <f>B66/Summary!C$23</f>
        <v>2.0448288159771755</v>
      </c>
      <c r="G66" s="22">
        <f>G65+('development plan (Wind)'!B65/Summary!C$23)*Summary!C$27</f>
        <v>30207.298135824341</v>
      </c>
      <c r="H66" s="22">
        <f t="shared" si="15"/>
        <v>18439.848333333339</v>
      </c>
      <c r="I66" s="23">
        <f>B65*Summary!C$16*Summary!C$17*24*375*1000*B$6</f>
        <v>122855850000</v>
      </c>
      <c r="J66" s="23">
        <f t="shared" si="19"/>
        <v>136725850000</v>
      </c>
    </row>
    <row r="67" spans="1:10">
      <c r="A67" s="2">
        <f t="shared" si="13"/>
        <v>54</v>
      </c>
      <c r="B67" s="3">
        <f t="shared" si="20"/>
        <v>150485.5</v>
      </c>
      <c r="C67" s="18">
        <f t="shared" si="16"/>
        <v>1.7050938478069344</v>
      </c>
      <c r="D67" s="19">
        <f t="shared" si="17"/>
        <v>7143</v>
      </c>
      <c r="E67" s="20">
        <f t="shared" si="18"/>
        <v>7.1429999999999998</v>
      </c>
      <c r="F67" s="21">
        <f>B67/Summary!C$23</f>
        <v>2.1467261055634808</v>
      </c>
      <c r="G67" s="22">
        <f>G66+('development plan (Wind)'!B66/Summary!C$23)*Summary!C$27</f>
        <v>32034.911041011695</v>
      </c>
      <c r="H67" s="22">
        <f t="shared" si="15"/>
        <v>18787.770000000004</v>
      </c>
      <c r="I67" s="23">
        <f>B66*Summary!C$16*Summary!C$17*24*375*1000*B$6</f>
        <v>129008250000</v>
      </c>
      <c r="J67" s="23">
        <f t="shared" si="19"/>
        <v>142878250000</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122"/>
  <sheetViews>
    <sheetView showGridLines="0" workbookViewId="0">
      <selection activeCell="F5" sqref="F5"/>
    </sheetView>
  </sheetViews>
  <sheetFormatPr baseColWidth="10" defaultColWidth="8.83203125" defaultRowHeight="14" x14ac:dyDescent="0"/>
  <cols>
    <col min="1" max="1" width="5.5" style="63" customWidth="1"/>
    <col min="2" max="2" width="34.5" style="63" customWidth="1"/>
    <col min="3" max="3" width="16" style="64" customWidth="1"/>
    <col min="4" max="7" width="12.6640625" style="64" customWidth="1"/>
    <col min="8" max="8" width="12.6640625" style="162" customWidth="1"/>
    <col min="9" max="9" width="21.6640625" style="63" customWidth="1"/>
    <col min="10" max="10" width="20.5" style="63" customWidth="1"/>
    <col min="11" max="11" width="12.6640625" style="162" customWidth="1"/>
    <col min="12" max="12" width="21" style="63" customWidth="1"/>
    <col min="13" max="13" width="18.6640625" style="63" customWidth="1"/>
    <col min="14" max="14" width="14.6640625" style="63" customWidth="1"/>
    <col min="15" max="15" width="13.6640625" style="63" customWidth="1"/>
    <col min="16" max="16" width="13.33203125" style="63" customWidth="1"/>
    <col min="17" max="17" width="12.83203125" style="63" customWidth="1"/>
    <col min="18" max="18" width="13.5" style="63" customWidth="1"/>
    <col min="19" max="19" width="13.1640625" style="63" customWidth="1"/>
    <col min="20" max="16384" width="8.83203125" style="63"/>
  </cols>
  <sheetData>
    <row r="1" spans="2:18" ht="28.5" customHeight="1">
      <c r="B1" s="330" t="s">
        <v>204</v>
      </c>
      <c r="C1" s="330"/>
      <c r="D1" s="330"/>
      <c r="E1" s="330"/>
      <c r="F1" s="330"/>
      <c r="G1" s="330"/>
      <c r="H1" s="330"/>
      <c r="I1" s="330"/>
      <c r="J1" s="330"/>
      <c r="K1" s="330"/>
      <c r="L1" s="330"/>
      <c r="M1" s="330"/>
      <c r="N1" s="330"/>
      <c r="O1" s="159"/>
      <c r="P1" s="159"/>
      <c r="Q1" s="159"/>
      <c r="R1" s="159"/>
    </row>
    <row r="2" spans="2:18" ht="21" customHeight="1">
      <c r="B2" s="186"/>
      <c r="C2" s="186"/>
      <c r="D2" s="186"/>
      <c r="E2" s="186"/>
      <c r="F2" s="186"/>
      <c r="G2" s="186"/>
      <c r="H2" s="186"/>
      <c r="I2" s="186"/>
      <c r="J2" s="186"/>
      <c r="K2" s="186"/>
      <c r="L2" s="186"/>
      <c r="M2" s="186"/>
      <c r="N2" s="186"/>
      <c r="O2" s="159"/>
      <c r="P2" s="159"/>
      <c r="Q2" s="159"/>
      <c r="R2" s="159"/>
    </row>
    <row r="3" spans="2:18" ht="18.75" customHeight="1">
      <c r="B3" s="252" t="s">
        <v>257</v>
      </c>
      <c r="C3" s="251"/>
      <c r="D3" s="160"/>
      <c r="E3" s="160"/>
      <c r="F3" s="160"/>
      <c r="G3" s="160"/>
      <c r="H3" s="160"/>
      <c r="I3" s="161"/>
      <c r="J3" s="161"/>
      <c r="K3" s="160"/>
      <c r="L3" s="160"/>
      <c r="M3" s="160"/>
      <c r="N3" s="160"/>
      <c r="O3" s="160"/>
      <c r="P3" s="160"/>
      <c r="Q3" s="160"/>
      <c r="R3" s="160"/>
    </row>
    <row r="4" spans="2:18" ht="16.5" customHeight="1">
      <c r="B4" s="250" t="s">
        <v>258</v>
      </c>
      <c r="C4" s="249"/>
      <c r="D4" s="160"/>
      <c r="E4" s="160"/>
      <c r="F4" s="160"/>
      <c r="G4" s="160"/>
      <c r="H4" s="160"/>
      <c r="I4" s="161"/>
      <c r="J4" s="161"/>
      <c r="K4" s="160"/>
      <c r="L4" s="160"/>
      <c r="M4" s="160"/>
      <c r="N4" s="160"/>
      <c r="O4" s="160"/>
      <c r="P4" s="160"/>
      <c r="Q4" s="160"/>
      <c r="R4" s="160"/>
    </row>
    <row r="5" spans="2:18" ht="16.5" customHeight="1">
      <c r="B5" s="247"/>
      <c r="C5" s="248"/>
      <c r="D5" s="160"/>
      <c r="E5" s="160"/>
      <c r="F5" s="160"/>
      <c r="G5" s="160"/>
      <c r="H5" s="160"/>
      <c r="I5" s="161"/>
      <c r="J5" s="161"/>
      <c r="K5" s="160"/>
      <c r="L5" s="160"/>
      <c r="M5" s="160"/>
      <c r="N5" s="160"/>
      <c r="O5" s="160"/>
      <c r="P5" s="160"/>
      <c r="Q5" s="160"/>
      <c r="R5" s="160"/>
    </row>
    <row r="6" spans="2:18" ht="16.5" customHeight="1" thickBot="1">
      <c r="B6" s="331" t="s">
        <v>263</v>
      </c>
      <c r="C6" s="331"/>
      <c r="D6" s="160"/>
      <c r="E6" s="160"/>
      <c r="F6" s="160"/>
      <c r="G6" s="160"/>
      <c r="H6" s="160"/>
      <c r="I6" s="161"/>
      <c r="J6" s="161"/>
      <c r="K6" s="160"/>
      <c r="L6" s="160"/>
      <c r="M6" s="160"/>
      <c r="N6" s="160"/>
      <c r="O6" s="160"/>
      <c r="P6" s="160"/>
      <c r="Q6" s="160"/>
      <c r="R6" s="160"/>
    </row>
    <row r="7" spans="2:18">
      <c r="B7" s="242" t="s">
        <v>249</v>
      </c>
      <c r="C7" s="187">
        <v>20</v>
      </c>
      <c r="D7" s="65" t="s">
        <v>121</v>
      </c>
      <c r="I7" s="163"/>
      <c r="J7" s="163"/>
    </row>
    <row r="8" spans="2:18" ht="28">
      <c r="B8" s="243" t="s">
        <v>248</v>
      </c>
      <c r="C8" s="188">
        <f>Summary!C31</f>
        <v>693.5</v>
      </c>
      <c r="D8" s="164"/>
      <c r="E8" s="164"/>
      <c r="F8" s="164"/>
      <c r="G8" s="164"/>
      <c r="H8" s="165"/>
      <c r="I8" s="163"/>
      <c r="J8" s="163"/>
      <c r="K8" s="165"/>
    </row>
    <row r="9" spans="2:18" ht="28">
      <c r="B9" s="244" t="s">
        <v>247</v>
      </c>
      <c r="C9" s="241">
        <v>20</v>
      </c>
      <c r="D9" s="166"/>
      <c r="E9" s="166"/>
      <c r="F9" s="166"/>
      <c r="G9" s="166"/>
      <c r="H9" s="167"/>
      <c r="I9" s="163"/>
      <c r="J9" s="163"/>
      <c r="K9" s="167"/>
    </row>
    <row r="10" spans="2:18" ht="21.75" customHeight="1">
      <c r="B10" s="243" t="s">
        <v>246</v>
      </c>
      <c r="C10" s="189">
        <f>C9*C8*1000000</f>
        <v>13870000000</v>
      </c>
      <c r="D10" s="169"/>
      <c r="E10" s="169"/>
      <c r="F10" s="169"/>
      <c r="G10" s="169"/>
      <c r="H10" s="167"/>
      <c r="I10" s="163"/>
      <c r="J10" s="163"/>
      <c r="K10" s="167"/>
    </row>
    <row r="11" spans="2:18" ht="28">
      <c r="B11" s="244" t="s">
        <v>245</v>
      </c>
      <c r="C11" s="241">
        <v>0.05</v>
      </c>
      <c r="D11" s="166"/>
      <c r="E11" s="166"/>
      <c r="F11" s="166"/>
      <c r="G11" s="166"/>
      <c r="H11" s="167"/>
      <c r="I11" s="163"/>
      <c r="J11" s="163"/>
      <c r="K11" s="167"/>
    </row>
    <row r="12" spans="2:18" ht="28">
      <c r="B12" s="243" t="s">
        <v>244</v>
      </c>
      <c r="C12" s="190"/>
      <c r="I12" s="163"/>
      <c r="J12" s="163"/>
    </row>
    <row r="13" spans="2:18" ht="28">
      <c r="B13" s="245" t="s">
        <v>35</v>
      </c>
      <c r="C13" s="190">
        <v>4</v>
      </c>
      <c r="H13" s="171"/>
      <c r="I13" s="163"/>
      <c r="J13" s="163"/>
    </row>
    <row r="14" spans="2:18" ht="28">
      <c r="B14" s="245" t="s">
        <v>36</v>
      </c>
      <c r="C14" s="188">
        <f>Summary!C16</f>
        <v>5</v>
      </c>
      <c r="I14" s="163"/>
      <c r="J14" s="163"/>
    </row>
    <row r="15" spans="2:18">
      <c r="B15" s="245" t="s">
        <v>243</v>
      </c>
      <c r="C15" s="189">
        <f>C14*1000000*C13</f>
        <v>20000000</v>
      </c>
      <c r="D15" s="168"/>
      <c r="E15" s="168"/>
      <c r="F15" s="168"/>
      <c r="G15" s="168"/>
      <c r="H15" s="172"/>
      <c r="I15" s="163"/>
      <c r="J15" s="163"/>
      <c r="K15" s="172"/>
    </row>
    <row r="16" spans="2:18" ht="28">
      <c r="B16" s="245" t="s">
        <v>242</v>
      </c>
      <c r="C16" s="188">
        <f>C10/C15</f>
        <v>693.5</v>
      </c>
      <c r="D16" s="164"/>
      <c r="E16" s="164"/>
      <c r="F16" s="164"/>
      <c r="G16" s="164"/>
      <c r="H16" s="165"/>
      <c r="K16" s="165"/>
    </row>
    <row r="17" spans="2:23" ht="43.5" customHeight="1" thickBot="1">
      <c r="B17" s="246" t="s">
        <v>77</v>
      </c>
      <c r="C17" s="191">
        <v>1000</v>
      </c>
      <c r="D17" s="164"/>
      <c r="E17" s="164"/>
      <c r="F17" s="164"/>
      <c r="G17" s="164"/>
      <c r="H17" s="165"/>
      <c r="K17" s="165"/>
    </row>
    <row r="18" spans="2:23" hidden="1">
      <c r="B18" s="170"/>
      <c r="C18" s="173"/>
      <c r="D18" s="164"/>
      <c r="E18" s="164"/>
      <c r="F18" s="164"/>
      <c r="G18" s="164"/>
      <c r="H18" s="165"/>
      <c r="K18" s="165"/>
    </row>
    <row r="19" spans="2:23" ht="39" customHeight="1" thickBot="1">
      <c r="B19" s="170"/>
      <c r="C19" s="173"/>
      <c r="D19" s="164"/>
      <c r="E19" s="164"/>
      <c r="F19" s="164"/>
      <c r="G19" s="164"/>
      <c r="H19" s="165"/>
      <c r="K19" s="165"/>
      <c r="V19" s="332" t="s">
        <v>325</v>
      </c>
      <c r="W19" s="332"/>
    </row>
    <row r="20" spans="2:23" s="174" customFormat="1" ht="71" thickBot="1">
      <c r="B20" s="182" t="s">
        <v>235</v>
      </c>
      <c r="C20" s="182" t="s">
        <v>236</v>
      </c>
      <c r="D20" s="182" t="s">
        <v>237</v>
      </c>
      <c r="E20" s="182" t="s">
        <v>238</v>
      </c>
      <c r="F20" s="182" t="s">
        <v>50</v>
      </c>
      <c r="G20" s="182" t="s">
        <v>42</v>
      </c>
      <c r="H20" s="183" t="s">
        <v>239</v>
      </c>
      <c r="I20" s="182" t="s">
        <v>149</v>
      </c>
      <c r="J20" s="182" t="s">
        <v>150</v>
      </c>
      <c r="K20" s="183" t="s">
        <v>240</v>
      </c>
      <c r="L20" s="182" t="s">
        <v>241</v>
      </c>
      <c r="M20" s="182" t="s">
        <v>154</v>
      </c>
      <c r="N20" s="182" t="s">
        <v>120</v>
      </c>
      <c r="O20" s="182" t="s">
        <v>152</v>
      </c>
      <c r="P20" s="182" t="s">
        <v>157</v>
      </c>
      <c r="Q20" s="182" t="s">
        <v>169</v>
      </c>
      <c r="R20" s="182" t="s">
        <v>156</v>
      </c>
      <c r="S20" s="174" t="s">
        <v>285</v>
      </c>
      <c r="T20" s="174" t="s">
        <v>293</v>
      </c>
      <c r="U20" s="174" t="s">
        <v>294</v>
      </c>
      <c r="V20" s="174" t="s">
        <v>290</v>
      </c>
      <c r="W20" s="174" t="s">
        <v>291</v>
      </c>
    </row>
    <row r="21" spans="2:23">
      <c r="B21" s="192">
        <v>1</v>
      </c>
      <c r="C21" s="184">
        <f>E21</f>
        <v>693.5</v>
      </c>
      <c r="D21" s="195">
        <f>H21/K21</f>
        <v>0</v>
      </c>
      <c r="E21" s="184">
        <f>M21/C$15</f>
        <v>693.5</v>
      </c>
      <c r="F21" s="196">
        <f t="shared" ref="F21:F52" si="0">E21*C$17/1000000</f>
        <v>0.69350000000000001</v>
      </c>
      <c r="G21" s="197">
        <f>C21/Summary!C$23</f>
        <v>9.8930099857346653E-3</v>
      </c>
      <c r="H21" s="198">
        <v>0</v>
      </c>
      <c r="I21" s="199">
        <f>Summary!C32</f>
        <v>49.716666666666669</v>
      </c>
      <c r="J21" s="184">
        <f>Summary!C33</f>
        <v>298.20499999999998</v>
      </c>
      <c r="K21" s="198">
        <f>SUM(I21:J21)</f>
        <v>347.92166666666662</v>
      </c>
      <c r="L21" s="184"/>
      <c r="M21" s="200">
        <f t="shared" ref="M21:M52" si="1">C$10+L21</f>
        <v>13870000000</v>
      </c>
      <c r="N21" s="184">
        <f ca="1">ROUNDUP(IF(B21&gt;$C$7,OFFSET(E21,-1*$C$7,0),0),0)</f>
        <v>0</v>
      </c>
      <c r="O21" s="201">
        <f>H21/I21*100%</f>
        <v>0</v>
      </c>
      <c r="P21" s="184">
        <f>C21*Summary!$C$16</f>
        <v>3467.5</v>
      </c>
      <c r="Q21" s="184">
        <f>P21*Summary!$C$17</f>
        <v>1387</v>
      </c>
      <c r="R21" s="201">
        <f>Q21/'Alberta Electricity Profile'!$C$33</f>
        <v>9.3068509696034349E-2</v>
      </c>
      <c r="S21" s="272">
        <f>P21/'Alberta Electricity Profile'!$D$49</f>
        <v>2.6562128953678099E-2</v>
      </c>
      <c r="T21" s="273">
        <f>$K$21</f>
        <v>347.92166666666662</v>
      </c>
      <c r="U21" s="63">
        <v>0</v>
      </c>
      <c r="V21" s="63">
        <f>U21/Q21*1000</f>
        <v>0</v>
      </c>
    </row>
    <row r="22" spans="2:23">
      <c r="B22" s="192">
        <f>B21+1</f>
        <v>2</v>
      </c>
      <c r="C22" s="184">
        <f ca="1">C21+E22-N22</f>
        <v>1417.5</v>
      </c>
      <c r="D22" s="195">
        <f t="shared" ref="D22:D52" si="2">H22/K22</f>
        <v>1.270703529117796E-2</v>
      </c>
      <c r="E22" s="184">
        <f t="shared" ref="E22:E53" si="3">ROUNDDOWN(M22/C$15,0)</f>
        <v>724</v>
      </c>
      <c r="F22" s="196">
        <f t="shared" si="0"/>
        <v>0.72399999999999998</v>
      </c>
      <c r="G22" s="197">
        <f ca="1">C22/Summary!C$23</f>
        <v>2.0221112696148361E-2</v>
      </c>
      <c r="H22" s="198">
        <f>H21+('Dev Plan (Wind)'!C21/Summary!C$23)*Summary!C$27</f>
        <v>8.8421057937975753</v>
      </c>
      <c r="I22" s="199">
        <f>I21+$I$21</f>
        <v>99.433333333333337</v>
      </c>
      <c r="J22" s="199">
        <f>J21+$J$21</f>
        <v>596.41</v>
      </c>
      <c r="K22" s="198">
        <f>SUM(I22:J22)</f>
        <v>695.84333333333325</v>
      </c>
      <c r="L22" s="200">
        <f>C21*Summary!C$16*Summary!C$17*24*375*1000*C$11</f>
        <v>624150000</v>
      </c>
      <c r="M22" s="200">
        <f t="shared" si="1"/>
        <v>14494150000</v>
      </c>
      <c r="N22" s="184">
        <f t="shared" ref="N22:N85" ca="1" si="4">ROUNDUP(IF(B22&gt;$C$7,OFFSET(E22,-1*$C$7,0),0),0)</f>
        <v>0</v>
      </c>
      <c r="O22" s="201">
        <f t="shared" ref="O22:O80" si="5">H22/I22*100%</f>
        <v>8.8924966079090603E-2</v>
      </c>
      <c r="P22" s="184">
        <f ca="1">C22*Summary!$C$16</f>
        <v>7087.5</v>
      </c>
      <c r="Q22" s="184">
        <f ca="1">P22*Summary!$C$17</f>
        <v>2835</v>
      </c>
      <c r="R22" s="201">
        <f ca="1">Q22/'Alberta Electricity Profile'!$C$33</f>
        <v>0.19023015500234852</v>
      </c>
      <c r="S22" s="272">
        <f ca="1">P22/'Alberta Electricity Profile'!$D$49</f>
        <v>5.4292455359536702E-2</v>
      </c>
      <c r="T22" s="273">
        <f>$K$21</f>
        <v>347.92166666666662</v>
      </c>
      <c r="U22" s="273">
        <f>H22-H21</f>
        <v>8.8421057937975753</v>
      </c>
      <c r="V22" s="63">
        <f>U22/Q21*1000</f>
        <v>6.3749861527019291</v>
      </c>
      <c r="W22" s="63">
        <f>(H22-H21)/C21*1000*1000</f>
        <v>12749.972305403859</v>
      </c>
    </row>
    <row r="23" spans="2:23">
      <c r="B23" s="192">
        <f t="shared" ref="B23:B86" si="6">B22+1</f>
        <v>3</v>
      </c>
      <c r="C23" s="184">
        <f t="shared" ref="C23:C80" ca="1" si="7">C22+E23-N23</f>
        <v>2174.5</v>
      </c>
      <c r="D23" s="195">
        <f t="shared" ca="1" si="2"/>
        <v>2.5786639269095572E-2</v>
      </c>
      <c r="E23" s="184">
        <f t="shared" ca="1" si="3"/>
        <v>757</v>
      </c>
      <c r="F23" s="196">
        <f t="shared" ca="1" si="0"/>
        <v>0.75700000000000001</v>
      </c>
      <c r="G23" s="197">
        <f ca="1">C23/Summary!C$23</f>
        <v>3.101997146932953E-2</v>
      </c>
      <c r="H23" s="198">
        <f ca="1">H22+('Dev Plan (Wind)'!C22/Summary!C$23)*Summary!C$27</f>
        <v>26.915191536707542</v>
      </c>
      <c r="I23" s="199">
        <f t="shared" ref="I23:I86" si="8">I22+$I$21</f>
        <v>149.15</v>
      </c>
      <c r="J23" s="199">
        <f t="shared" ref="J23:J86" si="9">J22+$J$21</f>
        <v>894.61500000000001</v>
      </c>
      <c r="K23" s="198">
        <f t="shared" ref="K23:K80" si="10">SUM(I23:J23)</f>
        <v>1043.7650000000001</v>
      </c>
      <c r="L23" s="200">
        <f ca="1">C22*Summary!C$16*Summary!C$17*24*375*1000*C$11</f>
        <v>1275750000</v>
      </c>
      <c r="M23" s="200">
        <f t="shared" ca="1" si="1"/>
        <v>15145750000</v>
      </c>
      <c r="N23" s="184">
        <f t="shared" ca="1" si="4"/>
        <v>0</v>
      </c>
      <c r="O23" s="201">
        <f t="shared" ca="1" si="5"/>
        <v>0.18045720105067076</v>
      </c>
      <c r="P23" s="184">
        <f ca="1">C23*Summary!$C$16</f>
        <v>10872.5</v>
      </c>
      <c r="Q23" s="184">
        <f ca="1">P23*Summary!$C$17</f>
        <v>4349</v>
      </c>
      <c r="R23" s="201">
        <f ca="1">Q23/'Alberta Electricity Profile'!$C$33</f>
        <v>0.29182043883781789</v>
      </c>
      <c r="S23" s="272">
        <f ca="1">P23/'Alberta Electricity Profile'!$D$49</f>
        <v>8.3286733107098804E-2</v>
      </c>
      <c r="T23" s="273">
        <f t="shared" ref="T23:T86" si="11">$K$21</f>
        <v>347.92166666666662</v>
      </c>
      <c r="U23" s="273">
        <f t="shared" ref="U23:U86" ca="1" si="12">H23-H22</f>
        <v>18.073085742909967</v>
      </c>
      <c r="V23" s="63">
        <f t="shared" ref="V23:V86" ca="1" si="13">U23/Q22*1000</f>
        <v>6.3749861527019283</v>
      </c>
      <c r="W23" s="63">
        <f t="shared" ref="W23:W86" ca="1" si="14">(H23-H22)/C22*1000*1000</f>
        <v>12749.972305403857</v>
      </c>
    </row>
    <row r="24" spans="2:23">
      <c r="B24" s="192">
        <f t="shared" si="6"/>
        <v>4</v>
      </c>
      <c r="C24" s="184">
        <f t="shared" ca="1" si="7"/>
        <v>2965.5</v>
      </c>
      <c r="D24" s="195">
        <f t="shared" ca="1" si="2"/>
        <v>3.9261715746462256E-2</v>
      </c>
      <c r="E24" s="184">
        <f t="shared" ca="1" si="3"/>
        <v>791</v>
      </c>
      <c r="F24" s="196">
        <f t="shared" ca="1" si="0"/>
        <v>0.79100000000000004</v>
      </c>
      <c r="G24" s="197">
        <f ca="1">C24/Summary!C$23</f>
        <v>4.2303851640513555E-2</v>
      </c>
      <c r="H24" s="198">
        <f ca="1">H23+('Dev Plan (Wind)'!C23/Summary!C$23)*Summary!C$27</f>
        <v>54.640006314808232</v>
      </c>
      <c r="I24" s="199">
        <f t="shared" si="8"/>
        <v>198.86666666666667</v>
      </c>
      <c r="J24" s="199">
        <f t="shared" si="9"/>
        <v>1192.82</v>
      </c>
      <c r="K24" s="198">
        <f t="shared" si="10"/>
        <v>1391.6866666666665</v>
      </c>
      <c r="L24" s="200">
        <f ca="1">C23*Summary!C$16*Summary!C$17*24*375*1000*C$11</f>
        <v>1957050000</v>
      </c>
      <c r="M24" s="200">
        <f t="shared" ca="1" si="1"/>
        <v>15827050000</v>
      </c>
      <c r="N24" s="184">
        <f t="shared" ca="1" si="4"/>
        <v>0</v>
      </c>
      <c r="O24" s="201">
        <f t="shared" ca="1" si="5"/>
        <v>0.27475698783845909</v>
      </c>
      <c r="P24" s="184">
        <f ca="1">C24*Summary!$C$16</f>
        <v>14827.5</v>
      </c>
      <c r="Q24" s="184">
        <f ca="1">P24*Summary!$C$17</f>
        <v>5931</v>
      </c>
      <c r="R24" s="201">
        <f ca="1">Q24/'Alberta Electricity Profile'!$C$33</f>
        <v>0.3979735623699926</v>
      </c>
      <c r="S24" s="272">
        <f ca="1">P24/'Alberta Electricity Profile'!$D$49</f>
        <v>0.11358326375217362</v>
      </c>
      <c r="T24" s="273">
        <f t="shared" si="11"/>
        <v>347.92166666666662</v>
      </c>
      <c r="U24" s="273">
        <f t="shared" ca="1" si="12"/>
        <v>27.72481477810069</v>
      </c>
      <c r="V24" s="63">
        <f t="shared" ca="1" si="13"/>
        <v>6.3749861527019291</v>
      </c>
      <c r="W24" s="63">
        <f t="shared" ca="1" si="14"/>
        <v>12749.972305403859</v>
      </c>
    </row>
    <row r="25" spans="2:23">
      <c r="B25" s="192">
        <f t="shared" si="6"/>
        <v>5</v>
      </c>
      <c r="C25" s="184">
        <f t="shared" ca="1" si="7"/>
        <v>3791.5</v>
      </c>
      <c r="D25" s="195">
        <f t="shared" ca="1" si="2"/>
        <v>5.3144174705886886E-2</v>
      </c>
      <c r="E25" s="184">
        <f t="shared" ca="1" si="3"/>
        <v>826</v>
      </c>
      <c r="F25" s="196">
        <f t="shared" ca="1" si="0"/>
        <v>0.82599999999999996</v>
      </c>
      <c r="G25" s="197">
        <f ca="1">C25/Summary!C$23</f>
        <v>5.4087018544935805E-2</v>
      </c>
      <c r="H25" s="198">
        <f ca="1">H24+('Dev Plan (Wind)'!C24/Summary!C$23)*Summary!C$27</f>
        <v>92.450049186483369</v>
      </c>
      <c r="I25" s="199">
        <f t="shared" si="8"/>
        <v>248.58333333333334</v>
      </c>
      <c r="J25" s="199">
        <f t="shared" si="9"/>
        <v>1491.0249999999999</v>
      </c>
      <c r="K25" s="198">
        <f t="shared" si="10"/>
        <v>1739.6083333333331</v>
      </c>
      <c r="L25" s="200">
        <f ca="1">C24*Summary!C$16*Summary!C$17*24*375*1000*C$11</f>
        <v>2668950000</v>
      </c>
      <c r="M25" s="200">
        <f t="shared" ca="1" si="1"/>
        <v>16538950000</v>
      </c>
      <c r="N25" s="184">
        <f t="shared" ca="1" si="4"/>
        <v>0</v>
      </c>
      <c r="O25" s="201">
        <f t="shared" ca="1" si="5"/>
        <v>0.37190767356278925</v>
      </c>
      <c r="P25" s="184">
        <f ca="1">C25*Summary!$C$16</f>
        <v>18957.5</v>
      </c>
      <c r="Q25" s="184">
        <f ca="1">P25*Summary!$C$17</f>
        <v>7583</v>
      </c>
      <c r="R25" s="201">
        <f ca="1">Q25/'Alberta Electricity Profile'!$C$33</f>
        <v>0.50882372676642285</v>
      </c>
      <c r="S25" s="272">
        <f ca="1">P25/'Alberta Electricity Profile'!$D$49</f>
        <v>0.14522034885057031</v>
      </c>
      <c r="T25" s="273">
        <f t="shared" si="11"/>
        <v>347.92166666666662</v>
      </c>
      <c r="U25" s="273">
        <f t="shared" ca="1" si="12"/>
        <v>37.810042871675137</v>
      </c>
      <c r="V25" s="63">
        <f t="shared" ca="1" si="13"/>
        <v>6.3749861527019283</v>
      </c>
      <c r="W25" s="63">
        <f t="shared" ca="1" si="14"/>
        <v>12749.972305403857</v>
      </c>
    </row>
    <row r="26" spans="2:23">
      <c r="B26" s="192">
        <f t="shared" si="6"/>
        <v>6</v>
      </c>
      <c r="C26" s="184">
        <f t="shared" ca="1" si="7"/>
        <v>4655.5</v>
      </c>
      <c r="D26" s="195">
        <f t="shared" ca="1" si="2"/>
        <v>6.7444093824961623E-2</v>
      </c>
      <c r="E26" s="184">
        <f t="shared" ca="1" si="3"/>
        <v>864</v>
      </c>
      <c r="F26" s="196">
        <f t="shared" ca="1" si="0"/>
        <v>0.86399999999999999</v>
      </c>
      <c r="G26" s="197">
        <f ca="1">C26/Summary!C$23</f>
        <v>6.6412268188302426E-2</v>
      </c>
      <c r="H26" s="198">
        <f ca="1">H25+('Dev Plan (Wind)'!C25/Summary!C$23)*Summary!C$27</f>
        <v>140.79156918242211</v>
      </c>
      <c r="I26" s="199">
        <f t="shared" si="8"/>
        <v>298.3</v>
      </c>
      <c r="J26" s="199">
        <f t="shared" si="9"/>
        <v>1789.2299999999998</v>
      </c>
      <c r="K26" s="198">
        <f t="shared" si="10"/>
        <v>2087.5299999999997</v>
      </c>
      <c r="L26" s="200">
        <f ca="1">C25*Summary!C$16*Summary!C$17*24*375*1000*C$11</f>
        <v>3412350000</v>
      </c>
      <c r="M26" s="200">
        <f t="shared" ca="1" si="1"/>
        <v>17282350000</v>
      </c>
      <c r="N26" s="184">
        <f t="shared" ca="1" si="4"/>
        <v>0</v>
      </c>
      <c r="O26" s="201">
        <f t="shared" ca="1" si="5"/>
        <v>0.47197978271009755</v>
      </c>
      <c r="P26" s="184">
        <f ca="1">C26*Summary!$C$16</f>
        <v>23277.5</v>
      </c>
      <c r="Q26" s="184">
        <f ca="1">P26*Summary!$C$17</f>
        <v>9311</v>
      </c>
      <c r="R26" s="201">
        <f ca="1">Q26/'Alberta Electricity Profile'!$C$33</f>
        <v>0.62477353552975912</v>
      </c>
      <c r="S26" s="272">
        <f ca="1">P26/'Alberta Electricity Profile'!$D$49</f>
        <v>0.17831289306971648</v>
      </c>
      <c r="T26" s="273">
        <f t="shared" si="11"/>
        <v>347.92166666666662</v>
      </c>
      <c r="U26" s="273">
        <f t="shared" ca="1" si="12"/>
        <v>48.341519995938739</v>
      </c>
      <c r="V26" s="63">
        <f t="shared" ca="1" si="13"/>
        <v>6.3749861527019309</v>
      </c>
      <c r="W26" s="63">
        <f t="shared" ca="1" si="14"/>
        <v>12749.972305403862</v>
      </c>
    </row>
    <row r="27" spans="2:23">
      <c r="B27" s="192">
        <f t="shared" si="6"/>
        <v>7</v>
      </c>
      <c r="C27" s="184">
        <f t="shared" ca="1" si="7"/>
        <v>5557.5</v>
      </c>
      <c r="D27" s="195">
        <f t="shared" ca="1" si="2"/>
        <v>8.2181497579940921E-2</v>
      </c>
      <c r="E27" s="184">
        <f t="shared" ca="1" si="3"/>
        <v>902</v>
      </c>
      <c r="F27" s="196">
        <f t="shared" ca="1" si="0"/>
        <v>0.90200000000000002</v>
      </c>
      <c r="G27" s="197">
        <f ca="1">C27/Summary!C$23</f>
        <v>7.9279600570613409E-2</v>
      </c>
      <c r="H27" s="198">
        <f ca="1">H26+('Dev Plan (Wind)'!C26/Summary!C$23)*Summary!C$27</f>
        <v>200.14906525022977</v>
      </c>
      <c r="I27" s="199">
        <f t="shared" si="8"/>
        <v>348.01666666666665</v>
      </c>
      <c r="J27" s="199">
        <f t="shared" si="9"/>
        <v>2087.4349999999999</v>
      </c>
      <c r="K27" s="198">
        <f t="shared" si="10"/>
        <v>2435.4516666666668</v>
      </c>
      <c r="L27" s="200">
        <f ca="1">C26*Summary!C$16*Summary!C$17*24*375*1000*C$11</f>
        <v>4189950000</v>
      </c>
      <c r="M27" s="200">
        <f t="shared" ca="1" si="1"/>
        <v>18059950000</v>
      </c>
      <c r="N27" s="184">
        <f t="shared" ca="1" si="4"/>
        <v>0</v>
      </c>
      <c r="O27" s="201">
        <f t="shared" ca="1" si="5"/>
        <v>0.575113448350835</v>
      </c>
      <c r="P27" s="184">
        <f ca="1">C27*Summary!$C$16</f>
        <v>27787.5</v>
      </c>
      <c r="Q27" s="184">
        <f ca="1">P27*Summary!$C$17</f>
        <v>11115</v>
      </c>
      <c r="R27" s="201">
        <f ca="1">Q27/'Alberta Electricity Profile'!$C$33</f>
        <v>0.7458229886600013</v>
      </c>
      <c r="S27" s="272">
        <f ca="1">P27/'Alberta Electricity Profile'!$D$49</f>
        <v>0.21286089640961217</v>
      </c>
      <c r="T27" s="273">
        <f t="shared" si="11"/>
        <v>347.92166666666662</v>
      </c>
      <c r="U27" s="273">
        <f t="shared" ca="1" si="12"/>
        <v>59.357496067807659</v>
      </c>
      <c r="V27" s="63">
        <f t="shared" ca="1" si="13"/>
        <v>6.3749861527019291</v>
      </c>
      <c r="W27" s="63">
        <f t="shared" ca="1" si="14"/>
        <v>12749.972305403859</v>
      </c>
    </row>
    <row r="28" spans="2:23">
      <c r="B28" s="192">
        <f t="shared" si="6"/>
        <v>8</v>
      </c>
      <c r="C28" s="184">
        <f t="shared" ca="1" si="7"/>
        <v>6500.5</v>
      </c>
      <c r="D28" s="195">
        <f t="shared" ca="1" si="2"/>
        <v>9.7366398208952112E-2</v>
      </c>
      <c r="E28" s="184">
        <f t="shared" ca="1" si="3"/>
        <v>943</v>
      </c>
      <c r="F28" s="196">
        <f t="shared" ca="1" si="0"/>
        <v>0.94299999999999995</v>
      </c>
      <c r="G28" s="197">
        <f ca="1">C28/Summary!C$23</f>
        <v>9.2731811697574898E-2</v>
      </c>
      <c r="H28" s="198">
        <f ca="1">H27+('Dev Plan (Wind)'!C27/Summary!C$23)*Summary!C$27</f>
        <v>271.00703633751169</v>
      </c>
      <c r="I28" s="199">
        <f t="shared" si="8"/>
        <v>397.73333333333335</v>
      </c>
      <c r="J28" s="199">
        <f t="shared" si="9"/>
        <v>2385.64</v>
      </c>
      <c r="K28" s="198">
        <f t="shared" si="10"/>
        <v>2783.373333333333</v>
      </c>
      <c r="L28" s="200">
        <f ca="1">C27*Summary!C$16*Summary!C$17*24*375*1000*C$11</f>
        <v>5001750000</v>
      </c>
      <c r="M28" s="200">
        <f t="shared" ca="1" si="1"/>
        <v>18871750000</v>
      </c>
      <c r="N28" s="184">
        <f t="shared" ca="1" si="4"/>
        <v>0</v>
      </c>
      <c r="O28" s="201">
        <f t="shared" ca="1" si="5"/>
        <v>0.68137873702022711</v>
      </c>
      <c r="P28" s="184">
        <f ca="1">C28*Summary!$C$16</f>
        <v>32502.5</v>
      </c>
      <c r="Q28" s="184">
        <f ca="1">P28*Summary!$C$17</f>
        <v>13001</v>
      </c>
      <c r="R28" s="201">
        <f ca="1">Q28/'Alberta Electricity Profile'!$C$33</f>
        <v>0.87237468965980003</v>
      </c>
      <c r="S28" s="272">
        <f ca="1">P28/'Alberta Electricity Profile'!$D$49</f>
        <v>0.2489792635376849</v>
      </c>
      <c r="T28" s="273">
        <f t="shared" si="11"/>
        <v>347.92166666666662</v>
      </c>
      <c r="U28" s="273">
        <f t="shared" ca="1" si="12"/>
        <v>70.857971087281925</v>
      </c>
      <c r="V28" s="63">
        <f t="shared" ca="1" si="13"/>
        <v>6.3749861527019274</v>
      </c>
      <c r="W28" s="63">
        <f t="shared" ca="1" si="14"/>
        <v>12749.972305403855</v>
      </c>
    </row>
    <row r="29" spans="2:23">
      <c r="B29" s="192">
        <f t="shared" si="6"/>
        <v>9</v>
      </c>
      <c r="C29" s="184">
        <f t="shared" ca="1" si="7"/>
        <v>7486.5</v>
      </c>
      <c r="D29" s="195">
        <f t="shared" ca="1" si="2"/>
        <v>0.11301657343328862</v>
      </c>
      <c r="E29" s="184">
        <f t="shared" ca="1" si="3"/>
        <v>986</v>
      </c>
      <c r="F29" s="196">
        <f t="shared" ca="1" si="0"/>
        <v>0.98599999999999999</v>
      </c>
      <c r="G29" s="197">
        <f ca="1">C29/Summary!C$23</f>
        <v>0.10679743223965764</v>
      </c>
      <c r="H29" s="198">
        <f ca="1">H28+('Dev Plan (Wind)'!C28/Summary!C$23)*Summary!C$27</f>
        <v>353.8882313087895</v>
      </c>
      <c r="I29" s="199">
        <f t="shared" si="8"/>
        <v>447.45000000000005</v>
      </c>
      <c r="J29" s="199">
        <f t="shared" si="9"/>
        <v>2683.8449999999998</v>
      </c>
      <c r="K29" s="198">
        <f t="shared" si="10"/>
        <v>3131.2950000000001</v>
      </c>
      <c r="L29" s="200">
        <f ca="1">C28*Summary!C$16*Summary!C$17*24*375*1000*C$11</f>
        <v>5850450000</v>
      </c>
      <c r="M29" s="200">
        <f t="shared" ca="1" si="1"/>
        <v>19720450000</v>
      </c>
      <c r="N29" s="184">
        <f t="shared" ca="1" si="4"/>
        <v>0</v>
      </c>
      <c r="O29" s="201">
        <f t="shared" ca="1" si="5"/>
        <v>0.79090005879716052</v>
      </c>
      <c r="P29" s="184">
        <f ca="1">C29*Summary!$C$16</f>
        <v>37432.5</v>
      </c>
      <c r="Q29" s="184">
        <f ca="1">P29*Summary!$C$17</f>
        <v>14973</v>
      </c>
      <c r="R29" s="201">
        <f ca="1">Q29/'Alberta Electricity Profile'!$C$33</f>
        <v>1.0046970408642555</v>
      </c>
      <c r="S29" s="272">
        <f ca="1">P29/'Alberta Electricity Profile'!$D$49</f>
        <v>0.28674459756555309</v>
      </c>
      <c r="T29" s="273">
        <f t="shared" si="11"/>
        <v>347.92166666666662</v>
      </c>
      <c r="U29" s="273">
        <f t="shared" ca="1" si="12"/>
        <v>82.881194971277807</v>
      </c>
      <c r="V29" s="63">
        <f t="shared" ca="1" si="13"/>
        <v>6.3749861527019309</v>
      </c>
      <c r="W29" s="63">
        <f t="shared" ca="1" si="14"/>
        <v>12749.972305403862</v>
      </c>
    </row>
    <row r="30" spans="2:23">
      <c r="B30" s="192">
        <f t="shared" si="6"/>
        <v>10</v>
      </c>
      <c r="C30" s="184">
        <f t="shared" ca="1" si="7"/>
        <v>8516.5</v>
      </c>
      <c r="D30" s="195">
        <f t="shared" ca="1" si="2"/>
        <v>0.1291500191057936</v>
      </c>
      <c r="E30" s="184">
        <f t="shared" ca="1" si="3"/>
        <v>1030</v>
      </c>
      <c r="F30" s="196">
        <f t="shared" ca="1" si="0"/>
        <v>1.03</v>
      </c>
      <c r="G30" s="197">
        <f ca="1">C30/Summary!C$23</f>
        <v>0.121490727532097</v>
      </c>
      <c r="H30" s="198">
        <f ca="1">H29+('Dev Plan (Wind)'!C29/Summary!C$23)*Summary!C$27</f>
        <v>449.34089897319546</v>
      </c>
      <c r="I30" s="199">
        <f t="shared" si="8"/>
        <v>497.16666666666674</v>
      </c>
      <c r="J30" s="199">
        <f t="shared" si="9"/>
        <v>2982.0499999999997</v>
      </c>
      <c r="K30" s="198">
        <f t="shared" si="10"/>
        <v>3479.2166666666662</v>
      </c>
      <c r="L30" s="200">
        <f ca="1">C29*Summary!C$16*Summary!C$17*24*375*1000*C$11</f>
        <v>6737850000</v>
      </c>
      <c r="M30" s="200">
        <f t="shared" ca="1" si="1"/>
        <v>20607850000</v>
      </c>
      <c r="N30" s="184">
        <f t="shared" ca="1" si="4"/>
        <v>0</v>
      </c>
      <c r="O30" s="201">
        <f t="shared" ca="1" si="5"/>
        <v>0.9038033502645566</v>
      </c>
      <c r="P30" s="184">
        <f ca="1">C30*Summary!$C$16</f>
        <v>42582.5</v>
      </c>
      <c r="Q30" s="184">
        <f ca="1">P30*Summary!$C$17</f>
        <v>17033</v>
      </c>
      <c r="R30" s="201">
        <f ca="1">Q30/'Alberta Electricity Profile'!$C$33</f>
        <v>1.1429242434409179</v>
      </c>
      <c r="S30" s="272">
        <f ca="1">P30/'Alberta Electricity Profile'!$D$49</f>
        <v>0.32619520004902597</v>
      </c>
      <c r="T30" s="273">
        <f t="shared" si="11"/>
        <v>347.92166666666662</v>
      </c>
      <c r="U30" s="273">
        <f t="shared" ca="1" si="12"/>
        <v>95.452667664405965</v>
      </c>
      <c r="V30" s="63">
        <f t="shared" ca="1" si="13"/>
        <v>6.3749861527019274</v>
      </c>
      <c r="W30" s="63">
        <f t="shared" ca="1" si="14"/>
        <v>12749.972305403855</v>
      </c>
    </row>
    <row r="31" spans="2:23">
      <c r="B31" s="192">
        <f t="shared" si="6"/>
        <v>11</v>
      </c>
      <c r="C31" s="184">
        <f t="shared" ca="1" si="7"/>
        <v>9592.5</v>
      </c>
      <c r="D31" s="195">
        <f t="shared" ca="1" si="2"/>
        <v>0.1457815185964885</v>
      </c>
      <c r="E31" s="184">
        <f t="shared" ca="1" si="3"/>
        <v>1076</v>
      </c>
      <c r="F31" s="196">
        <f t="shared" ca="1" si="0"/>
        <v>1.0760000000000001</v>
      </c>
      <c r="G31" s="197">
        <f ca="1">C31/Summary!C$23</f>
        <v>0.13684022824536377</v>
      </c>
      <c r="H31" s="198">
        <f ca="1">H30+('Dev Plan (Wind)'!C30/Summary!C$23)*Summary!C$27</f>
        <v>557.92603811216736</v>
      </c>
      <c r="I31" s="199">
        <f t="shared" si="8"/>
        <v>546.88333333333344</v>
      </c>
      <c r="J31" s="199">
        <f t="shared" si="9"/>
        <v>3280.2549999999997</v>
      </c>
      <c r="K31" s="198">
        <f t="shared" si="10"/>
        <v>3827.1383333333333</v>
      </c>
      <c r="L31" s="200">
        <f ca="1">C30*Summary!C$16*Summary!C$17*24*375*1000*C$11</f>
        <v>7664850000</v>
      </c>
      <c r="M31" s="200">
        <f t="shared" ca="1" si="1"/>
        <v>21534850000</v>
      </c>
      <c r="N31" s="184">
        <f t="shared" ca="1" si="4"/>
        <v>0</v>
      </c>
      <c r="O31" s="201">
        <f t="shared" ca="1" si="5"/>
        <v>1.0201920667640885</v>
      </c>
      <c r="P31" s="184">
        <f ca="1">C31*Summary!$C$16</f>
        <v>47962.5</v>
      </c>
      <c r="Q31" s="184">
        <f ca="1">P31*Summary!$C$17</f>
        <v>19185</v>
      </c>
      <c r="R31" s="201">
        <f ca="1">Q31/'Alberta Electricity Profile'!$C$33</f>
        <v>1.2873246997248875</v>
      </c>
      <c r="S31" s="272">
        <f ca="1">P31/'Alberta Electricity Profile'!$D$49</f>
        <v>0.36740767409972191</v>
      </c>
      <c r="T31" s="273">
        <f t="shared" si="11"/>
        <v>347.92166666666662</v>
      </c>
      <c r="U31" s="273">
        <f t="shared" ca="1" si="12"/>
        <v>108.5851391389719</v>
      </c>
      <c r="V31" s="63">
        <f t="shared" ca="1" si="13"/>
        <v>6.3749861527019256</v>
      </c>
      <c r="W31" s="63">
        <f t="shared" ca="1" si="14"/>
        <v>12749.972305403851</v>
      </c>
    </row>
    <row r="32" spans="2:23">
      <c r="B32" s="192">
        <f t="shared" si="6"/>
        <v>12</v>
      </c>
      <c r="C32" s="184">
        <f t="shared" ca="1" si="7"/>
        <v>10717.5</v>
      </c>
      <c r="D32" s="195">
        <f t="shared" ca="1" si="2"/>
        <v>0.16292703516877696</v>
      </c>
      <c r="E32" s="184">
        <f t="shared" ca="1" si="3"/>
        <v>1125</v>
      </c>
      <c r="F32" s="196">
        <f t="shared" ca="1" si="0"/>
        <v>1.125</v>
      </c>
      <c r="G32" s="197">
        <f ca="1">C32/Summary!C$23</f>
        <v>0.15288873038516404</v>
      </c>
      <c r="H32" s="198">
        <f ca="1">H31+('Dev Plan (Wind)'!C31/Summary!C$23)*Summary!C$27</f>
        <v>680.23014745175385</v>
      </c>
      <c r="I32" s="199">
        <f t="shared" si="8"/>
        <v>596.60000000000014</v>
      </c>
      <c r="J32" s="199">
        <f t="shared" si="9"/>
        <v>3578.4599999999996</v>
      </c>
      <c r="K32" s="198">
        <f t="shared" si="10"/>
        <v>4175.0599999999995</v>
      </c>
      <c r="L32" s="200">
        <f ca="1">C31*Summary!C$16*Summary!C$17*24*375*1000*C$11</f>
        <v>8633250000</v>
      </c>
      <c r="M32" s="200">
        <f t="shared" ca="1" si="1"/>
        <v>22503250000</v>
      </c>
      <c r="N32" s="184">
        <f t="shared" ca="1" si="4"/>
        <v>0</v>
      </c>
      <c r="O32" s="201">
        <f t="shared" ca="1" si="5"/>
        <v>1.1401779206365299</v>
      </c>
      <c r="P32" s="184">
        <f ca="1">C32*Summary!$C$16</f>
        <v>53587.5</v>
      </c>
      <c r="Q32" s="184">
        <f ca="1">P32*Summary!$C$17</f>
        <v>21435</v>
      </c>
      <c r="R32" s="201">
        <f ca="1">Q32/'Alberta Electricity Profile'!$C$33</f>
        <v>1.438301013218815</v>
      </c>
      <c r="S32" s="272">
        <f ca="1">P32/'Alberta Electricity Profile'!$D$49</f>
        <v>0.41049692438506852</v>
      </c>
      <c r="T32" s="273">
        <f t="shared" si="11"/>
        <v>347.92166666666662</v>
      </c>
      <c r="U32" s="273">
        <f t="shared" ca="1" si="12"/>
        <v>122.30410933958649</v>
      </c>
      <c r="V32" s="63">
        <f t="shared" ca="1" si="13"/>
        <v>6.3749861527019283</v>
      </c>
      <c r="W32" s="63">
        <f t="shared" ca="1" si="14"/>
        <v>12749.972305403857</v>
      </c>
    </row>
    <row r="33" spans="2:23">
      <c r="B33" s="192">
        <f t="shared" si="6"/>
        <v>13</v>
      </c>
      <c r="C33" s="184">
        <f t="shared" ca="1" si="7"/>
        <v>11892.5</v>
      </c>
      <c r="D33" s="195">
        <f t="shared" ca="1" si="2"/>
        <v>0.18060607710509249</v>
      </c>
      <c r="E33" s="184">
        <f t="shared" ca="1" si="3"/>
        <v>1175</v>
      </c>
      <c r="F33" s="196">
        <f t="shared" ca="1" si="0"/>
        <v>1.175</v>
      </c>
      <c r="G33" s="197">
        <f ca="1">C33/Summary!C$23</f>
        <v>0.16965049928673323</v>
      </c>
      <c r="H33" s="198">
        <f ca="1">H32+('Dev Plan (Wind)'!C32/Summary!C$23)*Summary!C$27</f>
        <v>816.87797563491972</v>
      </c>
      <c r="I33" s="199">
        <f t="shared" si="8"/>
        <v>646.31666666666683</v>
      </c>
      <c r="J33" s="199">
        <f t="shared" si="9"/>
        <v>3876.6649999999995</v>
      </c>
      <c r="K33" s="198">
        <f t="shared" si="10"/>
        <v>4522.9816666666666</v>
      </c>
      <c r="L33" s="200">
        <f ca="1">C32*Summary!C$16*Summary!C$17*24*375*1000*C$11</f>
        <v>9645750000</v>
      </c>
      <c r="M33" s="200">
        <f t="shared" ca="1" si="1"/>
        <v>23515750000</v>
      </c>
      <c r="N33" s="184">
        <f t="shared" ca="1" si="4"/>
        <v>0</v>
      </c>
      <c r="O33" s="201">
        <f t="shared" ca="1" si="5"/>
        <v>1.263897432581943</v>
      </c>
      <c r="P33" s="184">
        <f ca="1">C33*Summary!$C$16</f>
        <v>59462.5</v>
      </c>
      <c r="Q33" s="184">
        <f ca="1">P33*Summary!$C$17</f>
        <v>23785</v>
      </c>
      <c r="R33" s="201">
        <f ca="1">Q33/'Alberta Electricity Profile'!$C$33</f>
        <v>1.5959873850902502</v>
      </c>
      <c r="S33" s="272">
        <f ca="1">P33/'Alberta Electricity Profile'!$D$49</f>
        <v>0.45550125246087497</v>
      </c>
      <c r="T33" s="273">
        <f t="shared" si="11"/>
        <v>347.92166666666662</v>
      </c>
      <c r="U33" s="273">
        <f t="shared" ca="1" si="12"/>
        <v>136.64782818316587</v>
      </c>
      <c r="V33" s="63">
        <f t="shared" ca="1" si="13"/>
        <v>6.37498615270193</v>
      </c>
      <c r="W33" s="63">
        <f t="shared" ca="1" si="14"/>
        <v>12749.97230540386</v>
      </c>
    </row>
    <row r="34" spans="2:23">
      <c r="B34" s="192">
        <f t="shared" si="6"/>
        <v>14</v>
      </c>
      <c r="C34" s="184">
        <f t="shared" ca="1" si="7"/>
        <v>13120.5</v>
      </c>
      <c r="D34" s="195">
        <f t="shared" ca="1" si="2"/>
        <v>0.19883519647148307</v>
      </c>
      <c r="E34" s="184">
        <f t="shared" ca="1" si="3"/>
        <v>1228</v>
      </c>
      <c r="F34" s="196">
        <f t="shared" ca="1" si="0"/>
        <v>1.228</v>
      </c>
      <c r="G34" s="197">
        <f ca="1">C34/Summary!C$23</f>
        <v>0.18716833095577745</v>
      </c>
      <c r="H34" s="198">
        <f ca="1">H33+('Dev Plan (Wind)'!C33/Summary!C$23)*Summary!C$27</f>
        <v>968.50702127693512</v>
      </c>
      <c r="I34" s="199">
        <f t="shared" si="8"/>
        <v>696.03333333333353</v>
      </c>
      <c r="J34" s="199">
        <f t="shared" si="9"/>
        <v>4174.87</v>
      </c>
      <c r="K34" s="198">
        <f t="shared" si="10"/>
        <v>4870.9033333333336</v>
      </c>
      <c r="L34" s="200">
        <f ca="1">C33*Summary!C$16*Summary!C$17*24*375*1000*C$11</f>
        <v>10703250000</v>
      </c>
      <c r="M34" s="200">
        <f t="shared" ca="1" si="1"/>
        <v>24573250000</v>
      </c>
      <c r="N34" s="184">
        <f t="shared" ca="1" si="4"/>
        <v>0</v>
      </c>
      <c r="O34" s="201">
        <f t="shared" ca="1" si="5"/>
        <v>1.3914664354345121</v>
      </c>
      <c r="P34" s="184">
        <f ca="1">C34*Summary!$C$16</f>
        <v>65602.5</v>
      </c>
      <c r="Q34" s="184">
        <f ca="1">P34*Summary!$C$17</f>
        <v>26241</v>
      </c>
      <c r="R34" s="201">
        <f ca="1">Q34/'Alberta Electricity Profile'!$C$33</f>
        <v>1.7607864188418438</v>
      </c>
      <c r="S34" s="272">
        <f ca="1">P34/'Alberta Electricity Profile'!$D$49</f>
        <v>0.50253556299456881</v>
      </c>
      <c r="T34" s="273">
        <f t="shared" si="11"/>
        <v>347.92166666666662</v>
      </c>
      <c r="U34" s="273">
        <f t="shared" ca="1" si="12"/>
        <v>151.6290456420154</v>
      </c>
      <c r="V34" s="63">
        <f t="shared" ca="1" si="13"/>
        <v>6.37498615270193</v>
      </c>
      <c r="W34" s="63">
        <f t="shared" ca="1" si="14"/>
        <v>12749.97230540386</v>
      </c>
    </row>
    <row r="35" spans="2:23">
      <c r="B35" s="192">
        <f t="shared" si="6"/>
        <v>15</v>
      </c>
      <c r="C35" s="184">
        <f t="shared" ca="1" si="7"/>
        <v>14403.5</v>
      </c>
      <c r="D35" s="195">
        <f t="shared" ca="1" si="2"/>
        <v>0.21763386066978416</v>
      </c>
      <c r="E35" s="184">
        <f t="shared" ca="1" si="3"/>
        <v>1283</v>
      </c>
      <c r="F35" s="196">
        <f t="shared" ca="1" si="0"/>
        <v>1.2829999999999999</v>
      </c>
      <c r="G35" s="197">
        <f ca="1">C35/Summary!C$23</f>
        <v>0.20547075606276746</v>
      </c>
      <c r="H35" s="198">
        <f ca="1">H34+('Dev Plan (Wind)'!C34/Summary!C$23)*Summary!C$27</f>
        <v>1135.7930329099863</v>
      </c>
      <c r="I35" s="199">
        <f t="shared" si="8"/>
        <v>745.75000000000023</v>
      </c>
      <c r="J35" s="199">
        <f t="shared" si="9"/>
        <v>4473.0749999999998</v>
      </c>
      <c r="K35" s="198">
        <f t="shared" si="10"/>
        <v>5218.8249999999998</v>
      </c>
      <c r="L35" s="200">
        <f ca="1">C34*Summary!C$16*Summary!C$17*24*375*1000*C$11</f>
        <v>11808450000</v>
      </c>
      <c r="M35" s="200">
        <f t="shared" ca="1" si="1"/>
        <v>25678450000</v>
      </c>
      <c r="N35" s="184">
        <f t="shared" ca="1" si="4"/>
        <v>0</v>
      </c>
      <c r="O35" s="201">
        <f t="shared" ca="1" si="5"/>
        <v>1.5230211638082278</v>
      </c>
      <c r="P35" s="184">
        <f ca="1">C35*Summary!$C$16</f>
        <v>72017.5</v>
      </c>
      <c r="Q35" s="184">
        <f ca="1">P35*Summary!$C$17</f>
        <v>28807</v>
      </c>
      <c r="R35" s="201">
        <f ca="1">Q35/'Alberta Electricity Profile'!$C$33</f>
        <v>1.9329665168086962</v>
      </c>
      <c r="S35" s="272">
        <f ca="1">P35/'Alberta Electricity Profile'!$D$49</f>
        <v>0.55167645909776852</v>
      </c>
      <c r="T35" s="273">
        <f t="shared" si="11"/>
        <v>347.92166666666662</v>
      </c>
      <c r="U35" s="273">
        <f t="shared" ca="1" si="12"/>
        <v>167.2860116330512</v>
      </c>
      <c r="V35" s="63">
        <f t="shared" ca="1" si="13"/>
        <v>6.3749861527019247</v>
      </c>
      <c r="W35" s="63">
        <f t="shared" ca="1" si="14"/>
        <v>12749.97230540385</v>
      </c>
    </row>
    <row r="36" spans="2:23">
      <c r="B36" s="192">
        <f t="shared" si="6"/>
        <v>16</v>
      </c>
      <c r="C36" s="184">
        <f t="shared" ca="1" si="7"/>
        <v>15744.5</v>
      </c>
      <c r="D36" s="195">
        <f t="shared" ca="1" si="2"/>
        <v>0.2370212510139143</v>
      </c>
      <c r="E36" s="184">
        <f t="shared" ca="1" si="3"/>
        <v>1341</v>
      </c>
      <c r="F36" s="196">
        <f t="shared" ca="1" si="0"/>
        <v>1.341</v>
      </c>
      <c r="G36" s="197">
        <f ca="1">C36/Summary!C$23</f>
        <v>0.22460057061340941</v>
      </c>
      <c r="H36" s="198">
        <f ca="1">H35+('Dev Plan (Wind)'!C35/Summary!C$23)*Summary!C$27</f>
        <v>1319.4372590108708</v>
      </c>
      <c r="I36" s="199">
        <f t="shared" si="8"/>
        <v>795.46666666666692</v>
      </c>
      <c r="J36" s="199">
        <f t="shared" si="9"/>
        <v>4771.28</v>
      </c>
      <c r="K36" s="198">
        <f t="shared" si="10"/>
        <v>5566.7466666666669</v>
      </c>
      <c r="L36" s="200">
        <f ca="1">C35*Summary!C$16*Summary!C$17*24*375*1000*C$11</f>
        <v>12963150000</v>
      </c>
      <c r="M36" s="200">
        <f t="shared" ca="1" si="1"/>
        <v>26833150000</v>
      </c>
      <c r="N36" s="184">
        <f t="shared" ca="1" si="4"/>
        <v>0</v>
      </c>
      <c r="O36" s="201">
        <f t="shared" ca="1" si="5"/>
        <v>1.6586958502483284</v>
      </c>
      <c r="P36" s="184">
        <f ca="1">C36*Summary!$C$16</f>
        <v>78722.5</v>
      </c>
      <c r="Q36" s="184">
        <f ca="1">P36*Summary!$C$17</f>
        <v>31489</v>
      </c>
      <c r="R36" s="201">
        <f ca="1">Q36/'Alberta Electricity Profile'!$C$33</f>
        <v>2.1129302824934575</v>
      </c>
      <c r="S36" s="272">
        <f ca="1">P36/'Alberta Electricity Profile'!$D$49</f>
        <v>0.60303884543790165</v>
      </c>
      <c r="T36" s="273">
        <f t="shared" si="11"/>
        <v>347.92166666666662</v>
      </c>
      <c r="U36" s="273">
        <f t="shared" ca="1" si="12"/>
        <v>183.64422610088445</v>
      </c>
      <c r="V36" s="63">
        <f t="shared" ca="1" si="13"/>
        <v>6.3749861527019283</v>
      </c>
      <c r="W36" s="63">
        <f t="shared" ca="1" si="14"/>
        <v>12749.972305403857</v>
      </c>
    </row>
    <row r="37" spans="2:23">
      <c r="B37" s="192">
        <f t="shared" si="6"/>
        <v>17</v>
      </c>
      <c r="C37" s="184">
        <f t="shared" ca="1" si="7"/>
        <v>17146.5</v>
      </c>
      <c r="D37" s="195">
        <f t="shared" ca="1" si="2"/>
        <v>0.2570185025263409</v>
      </c>
      <c r="E37" s="184">
        <f t="shared" ca="1" si="3"/>
        <v>1402</v>
      </c>
      <c r="F37" s="196">
        <f t="shared" ca="1" si="0"/>
        <v>1.4019999999999999</v>
      </c>
      <c r="G37" s="197">
        <f ca="1">C37/Summary!C$23</f>
        <v>0.24460057061340942</v>
      </c>
      <c r="H37" s="198">
        <f ca="1">H36+('Dev Plan (Wind)'!C36/Summary!C$23)*Summary!C$27</f>
        <v>1520.1791979733018</v>
      </c>
      <c r="I37" s="199">
        <f t="shared" si="8"/>
        <v>845.18333333333362</v>
      </c>
      <c r="J37" s="199">
        <f t="shared" si="9"/>
        <v>5069.4849999999997</v>
      </c>
      <c r="K37" s="198">
        <f t="shared" si="10"/>
        <v>5914.6683333333331</v>
      </c>
      <c r="L37" s="200">
        <f ca="1">C36*Summary!C$16*Summary!C$17*24*375*1000*C$11</f>
        <v>14170050000</v>
      </c>
      <c r="M37" s="200">
        <f t="shared" ca="1" si="1"/>
        <v>28040050000</v>
      </c>
      <c r="N37" s="184">
        <f t="shared" ca="1" si="4"/>
        <v>0</v>
      </c>
      <c r="O37" s="201">
        <f t="shared" ca="1" si="5"/>
        <v>1.7986383995266919</v>
      </c>
      <c r="P37" s="184">
        <f ca="1">C37*Summary!$C$16</f>
        <v>85732.5</v>
      </c>
      <c r="Q37" s="184">
        <f ca="1">P37*Summary!$C$17</f>
        <v>34293</v>
      </c>
      <c r="R37" s="201">
        <f ca="1">Q37/'Alberta Electricity Profile'!$C$33</f>
        <v>2.3010803193987788</v>
      </c>
      <c r="S37" s="272">
        <f ca="1">P37/'Alberta Electricity Profile'!$D$49</f>
        <v>0.65673762668239588</v>
      </c>
      <c r="T37" s="273">
        <f t="shared" si="11"/>
        <v>347.92166666666662</v>
      </c>
      <c r="U37" s="273">
        <f t="shared" ca="1" si="12"/>
        <v>200.74193896243105</v>
      </c>
      <c r="V37" s="63">
        <f t="shared" ca="1" si="13"/>
        <v>6.3749861527019291</v>
      </c>
      <c r="W37" s="63">
        <f t="shared" ca="1" si="14"/>
        <v>12749.972305403859</v>
      </c>
    </row>
    <row r="38" spans="2:23">
      <c r="B38" s="192">
        <f t="shared" si="6"/>
        <v>18</v>
      </c>
      <c r="C38" s="184">
        <f t="shared" ca="1" si="7"/>
        <v>18611.5</v>
      </c>
      <c r="D38" s="195">
        <f t="shared" ca="1" si="2"/>
        <v>0.27764816124126107</v>
      </c>
      <c r="E38" s="184">
        <f t="shared" ca="1" si="3"/>
        <v>1465</v>
      </c>
      <c r="F38" s="196">
        <f t="shared" ca="1" si="0"/>
        <v>1.4650000000000001</v>
      </c>
      <c r="G38" s="197">
        <f ca="1">C38/Summary!C$23</f>
        <v>0.26549928673323825</v>
      </c>
      <c r="H38" s="198">
        <f ca="1">H37+('Dev Plan (Wind)'!C37/Summary!C$23)*Summary!C$27</f>
        <v>1738.7965981079092</v>
      </c>
      <c r="I38" s="199">
        <f t="shared" si="8"/>
        <v>894.90000000000032</v>
      </c>
      <c r="J38" s="199">
        <f t="shared" si="9"/>
        <v>5367.69</v>
      </c>
      <c r="K38" s="198">
        <f t="shared" si="10"/>
        <v>6262.59</v>
      </c>
      <c r="L38" s="200">
        <f ca="1">C37*Summary!C$16*Summary!C$17*24*375*1000*C$11</f>
        <v>15431850000</v>
      </c>
      <c r="M38" s="200">
        <f t="shared" ca="1" si="1"/>
        <v>29301850000</v>
      </c>
      <c r="N38" s="184">
        <f t="shared" ca="1" si="4"/>
        <v>0</v>
      </c>
      <c r="O38" s="201">
        <f t="shared" ca="1" si="5"/>
        <v>1.9430065908011047</v>
      </c>
      <c r="P38" s="184">
        <f ca="1">C38*Summary!$C$16</f>
        <v>93057.5</v>
      </c>
      <c r="Q38" s="184">
        <f ca="1">P38*Summary!$C$17</f>
        <v>37223</v>
      </c>
      <c r="R38" s="201">
        <f ca="1">Q38/'Alberta Electricity Profile'!$C$33</f>
        <v>2.4976850298597597</v>
      </c>
      <c r="S38" s="272">
        <f ca="1">P38/'Alberta Electricity Profile'!$D$49</f>
        <v>0.71284940594286939</v>
      </c>
      <c r="T38" s="273">
        <f t="shared" si="11"/>
        <v>347.92166666666662</v>
      </c>
      <c r="U38" s="273">
        <f t="shared" ca="1" si="12"/>
        <v>218.61740013460735</v>
      </c>
      <c r="V38" s="63">
        <f t="shared" ca="1" si="13"/>
        <v>6.3749861527019318</v>
      </c>
      <c r="W38" s="63">
        <f t="shared" ca="1" si="14"/>
        <v>12749.972305403864</v>
      </c>
    </row>
    <row r="39" spans="2:23">
      <c r="B39" s="192">
        <f t="shared" si="6"/>
        <v>19</v>
      </c>
      <c r="C39" s="184">
        <f t="shared" ca="1" si="7"/>
        <v>20142.5</v>
      </c>
      <c r="D39" s="195">
        <f t="shared" ca="1" si="2"/>
        <v>0.29893188414360261</v>
      </c>
      <c r="E39" s="184">
        <f t="shared" ca="1" si="3"/>
        <v>1531</v>
      </c>
      <c r="F39" s="196">
        <f t="shared" ca="1" si="0"/>
        <v>1.5309999999999999</v>
      </c>
      <c r="G39" s="197">
        <f ca="1">C39/Summary!C$23</f>
        <v>0.287339514978602</v>
      </c>
      <c r="H39" s="198">
        <f ca="1">H38+('Dev Plan (Wind)'!C38/Summary!C$23)*Summary!C$27</f>
        <v>1976.0927076699331</v>
      </c>
      <c r="I39" s="199">
        <f t="shared" si="8"/>
        <v>944.61666666666702</v>
      </c>
      <c r="J39" s="199">
        <f t="shared" si="9"/>
        <v>5665.8949999999995</v>
      </c>
      <c r="K39" s="198">
        <f t="shared" si="10"/>
        <v>6610.5116666666663</v>
      </c>
      <c r="L39" s="200">
        <f ca="1">C38*Summary!C$16*Summary!C$17*24*375*1000*C$11</f>
        <v>16750350000</v>
      </c>
      <c r="M39" s="200">
        <f t="shared" ca="1" si="1"/>
        <v>30620350000</v>
      </c>
      <c r="N39" s="184">
        <f t="shared" ca="1" si="4"/>
        <v>0</v>
      </c>
      <c r="O39" s="201">
        <f t="shared" ca="1" si="5"/>
        <v>2.091951981583287</v>
      </c>
      <c r="P39" s="184">
        <f ca="1">C39*Summary!$C$16</f>
        <v>100712.5</v>
      </c>
      <c r="Q39" s="184">
        <f ca="1">P39*Summary!$C$17</f>
        <v>40285</v>
      </c>
      <c r="R39" s="201">
        <f ca="1">Q39/'Alberta Electricity Profile'!$C$33</f>
        <v>2.7031470173790511</v>
      </c>
      <c r="S39" s="272">
        <f ca="1">P39/'Alberta Electricity Profile'!$D$49</f>
        <v>0.77148908788674997</v>
      </c>
      <c r="T39" s="273">
        <f t="shared" si="11"/>
        <v>347.92166666666662</v>
      </c>
      <c r="U39" s="273">
        <f t="shared" ca="1" si="12"/>
        <v>237.29610956202396</v>
      </c>
      <c r="V39" s="63">
        <f t="shared" ca="1" si="13"/>
        <v>6.37498615270193</v>
      </c>
      <c r="W39" s="63">
        <f t="shared" ca="1" si="14"/>
        <v>12749.97230540386</v>
      </c>
    </row>
    <row r="40" spans="2:23">
      <c r="B40" s="192">
        <f t="shared" si="6"/>
        <v>20</v>
      </c>
      <c r="C40" s="184">
        <f t="shared" ca="1" si="7"/>
        <v>21741.5</v>
      </c>
      <c r="D40" s="195">
        <f t="shared" ca="1" si="2"/>
        <v>0.32089249373635781</v>
      </c>
      <c r="E40" s="184">
        <f t="shared" ca="1" si="3"/>
        <v>1599</v>
      </c>
      <c r="F40" s="196">
        <f t="shared" ca="1" si="0"/>
        <v>1.599</v>
      </c>
      <c r="G40" s="197">
        <f ca="1">C40/Summary!C$23</f>
        <v>0.31014978601997145</v>
      </c>
      <c r="H40" s="198">
        <f ca="1">H39+('Dev Plan (Wind)'!C39/Summary!C$23)*Summary!C$27</f>
        <v>2232.9090248315301</v>
      </c>
      <c r="I40" s="199">
        <f t="shared" si="8"/>
        <v>994.33333333333371</v>
      </c>
      <c r="J40" s="199">
        <f t="shared" si="9"/>
        <v>5964.0999999999995</v>
      </c>
      <c r="K40" s="198">
        <f t="shared" si="10"/>
        <v>6958.4333333333334</v>
      </c>
      <c r="L40" s="200">
        <f ca="1">C39*Summary!C$16*Summary!C$17*24*375*1000*C$11</f>
        <v>18128250000</v>
      </c>
      <c r="M40" s="200">
        <f t="shared" ca="1" si="1"/>
        <v>31998250000</v>
      </c>
      <c r="N40" s="184">
        <f t="shared" ca="1" si="4"/>
        <v>0</v>
      </c>
      <c r="O40" s="201">
        <f t="shared" ca="1" si="5"/>
        <v>2.2456342857843072</v>
      </c>
      <c r="P40" s="184">
        <f ca="1">C40*Summary!$C$16</f>
        <v>108707.5</v>
      </c>
      <c r="Q40" s="184">
        <f ca="1">P40*Summary!$C$17</f>
        <v>43483</v>
      </c>
      <c r="R40" s="201">
        <f ca="1">Q40/'Alberta Electricity Profile'!$C$33</f>
        <v>2.9177346842917533</v>
      </c>
      <c r="S40" s="272">
        <f ca="1">P40/'Alberta Electricity Profile'!$D$49</f>
        <v>0.83273327562565591</v>
      </c>
      <c r="T40" s="273">
        <f t="shared" si="11"/>
        <v>347.92166666666662</v>
      </c>
      <c r="U40" s="273">
        <f t="shared" ca="1" si="12"/>
        <v>256.816317161597</v>
      </c>
      <c r="V40" s="63">
        <f t="shared" ca="1" si="13"/>
        <v>6.3749861527019238</v>
      </c>
      <c r="W40" s="63">
        <f t="shared" ca="1" si="14"/>
        <v>12749.972305403848</v>
      </c>
    </row>
    <row r="41" spans="2:23">
      <c r="B41" s="192">
        <f t="shared" si="6"/>
        <v>21</v>
      </c>
      <c r="C41" s="184">
        <f t="shared" ca="1" si="7"/>
        <v>22718.5</v>
      </c>
      <c r="D41" s="195">
        <f t="shared" ca="1" si="2"/>
        <v>0.34355195548388601</v>
      </c>
      <c r="E41" s="184">
        <f t="shared" ca="1" si="3"/>
        <v>1671</v>
      </c>
      <c r="F41" s="196">
        <f t="shared" ca="1" si="0"/>
        <v>1.671</v>
      </c>
      <c r="G41" s="197">
        <f ca="1">C41/Summary!C$23</f>
        <v>0.32408701854493582</v>
      </c>
      <c r="H41" s="198">
        <f ca="1">H40+('Dev Plan (Wind)'!C40/Summary!C$23)*Summary!C$27</f>
        <v>2510.1125477094679</v>
      </c>
      <c r="I41" s="199">
        <f t="shared" si="8"/>
        <v>1044.0500000000004</v>
      </c>
      <c r="J41" s="199">
        <f t="shared" si="9"/>
        <v>6262.3049999999994</v>
      </c>
      <c r="K41" s="198">
        <f t="shared" si="10"/>
        <v>7306.3549999999996</v>
      </c>
      <c r="L41" s="200">
        <f ca="1">C40*Summary!C$16*Summary!C$17*24*375*1000*C$11</f>
        <v>19567350000</v>
      </c>
      <c r="M41" s="200">
        <f t="shared" ca="1" si="1"/>
        <v>33437350000</v>
      </c>
      <c r="N41" s="184">
        <f t="shared" ca="1" si="4"/>
        <v>694</v>
      </c>
      <c r="O41" s="201">
        <f t="shared" ca="1" si="5"/>
        <v>2.4042072196824549</v>
      </c>
      <c r="P41" s="184">
        <f ca="1">C41*Summary!$C$16</f>
        <v>113592.5</v>
      </c>
      <c r="Q41" s="184">
        <f ca="1">P41*Summary!$C$17</f>
        <v>45437</v>
      </c>
      <c r="R41" s="201">
        <f ca="1">Q41/'Alberta Electricity Profile'!$C$33</f>
        <v>3.0488492249882575</v>
      </c>
      <c r="S41" s="272">
        <f ca="1">P41/'Alberta Electricity Profile'!$D$49</f>
        <v>0.87015389565124135</v>
      </c>
      <c r="T41" s="273">
        <f t="shared" si="11"/>
        <v>347.92166666666662</v>
      </c>
      <c r="U41" s="273">
        <f t="shared" ca="1" si="12"/>
        <v>277.20352287793776</v>
      </c>
      <c r="V41" s="63">
        <f t="shared" ca="1" si="13"/>
        <v>6.3749861527019238</v>
      </c>
      <c r="W41" s="63">
        <f t="shared" ca="1" si="14"/>
        <v>12749.972305403848</v>
      </c>
    </row>
    <row r="42" spans="2:23">
      <c r="B42" s="192">
        <f t="shared" si="6"/>
        <v>22</v>
      </c>
      <c r="C42" s="184">
        <f t="shared" ca="1" si="7"/>
        <v>23709.5</v>
      </c>
      <c r="D42" s="195">
        <f t="shared" ca="1" si="2"/>
        <v>0.36577888616469989</v>
      </c>
      <c r="E42" s="184">
        <f t="shared" ca="1" si="3"/>
        <v>1715</v>
      </c>
      <c r="F42" s="196">
        <f t="shared" ca="1" si="0"/>
        <v>1.7150000000000001</v>
      </c>
      <c r="G42" s="197">
        <f ca="1">C42/Summary!C$23</f>
        <v>0.33822396576319541</v>
      </c>
      <c r="H42" s="198">
        <f ca="1">H41+('Dev Plan (Wind)'!C41/Summary!C$23)*Summary!C$27</f>
        <v>2799.7727935297853</v>
      </c>
      <c r="I42" s="199">
        <f t="shared" si="8"/>
        <v>1093.7666666666671</v>
      </c>
      <c r="J42" s="199">
        <f t="shared" si="9"/>
        <v>6560.5099999999993</v>
      </c>
      <c r="K42" s="198">
        <f t="shared" si="10"/>
        <v>7654.2766666666666</v>
      </c>
      <c r="L42" s="200">
        <f ca="1">C41*Summary!C$16*Summary!C$17*24*375*1000*C$11</f>
        <v>20446650000</v>
      </c>
      <c r="M42" s="200">
        <f t="shared" ca="1" si="1"/>
        <v>34316650000</v>
      </c>
      <c r="N42" s="184">
        <f t="shared" ca="1" si="4"/>
        <v>724</v>
      </c>
      <c r="O42" s="201">
        <f t="shared" ca="1" si="5"/>
        <v>2.5597532626060868</v>
      </c>
      <c r="P42" s="184">
        <f ca="1">C42*Summary!$C$16</f>
        <v>118547.5</v>
      </c>
      <c r="Q42" s="184">
        <f ca="1">P42*Summary!$C$17</f>
        <v>47419</v>
      </c>
      <c r="R42" s="201">
        <f ca="1">Q42/'Alberta Electricity Profile'!$C$33</f>
        <v>3.1818425820304639</v>
      </c>
      <c r="S42" s="272">
        <f ca="1">P42/'Alberta Electricity Profile'!$D$49</f>
        <v>0.90811073745815551</v>
      </c>
      <c r="T42" s="273">
        <f t="shared" si="11"/>
        <v>347.92166666666662</v>
      </c>
      <c r="U42" s="273">
        <f t="shared" ca="1" si="12"/>
        <v>289.66024582031741</v>
      </c>
      <c r="V42" s="63">
        <f t="shared" ca="1" si="13"/>
        <v>6.3749861527019256</v>
      </c>
      <c r="W42" s="63">
        <f t="shared" ca="1" si="14"/>
        <v>12749.972305403851</v>
      </c>
    </row>
    <row r="43" spans="2:23">
      <c r="B43" s="192">
        <f t="shared" si="6"/>
        <v>23</v>
      </c>
      <c r="C43" s="184">
        <f t="shared" ca="1" si="7"/>
        <v>24712.5</v>
      </c>
      <c r="D43" s="195">
        <f t="shared" ca="1" si="2"/>
        <v>0.38765200919640103</v>
      </c>
      <c r="E43" s="184">
        <f t="shared" ca="1" si="3"/>
        <v>1760</v>
      </c>
      <c r="F43" s="196">
        <f t="shared" ca="1" si="0"/>
        <v>1.76</v>
      </c>
      <c r="G43" s="197">
        <f ca="1">C43/Summary!C$23</f>
        <v>0.35253209700427962</v>
      </c>
      <c r="H43" s="198">
        <f ca="1">H42+('Dev Plan (Wind)'!C42/Summary!C$23)*Summary!C$27</f>
        <v>3102.0682619047579</v>
      </c>
      <c r="I43" s="199">
        <f t="shared" si="8"/>
        <v>1143.4833333333338</v>
      </c>
      <c r="J43" s="199">
        <f t="shared" si="9"/>
        <v>6858.7149999999992</v>
      </c>
      <c r="K43" s="198">
        <f t="shared" si="10"/>
        <v>8002.1983333333328</v>
      </c>
      <c r="L43" s="200">
        <f ca="1">C42*Summary!C$16*Summary!C$17*24*375*1000*C$11</f>
        <v>21338550000</v>
      </c>
      <c r="M43" s="200">
        <f t="shared" ca="1" si="1"/>
        <v>35208550000</v>
      </c>
      <c r="N43" s="184">
        <f t="shared" ca="1" si="4"/>
        <v>757</v>
      </c>
      <c r="O43" s="201">
        <f t="shared" ca="1" si="5"/>
        <v>2.7128233280515004</v>
      </c>
      <c r="P43" s="184">
        <f ca="1">C43*Summary!$C$16</f>
        <v>123562.5</v>
      </c>
      <c r="Q43" s="184">
        <f ca="1">P43*Summary!$C$17</f>
        <v>49425</v>
      </c>
      <c r="R43" s="201">
        <f ca="1">Q43/'Alberta Electricity Profile'!$C$33</f>
        <v>3.316446353083272</v>
      </c>
      <c r="S43" s="272">
        <f ca="1">P43/'Alberta Electricity Profile'!$D$49</f>
        <v>0.94652719793478013</v>
      </c>
      <c r="T43" s="273">
        <f t="shared" si="11"/>
        <v>347.92166666666662</v>
      </c>
      <c r="U43" s="273">
        <f t="shared" ca="1" si="12"/>
        <v>302.29546837497264</v>
      </c>
      <c r="V43" s="63">
        <f t="shared" ca="1" si="13"/>
        <v>6.3749861527019265</v>
      </c>
      <c r="W43" s="63">
        <f t="shared" ca="1" si="14"/>
        <v>12749.972305403853</v>
      </c>
    </row>
    <row r="44" spans="2:23">
      <c r="B44" s="192">
        <f t="shared" si="6"/>
        <v>24</v>
      </c>
      <c r="C44" s="184">
        <f t="shared" ca="1" si="7"/>
        <v>25726.5</v>
      </c>
      <c r="D44" s="195">
        <f t="shared" ca="1" si="2"/>
        <v>0.40923387358529595</v>
      </c>
      <c r="E44" s="184">
        <f t="shared" ca="1" si="3"/>
        <v>1805</v>
      </c>
      <c r="F44" s="196">
        <f t="shared" ca="1" si="0"/>
        <v>1.8049999999999999</v>
      </c>
      <c r="G44" s="197">
        <f ca="1">C44/Summary!C$23</f>
        <v>0.36699714693295293</v>
      </c>
      <c r="H44" s="198">
        <f ca="1">H43+('Dev Plan (Wind)'!C43/Summary!C$23)*Summary!C$27</f>
        <v>3417.1519525020508</v>
      </c>
      <c r="I44" s="199">
        <f t="shared" si="8"/>
        <v>1193.2000000000005</v>
      </c>
      <c r="J44" s="199">
        <f t="shared" si="9"/>
        <v>7156.9199999999992</v>
      </c>
      <c r="K44" s="198">
        <f t="shared" si="10"/>
        <v>8350.119999999999</v>
      </c>
      <c r="L44" s="200">
        <f ca="1">C43*Summary!C$16*Summary!C$17*24*375*1000*C$11</f>
        <v>22241250000</v>
      </c>
      <c r="M44" s="200">
        <f t="shared" ca="1" si="1"/>
        <v>36111250000</v>
      </c>
      <c r="N44" s="184">
        <f t="shared" ca="1" si="4"/>
        <v>791</v>
      </c>
      <c r="O44" s="201">
        <f t="shared" ca="1" si="5"/>
        <v>2.8638551395424483</v>
      </c>
      <c r="P44" s="184">
        <f ca="1">C44*Summary!$C$16</f>
        <v>128632.5</v>
      </c>
      <c r="Q44" s="184">
        <f ca="1">P44*Summary!$C$17</f>
        <v>51453</v>
      </c>
      <c r="R44" s="201">
        <f ca="1">Q44/'Alberta Electricity Profile'!$C$33</f>
        <v>3.4525263369791319</v>
      </c>
      <c r="S44" s="272">
        <f ca="1">P44/'Alberta Electricity Profile'!$D$49</f>
        <v>0.98536497552530589</v>
      </c>
      <c r="T44" s="273">
        <f t="shared" si="11"/>
        <v>347.92166666666662</v>
      </c>
      <c r="U44" s="273">
        <f t="shared" ca="1" si="12"/>
        <v>315.08369059729284</v>
      </c>
      <c r="V44" s="63">
        <f t="shared" ca="1" si="13"/>
        <v>6.3749861527019291</v>
      </c>
      <c r="W44" s="63">
        <f t="shared" ca="1" si="14"/>
        <v>12749.972305403859</v>
      </c>
    </row>
    <row r="45" spans="2:23">
      <c r="B45" s="192">
        <f t="shared" si="6"/>
        <v>25</v>
      </c>
      <c r="C45" s="184">
        <f t="shared" ca="1" si="7"/>
        <v>26751.5</v>
      </c>
      <c r="D45" s="195">
        <f t="shared" ca="1" si="2"/>
        <v>0.43057555465266872</v>
      </c>
      <c r="E45" s="184">
        <f t="shared" ca="1" si="3"/>
        <v>1851</v>
      </c>
      <c r="F45" s="196">
        <f t="shared" ca="1" si="0"/>
        <v>1.851</v>
      </c>
      <c r="G45" s="197">
        <f ca="1">C45/Summary!C$23</f>
        <v>0.3816191155492154</v>
      </c>
      <c r="H45" s="198">
        <f ca="1">H44+('Dev Plan (Wind)'!C44/Summary!C$23)*Summary!C$27</f>
        <v>3745.1641150170231</v>
      </c>
      <c r="I45" s="199">
        <f t="shared" si="8"/>
        <v>1242.9166666666672</v>
      </c>
      <c r="J45" s="199">
        <f t="shared" si="9"/>
        <v>7455.1249999999991</v>
      </c>
      <c r="K45" s="198">
        <f t="shared" si="10"/>
        <v>8698.0416666666661</v>
      </c>
      <c r="L45" s="200">
        <f ca="1">C44*Summary!C$16*Summary!C$17*24*375*1000*C$11</f>
        <v>23153850000</v>
      </c>
      <c r="M45" s="200">
        <f t="shared" ca="1" si="1"/>
        <v>37023850000</v>
      </c>
      <c r="N45" s="184">
        <f t="shared" ca="1" si="4"/>
        <v>826</v>
      </c>
      <c r="O45" s="201">
        <f t="shared" ca="1" si="5"/>
        <v>3.013206126731764</v>
      </c>
      <c r="P45" s="184">
        <f ca="1">C45*Summary!$C$16</f>
        <v>133757.5</v>
      </c>
      <c r="Q45" s="184">
        <f ca="1">P45*Summary!$C$17</f>
        <v>53503</v>
      </c>
      <c r="R45" s="201">
        <f ca="1">Q45/'Alberta Electricity Profile'!$C$33</f>
        <v>3.5900825337180433</v>
      </c>
      <c r="S45" s="272">
        <f ca="1">P45/'Alberta Electricity Profile'!$D$49</f>
        <v>1.0246240702297327</v>
      </c>
      <c r="T45" s="273">
        <f t="shared" si="11"/>
        <v>347.92166666666662</v>
      </c>
      <c r="U45" s="273">
        <f t="shared" ca="1" si="12"/>
        <v>328.01216251497226</v>
      </c>
      <c r="V45" s="63">
        <f t="shared" ca="1" si="13"/>
        <v>6.3749861527019274</v>
      </c>
      <c r="W45" s="63">
        <f t="shared" ca="1" si="14"/>
        <v>12749.972305403855</v>
      </c>
    </row>
    <row r="46" spans="2:23">
      <c r="B46" s="192">
        <f t="shared" si="6"/>
        <v>26</v>
      </c>
      <c r="C46" s="184">
        <f t="shared" ca="1" si="7"/>
        <v>27784.5</v>
      </c>
      <c r="D46" s="195">
        <f t="shared" ca="1" si="2"/>
        <v>0.45172026997806769</v>
      </c>
      <c r="E46" s="184">
        <f t="shared" ca="1" si="3"/>
        <v>1897</v>
      </c>
      <c r="F46" s="196">
        <f t="shared" ca="1" si="0"/>
        <v>1.897</v>
      </c>
      <c r="G46" s="197">
        <f ca="1">C46/Summary!C$23</f>
        <v>0.39635520684736092</v>
      </c>
      <c r="H46" s="198">
        <f ca="1">H45+('Dev Plan (Wind)'!C45/Summary!C$23)*Summary!C$27</f>
        <v>4086.2449991450344</v>
      </c>
      <c r="I46" s="199">
        <f t="shared" si="8"/>
        <v>1292.6333333333339</v>
      </c>
      <c r="J46" s="199">
        <f t="shared" si="9"/>
        <v>7753.329999999999</v>
      </c>
      <c r="K46" s="198">
        <f t="shared" si="10"/>
        <v>9045.9633333333331</v>
      </c>
      <c r="L46" s="200">
        <f ca="1">C45*Summary!C$16*Summary!C$17*24*375*1000*C$11</f>
        <v>24076350000</v>
      </c>
      <c r="M46" s="200">
        <f t="shared" ca="1" si="1"/>
        <v>37946350000</v>
      </c>
      <c r="N46" s="184">
        <f t="shared" ca="1" si="4"/>
        <v>864</v>
      </c>
      <c r="O46" s="201">
        <f t="shared" ca="1" si="5"/>
        <v>3.1611787300949219</v>
      </c>
      <c r="P46" s="184">
        <f ca="1">C46*Summary!$C$16</f>
        <v>138922.5</v>
      </c>
      <c r="Q46" s="184">
        <f ca="1">P46*Summary!$C$17</f>
        <v>55569</v>
      </c>
      <c r="R46" s="201">
        <f ca="1">Q46/'Alberta Electricity Profile'!$C$33</f>
        <v>3.7287123397973563</v>
      </c>
      <c r="S46" s="272">
        <f ca="1">P46/'Alberta Electricity Profile'!$D$49</f>
        <v>1.0641895773806331</v>
      </c>
      <c r="T46" s="273">
        <f t="shared" si="11"/>
        <v>347.92166666666662</v>
      </c>
      <c r="U46" s="273">
        <f t="shared" ca="1" si="12"/>
        <v>341.08088412801135</v>
      </c>
      <c r="V46" s="63">
        <f t="shared" ca="1" si="13"/>
        <v>6.37498615270193</v>
      </c>
      <c r="W46" s="63">
        <f t="shared" ca="1" si="14"/>
        <v>12749.97230540386</v>
      </c>
    </row>
    <row r="47" spans="2:23">
      <c r="B47" s="192">
        <f t="shared" si="6"/>
        <v>27</v>
      </c>
      <c r="C47" s="184">
        <f t="shared" ca="1" si="7"/>
        <v>28825.5</v>
      </c>
      <c r="D47" s="195">
        <f t="shared" ca="1" si="2"/>
        <v>0.47270076274773726</v>
      </c>
      <c r="E47" s="184">
        <f t="shared" ca="1" si="3"/>
        <v>1943</v>
      </c>
      <c r="F47" s="196">
        <f t="shared" ca="1" si="0"/>
        <v>1.9430000000000001</v>
      </c>
      <c r="G47" s="197">
        <f ca="1">C47/Summary!C$23</f>
        <v>0.41120542082738942</v>
      </c>
      <c r="H47" s="198">
        <f ca="1">H46+('Dev Plan (Wind)'!C46/Summary!C$23)*Summary!C$27</f>
        <v>4440.4966046645277</v>
      </c>
      <c r="I47" s="199">
        <f t="shared" si="8"/>
        <v>1342.3500000000006</v>
      </c>
      <c r="J47" s="199">
        <f t="shared" si="9"/>
        <v>8051.5349999999989</v>
      </c>
      <c r="K47" s="198">
        <f t="shared" si="10"/>
        <v>9393.8850000000002</v>
      </c>
      <c r="L47" s="200">
        <f ca="1">C46*Summary!C$16*Summary!C$17*24*375*1000*C$11</f>
        <v>25006050000</v>
      </c>
      <c r="M47" s="200">
        <f t="shared" ca="1" si="1"/>
        <v>38876050000</v>
      </c>
      <c r="N47" s="184">
        <f t="shared" ca="1" si="4"/>
        <v>902</v>
      </c>
      <c r="O47" s="201">
        <f t="shared" ca="1" si="5"/>
        <v>3.3080020893690363</v>
      </c>
      <c r="P47" s="184">
        <f ca="1">C47*Summary!$C$16</f>
        <v>144127.5</v>
      </c>
      <c r="Q47" s="184">
        <f ca="1">P47*Summary!$C$17</f>
        <v>57651</v>
      </c>
      <c r="R47" s="201">
        <f ca="1">Q47/'Alberta Electricity Profile'!$C$33</f>
        <v>3.8684157552170704</v>
      </c>
      <c r="S47" s="272">
        <f ca="1">P47/'Alberta Electricity Profile'!$D$49</f>
        <v>1.1040614969780072</v>
      </c>
      <c r="T47" s="273">
        <f t="shared" si="11"/>
        <v>347.92166666666662</v>
      </c>
      <c r="U47" s="273">
        <f t="shared" ca="1" si="12"/>
        <v>354.2516055194933</v>
      </c>
      <c r="V47" s="63">
        <f t="shared" ca="1" si="13"/>
        <v>6.3749861527019256</v>
      </c>
      <c r="W47" s="63">
        <f t="shared" ca="1" si="14"/>
        <v>12749.972305403851</v>
      </c>
    </row>
    <row r="48" spans="2:23">
      <c r="B48" s="192">
        <f t="shared" si="6"/>
        <v>28</v>
      </c>
      <c r="C48" s="184">
        <f t="shared" ca="1" si="7"/>
        <v>29872.5</v>
      </c>
      <c r="D48" s="195">
        <f t="shared" ca="1" si="2"/>
        <v>0.49354509854988698</v>
      </c>
      <c r="E48" s="184">
        <f t="shared" ca="1" si="3"/>
        <v>1990</v>
      </c>
      <c r="F48" s="196">
        <f t="shared" ca="1" si="0"/>
        <v>1.99</v>
      </c>
      <c r="G48" s="197">
        <f ca="1">C48/Summary!C$23</f>
        <v>0.42614122681883027</v>
      </c>
      <c r="H48" s="198">
        <f ca="1">H47+('Dev Plan (Wind)'!C47/Summary!C$23)*Summary!C$27</f>
        <v>4808.0209313539463</v>
      </c>
      <c r="I48" s="199">
        <f t="shared" si="8"/>
        <v>1392.0666666666673</v>
      </c>
      <c r="J48" s="199">
        <f t="shared" si="9"/>
        <v>8349.74</v>
      </c>
      <c r="K48" s="198">
        <f t="shared" si="10"/>
        <v>9741.8066666666673</v>
      </c>
      <c r="L48" s="200">
        <f ca="1">C47*Summary!C$16*Summary!C$17*24*375*1000*C$11</f>
        <v>25942950000</v>
      </c>
      <c r="M48" s="200">
        <f t="shared" ca="1" si="1"/>
        <v>39812950000</v>
      </c>
      <c r="N48" s="184">
        <f t="shared" ca="1" si="4"/>
        <v>943</v>
      </c>
      <c r="O48" s="201">
        <f t="shared" ca="1" si="5"/>
        <v>3.4538726100430615</v>
      </c>
      <c r="P48" s="184">
        <f ca="1">C48*Summary!$C$16</f>
        <v>149362.5</v>
      </c>
      <c r="Q48" s="184">
        <f ca="1">P48*Summary!$C$17</f>
        <v>59745</v>
      </c>
      <c r="R48" s="201">
        <f ca="1">Q48/'Alberta Electricity Profile'!$C$33</f>
        <v>4.0089243776420851</v>
      </c>
      <c r="S48" s="272">
        <f ca="1">P48/'Alberta Electricity Profile'!$D$49</f>
        <v>1.1441632259102366</v>
      </c>
      <c r="T48" s="273">
        <f t="shared" si="11"/>
        <v>347.92166666666662</v>
      </c>
      <c r="U48" s="273">
        <f t="shared" ca="1" si="12"/>
        <v>367.52432668941856</v>
      </c>
      <c r="V48" s="63">
        <f t="shared" ca="1" si="13"/>
        <v>6.3749861527019229</v>
      </c>
      <c r="W48" s="63">
        <f t="shared" ca="1" si="14"/>
        <v>12749.972305403846</v>
      </c>
    </row>
    <row r="49" spans="2:23">
      <c r="B49" s="192">
        <f t="shared" si="6"/>
        <v>29</v>
      </c>
      <c r="C49" s="184">
        <f t="shared" ca="1" si="7"/>
        <v>30923.5</v>
      </c>
      <c r="D49" s="195">
        <f t="shared" ca="1" si="2"/>
        <v>0.51427494453984701</v>
      </c>
      <c r="E49" s="184">
        <f t="shared" ca="1" si="3"/>
        <v>2037</v>
      </c>
      <c r="F49" s="196">
        <f t="shared" ca="1" si="0"/>
        <v>2.0369999999999999</v>
      </c>
      <c r="G49" s="197">
        <f ca="1">C49/Summary!C$23</f>
        <v>0.44113409415121257</v>
      </c>
      <c r="H49" s="198">
        <f ca="1">H48+('Dev Plan (Wind)'!C48/Summary!C$23)*Summary!C$27</f>
        <v>5188.8944790471232</v>
      </c>
      <c r="I49" s="199">
        <f t="shared" si="8"/>
        <v>1441.783333333334</v>
      </c>
      <c r="J49" s="199">
        <f t="shared" si="9"/>
        <v>8647.9449999999997</v>
      </c>
      <c r="K49" s="198">
        <f t="shared" si="10"/>
        <v>10089.728333333334</v>
      </c>
      <c r="L49" s="200">
        <f ca="1">C48*Summary!C$16*Summary!C$17*24*375*1000*C$11</f>
        <v>26885250000</v>
      </c>
      <c r="M49" s="200">
        <f t="shared" ca="1" si="1"/>
        <v>40755250000</v>
      </c>
      <c r="N49" s="184">
        <f t="shared" ca="1" si="4"/>
        <v>986</v>
      </c>
      <c r="O49" s="201">
        <f t="shared" ca="1" si="5"/>
        <v>3.5989419208020998</v>
      </c>
      <c r="P49" s="184">
        <f ca="1">C49*Summary!$C$16</f>
        <v>154617.5</v>
      </c>
      <c r="Q49" s="184">
        <f ca="1">P49*Summary!$C$17</f>
        <v>61847</v>
      </c>
      <c r="R49" s="201">
        <f ca="1">Q49/'Alberta Electricity Profile'!$C$33</f>
        <v>4.1499698047373013</v>
      </c>
      <c r="S49" s="272">
        <f ca="1">P49/'Alberta Electricity Profile'!$D$49</f>
        <v>1.1844181610657025</v>
      </c>
      <c r="T49" s="273">
        <f t="shared" si="11"/>
        <v>347.92166666666662</v>
      </c>
      <c r="U49" s="273">
        <f t="shared" ca="1" si="12"/>
        <v>380.87354769317699</v>
      </c>
      <c r="V49" s="63">
        <f t="shared" ca="1" si="13"/>
        <v>6.3749861527019327</v>
      </c>
      <c r="W49" s="63">
        <f t="shared" ca="1" si="14"/>
        <v>12749.972305403866</v>
      </c>
    </row>
    <row r="50" spans="2:23">
      <c r="B50" s="193">
        <f t="shared" si="6"/>
        <v>30</v>
      </c>
      <c r="C50" s="184">
        <f t="shared" ca="1" si="7"/>
        <v>31978.5</v>
      </c>
      <c r="D50" s="195">
        <f t="shared" ca="1" si="2"/>
        <v>0.53490663584554765</v>
      </c>
      <c r="E50" s="184">
        <f t="shared" ca="1" si="3"/>
        <v>2085</v>
      </c>
      <c r="F50" s="196">
        <f t="shared" ca="1" si="0"/>
        <v>2.085</v>
      </c>
      <c r="G50" s="197">
        <f ca="1">C50/Summary!C$23</f>
        <v>0.45618402282453635</v>
      </c>
      <c r="H50" s="198">
        <f ca="1">H49+('Dev Plan (Wind)'!C49/Summary!C$23)*Summary!C$27</f>
        <v>5583.1682476332799</v>
      </c>
      <c r="I50" s="199">
        <f t="shared" si="8"/>
        <v>1491.5000000000007</v>
      </c>
      <c r="J50" s="199">
        <f t="shared" si="9"/>
        <v>8946.15</v>
      </c>
      <c r="K50" s="198">
        <f t="shared" si="10"/>
        <v>10437.65</v>
      </c>
      <c r="L50" s="200">
        <f ca="1">C49*Summary!C$16*Summary!C$17*24*375*1000*C$11</f>
        <v>27831150000</v>
      </c>
      <c r="M50" s="200">
        <f t="shared" ca="1" si="1"/>
        <v>41701150000</v>
      </c>
      <c r="N50" s="184">
        <f t="shared" ca="1" si="4"/>
        <v>1030</v>
      </c>
      <c r="O50" s="201">
        <f t="shared" ca="1" si="5"/>
        <v>3.743324336328044</v>
      </c>
      <c r="P50" s="184">
        <f ca="1">C50*Summary!$C$16</f>
        <v>159892.5</v>
      </c>
      <c r="Q50" s="184">
        <f ca="1">P50*Summary!$C$17</f>
        <v>63957</v>
      </c>
      <c r="R50" s="201">
        <f ca="1">Q50/'Alberta Electricity Profile'!$C$33</f>
        <v>4.2915520365027175</v>
      </c>
      <c r="S50" s="272">
        <f ca="1">P50/'Alberta Electricity Profile'!$D$49</f>
        <v>1.2248263024444053</v>
      </c>
      <c r="T50" s="273">
        <f t="shared" si="11"/>
        <v>347.92166666666662</v>
      </c>
      <c r="U50" s="273">
        <f t="shared" ca="1" si="12"/>
        <v>394.27376858615662</v>
      </c>
      <c r="V50" s="63">
        <f t="shared" ca="1" si="13"/>
        <v>6.3749861527019362</v>
      </c>
      <c r="W50" s="63">
        <f t="shared" ca="1" si="14"/>
        <v>12749.972305403873</v>
      </c>
    </row>
    <row r="51" spans="2:23">
      <c r="B51" s="192">
        <f t="shared" si="6"/>
        <v>31</v>
      </c>
      <c r="C51" s="184">
        <f t="shared" ca="1" si="7"/>
        <v>33034.5</v>
      </c>
      <c r="D51" s="195">
        <f t="shared" ca="1" si="2"/>
        <v>0.55545439983647638</v>
      </c>
      <c r="E51" s="184">
        <f t="shared" ca="1" si="3"/>
        <v>2132</v>
      </c>
      <c r="F51" s="196">
        <f t="shared" ca="1" si="0"/>
        <v>2.1320000000000001</v>
      </c>
      <c r="G51" s="197">
        <f ca="1">C51/Summary!C$23</f>
        <v>0.47124821683309559</v>
      </c>
      <c r="H51" s="198">
        <f ca="1">H50+('Dev Plan (Wind)'!C50/Summary!C$23)*Summary!C$27</f>
        <v>5990.8932370016373</v>
      </c>
      <c r="I51" s="199">
        <f t="shared" si="8"/>
        <v>1541.2166666666674</v>
      </c>
      <c r="J51" s="199">
        <f t="shared" si="9"/>
        <v>9244.3549999999996</v>
      </c>
      <c r="K51" s="198">
        <f t="shared" si="10"/>
        <v>10785.571666666667</v>
      </c>
      <c r="L51" s="200">
        <f ca="1">C50*Summary!C$16*Summary!C$17*24*375*1000*C$11</f>
        <v>28780650000</v>
      </c>
      <c r="M51" s="200">
        <f t="shared" ca="1" si="1"/>
        <v>42650650000</v>
      </c>
      <c r="N51" s="184">
        <f t="shared" ca="1" si="4"/>
        <v>1076</v>
      </c>
      <c r="O51" s="201">
        <f t="shared" ca="1" si="5"/>
        <v>3.8871194210212501</v>
      </c>
      <c r="P51" s="184">
        <f ca="1">C51*Summary!$C$16</f>
        <v>165172.5</v>
      </c>
      <c r="Q51" s="184">
        <f ca="1">P51*Summary!$C$17</f>
        <v>66069</v>
      </c>
      <c r="R51" s="201">
        <f ca="1">Q51/'Alberta Electricity Profile'!$C$33</f>
        <v>4.4332684694356841</v>
      </c>
      <c r="S51" s="272">
        <f ca="1">P51/'Alberta Electricity Profile'!$D$49</f>
        <v>1.2652727453789172</v>
      </c>
      <c r="T51" s="273">
        <f t="shared" si="11"/>
        <v>347.92166666666662</v>
      </c>
      <c r="U51" s="273">
        <f t="shared" ca="1" si="12"/>
        <v>407.72498936835746</v>
      </c>
      <c r="V51" s="63">
        <f t="shared" ca="1" si="13"/>
        <v>6.3749861527019318</v>
      </c>
      <c r="W51" s="63">
        <f t="shared" ca="1" si="14"/>
        <v>12749.972305403864</v>
      </c>
    </row>
    <row r="52" spans="2:23">
      <c r="B52" s="192">
        <f t="shared" si="6"/>
        <v>32</v>
      </c>
      <c r="C52" s="184">
        <f t="shared" ca="1" si="7"/>
        <v>34089.5</v>
      </c>
      <c r="D52" s="195">
        <f t="shared" ca="1" si="2"/>
        <v>0.57592724988902866</v>
      </c>
      <c r="E52" s="184">
        <f t="shared" ca="1" si="3"/>
        <v>2180</v>
      </c>
      <c r="F52" s="196">
        <f t="shared" ca="1" si="0"/>
        <v>2.1800000000000002</v>
      </c>
      <c r="G52" s="197">
        <f ca="1">C52/Summary!C$23</f>
        <v>0.48629814550641942</v>
      </c>
      <c r="H52" s="198">
        <f ca="1">H51+('Dev Plan (Wind)'!C51/Summary!C$23)*Summary!C$27</f>
        <v>6412.0821971245014</v>
      </c>
      <c r="I52" s="199">
        <f t="shared" si="8"/>
        <v>1590.9333333333341</v>
      </c>
      <c r="J52" s="199">
        <f t="shared" si="9"/>
        <v>9542.56</v>
      </c>
      <c r="K52" s="198">
        <f t="shared" si="10"/>
        <v>11133.493333333334</v>
      </c>
      <c r="L52" s="200">
        <f ca="1">C51*Summary!C$16*Summary!C$17*24*375*1000*C$11</f>
        <v>29731050000</v>
      </c>
      <c r="M52" s="200">
        <f t="shared" ca="1" si="1"/>
        <v>43601050000</v>
      </c>
      <c r="N52" s="184">
        <f t="shared" ca="1" si="4"/>
        <v>1125</v>
      </c>
      <c r="O52" s="201">
        <f t="shared" ca="1" si="5"/>
        <v>4.0303902512934746</v>
      </c>
      <c r="P52" s="184">
        <f ca="1">C52*Summary!$C$16</f>
        <v>170447.5</v>
      </c>
      <c r="Q52" s="184">
        <f ca="1">P52*Summary!$C$17</f>
        <v>68179</v>
      </c>
      <c r="R52" s="201">
        <f ca="1">Q52/'Alberta Electricity Profile'!$C$33</f>
        <v>4.5748507012011004</v>
      </c>
      <c r="S52" s="272">
        <f ca="1">P52/'Alberta Electricity Profile'!$D$49</f>
        <v>1.3056808867576202</v>
      </c>
      <c r="T52" s="273">
        <f t="shared" si="11"/>
        <v>347.92166666666662</v>
      </c>
      <c r="U52" s="273">
        <f t="shared" ca="1" si="12"/>
        <v>421.18896012286405</v>
      </c>
      <c r="V52" s="63">
        <f t="shared" ca="1" si="13"/>
        <v>6.3749861527019336</v>
      </c>
      <c r="W52" s="63">
        <f t="shared" ca="1" si="14"/>
        <v>12749.972305403868</v>
      </c>
    </row>
    <row r="53" spans="2:23">
      <c r="B53" s="192">
        <f t="shared" si="6"/>
        <v>33</v>
      </c>
      <c r="C53" s="184">
        <f t="shared" ca="1" si="7"/>
        <v>35141.5</v>
      </c>
      <c r="D53" s="195">
        <f t="shared" ref="D53:D85" ca="1" si="15">H53/K53</f>
        <v>0.5963308858733497</v>
      </c>
      <c r="E53" s="184">
        <f t="shared" ca="1" si="3"/>
        <v>2227</v>
      </c>
      <c r="F53" s="196">
        <f t="shared" ref="F53:F85" ca="1" si="16">E53*C$17/1000000</f>
        <v>2.2269999999999999</v>
      </c>
      <c r="G53" s="197">
        <f ca="1">C53/Summary!C$23</f>
        <v>0.50130527817403714</v>
      </c>
      <c r="H53" s="198">
        <f ca="1">H52+('Dev Plan (Wind)'!C52/Summary!C$23)*Summary!C$27</f>
        <v>6846.7223780295662</v>
      </c>
      <c r="I53" s="199">
        <f t="shared" si="8"/>
        <v>1640.6500000000008</v>
      </c>
      <c r="J53" s="199">
        <f t="shared" si="9"/>
        <v>9840.7649999999994</v>
      </c>
      <c r="K53" s="198">
        <f t="shared" si="10"/>
        <v>11481.415000000001</v>
      </c>
      <c r="L53" s="200">
        <f ca="1">C52*Summary!C$16*Summary!C$17*24*375*1000*C$11</f>
        <v>30680550000</v>
      </c>
      <c r="M53" s="200">
        <f t="shared" ref="M53:M85" ca="1" si="17">C$10+L53</f>
        <v>44550550000</v>
      </c>
      <c r="N53" s="184">
        <f t="shared" ca="1" si="4"/>
        <v>1175</v>
      </c>
      <c r="O53" s="201">
        <f t="shared" ca="1" si="5"/>
        <v>4.1731767153442618</v>
      </c>
      <c r="P53" s="184">
        <f ca="1">C53*Summary!$C$16</f>
        <v>175707.5</v>
      </c>
      <c r="Q53" s="184">
        <f ca="1">P53*Summary!$C$17</f>
        <v>70283</v>
      </c>
      <c r="R53" s="201">
        <f ca="1">Q53/'Alberta Electricity Profile'!$C$33</f>
        <v>4.7160303294638659</v>
      </c>
      <c r="S53" s="272">
        <f ca="1">P53/'Alberta Electricity Profile'!$D$49</f>
        <v>1.3459741234688953</v>
      </c>
      <c r="T53" s="273">
        <f t="shared" si="11"/>
        <v>347.92166666666662</v>
      </c>
      <c r="U53" s="273">
        <f t="shared" ca="1" si="12"/>
        <v>434.64018090506488</v>
      </c>
      <c r="V53" s="63">
        <f t="shared" ca="1" si="13"/>
        <v>6.37498615270193</v>
      </c>
      <c r="W53" s="63">
        <f t="shared" ca="1" si="14"/>
        <v>12749.97230540386</v>
      </c>
    </row>
    <row r="54" spans="2:23">
      <c r="B54" s="192">
        <f t="shared" si="6"/>
        <v>34</v>
      </c>
      <c r="C54" s="184">
        <f t="shared" ca="1" si="7"/>
        <v>36187.5</v>
      </c>
      <c r="D54" s="195">
        <f t="shared" ca="1" si="15"/>
        <v>0.61666818143366586</v>
      </c>
      <c r="E54" s="184">
        <f t="shared" ref="E54:E86" ca="1" si="18">ROUNDDOWN(M54/C$15,0)</f>
        <v>2274</v>
      </c>
      <c r="F54" s="196">
        <f t="shared" ca="1" si="16"/>
        <v>2.274</v>
      </c>
      <c r="G54" s="197">
        <f ca="1">C54/Summary!C$23</f>
        <v>0.51622681883024246</v>
      </c>
      <c r="H54" s="198">
        <f ca="1">H53+('Dev Plan (Wind)'!C53/Summary!C$23)*Summary!C$27</f>
        <v>7294.7755297999156</v>
      </c>
      <c r="I54" s="199">
        <f t="shared" si="8"/>
        <v>1690.3666666666675</v>
      </c>
      <c r="J54" s="199">
        <f t="shared" si="9"/>
        <v>10138.969999999999</v>
      </c>
      <c r="K54" s="198">
        <f t="shared" si="10"/>
        <v>11829.336666666666</v>
      </c>
      <c r="L54" s="200">
        <f ca="1">C53*Summary!C$16*Summary!C$17*24*375*1000*C$11</f>
        <v>31627350000</v>
      </c>
      <c r="M54" s="200">
        <f t="shared" ca="1" si="17"/>
        <v>45497350000</v>
      </c>
      <c r="N54" s="184">
        <f t="shared" ca="1" si="4"/>
        <v>1228</v>
      </c>
      <c r="O54" s="201">
        <f t="shared" ca="1" si="5"/>
        <v>4.3154989231921546</v>
      </c>
      <c r="P54" s="184">
        <f ca="1">C54*Summary!$C$16</f>
        <v>180937.5</v>
      </c>
      <c r="Q54" s="184">
        <f ca="1">P54*Summary!$C$17</f>
        <v>72375</v>
      </c>
      <c r="R54" s="201">
        <f ca="1">Q54/'Alberta Electricity Profile'!$C$33</f>
        <v>4.8564047507213317</v>
      </c>
      <c r="S54" s="272">
        <f ca="1">P54/'Alberta Electricity Profile'!$D$49</f>
        <v>1.3860375508453153</v>
      </c>
      <c r="T54" s="273">
        <f t="shared" si="11"/>
        <v>347.92166666666662</v>
      </c>
      <c r="U54" s="273">
        <f t="shared" ca="1" si="12"/>
        <v>448.05315177034936</v>
      </c>
      <c r="V54" s="63">
        <f t="shared" ca="1" si="13"/>
        <v>6.3749861527019247</v>
      </c>
      <c r="W54" s="63">
        <f t="shared" ca="1" si="14"/>
        <v>12749.97230540385</v>
      </c>
    </row>
    <row r="55" spans="2:23">
      <c r="B55" s="192">
        <f t="shared" si="6"/>
        <v>35</v>
      </c>
      <c r="C55" s="184">
        <f t="shared" ca="1" si="7"/>
        <v>37225.5</v>
      </c>
      <c r="D55" s="195">
        <f t="shared" ca="1" si="15"/>
        <v>0.6369385407034055</v>
      </c>
      <c r="E55" s="184">
        <f t="shared" ca="1" si="18"/>
        <v>2321</v>
      </c>
      <c r="F55" s="196">
        <f t="shared" ca="1" si="16"/>
        <v>2.3210000000000002</v>
      </c>
      <c r="G55" s="197">
        <f ca="1">C55/Summary!C$23</f>
        <v>0.53103423680456485</v>
      </c>
      <c r="H55" s="198">
        <f ca="1">H54+('Dev Plan (Wind)'!C54/Summary!C$23)*Summary!C$27</f>
        <v>7756.1651526017176</v>
      </c>
      <c r="I55" s="199">
        <f t="shared" si="8"/>
        <v>1740.0833333333342</v>
      </c>
      <c r="J55" s="199">
        <f t="shared" si="9"/>
        <v>10437.174999999999</v>
      </c>
      <c r="K55" s="198">
        <f t="shared" si="10"/>
        <v>12177.258333333333</v>
      </c>
      <c r="L55" s="200">
        <f ca="1">C54*Summary!C$16*Summary!C$17*24*375*1000*C$11</f>
        <v>32568750000</v>
      </c>
      <c r="M55" s="200">
        <f t="shared" ca="1" si="17"/>
        <v>46438750000</v>
      </c>
      <c r="N55" s="184">
        <f t="shared" ca="1" si="4"/>
        <v>1283</v>
      </c>
      <c r="O55" s="201">
        <f t="shared" ca="1" si="5"/>
        <v>4.4573527049097539</v>
      </c>
      <c r="P55" s="184">
        <f ca="1">C55*Summary!$C$16</f>
        <v>186127.5</v>
      </c>
      <c r="Q55" s="184">
        <f ca="1">P55*Summary!$C$17</f>
        <v>74451</v>
      </c>
      <c r="R55" s="201">
        <f ca="1">Q55/'Alberta Electricity Profile'!$C$33</f>
        <v>4.9957055626383946</v>
      </c>
      <c r="S55" s="272">
        <f ca="1">P55/'Alberta Electricity Profile'!$D$49</f>
        <v>1.4257945657752618</v>
      </c>
      <c r="T55" s="273">
        <f t="shared" si="11"/>
        <v>347.92166666666662</v>
      </c>
      <c r="U55" s="273">
        <f t="shared" ca="1" si="12"/>
        <v>461.38962280180203</v>
      </c>
      <c r="V55" s="63">
        <f t="shared" ca="1" si="13"/>
        <v>6.3749861527019274</v>
      </c>
      <c r="W55" s="63">
        <f t="shared" ca="1" si="14"/>
        <v>12749.972305403855</v>
      </c>
    </row>
    <row r="56" spans="2:23">
      <c r="B56" s="192">
        <f t="shared" si="6"/>
        <v>36</v>
      </c>
      <c r="C56" s="184">
        <f t="shared" ca="1" si="7"/>
        <v>38252.5</v>
      </c>
      <c r="D56" s="195">
        <f t="shared" ca="1" si="15"/>
        <v>0.6571393981289313</v>
      </c>
      <c r="E56" s="184">
        <f t="shared" ca="1" si="18"/>
        <v>2368</v>
      </c>
      <c r="F56" s="196">
        <f t="shared" ca="1" si="16"/>
        <v>2.3679999999999999</v>
      </c>
      <c r="G56" s="197">
        <f ca="1">C56/Summary!C$23</f>
        <v>0.54568473609129819</v>
      </c>
      <c r="H56" s="198">
        <f ca="1">H55+('Dev Plan (Wind)'!C55/Summary!C$23)*Summary!C$27</f>
        <v>8230.7892466565281</v>
      </c>
      <c r="I56" s="199">
        <f t="shared" si="8"/>
        <v>1789.8000000000009</v>
      </c>
      <c r="J56" s="199">
        <f t="shared" si="9"/>
        <v>10735.38</v>
      </c>
      <c r="K56" s="198">
        <f t="shared" si="10"/>
        <v>12525.18</v>
      </c>
      <c r="L56" s="200">
        <f ca="1">C55*Summary!C$16*Summary!C$17*24*375*1000*C$11</f>
        <v>33502950000</v>
      </c>
      <c r="M56" s="200">
        <f t="shared" ca="1" si="17"/>
        <v>47372950000</v>
      </c>
      <c r="N56" s="184">
        <f t="shared" ca="1" si="4"/>
        <v>1341</v>
      </c>
      <c r="O56" s="201">
        <f t="shared" ca="1" si="5"/>
        <v>4.5987201065239267</v>
      </c>
      <c r="P56" s="184">
        <f ca="1">C56*Summary!$C$16</f>
        <v>191262.5</v>
      </c>
      <c r="Q56" s="184">
        <f ca="1">P56*Summary!$C$17</f>
        <v>76505</v>
      </c>
      <c r="R56" s="201">
        <f ca="1">Q56/'Alberta Electricity Profile'!$C$33</f>
        <v>5.1335301617124065</v>
      </c>
      <c r="S56" s="272">
        <f ca="1">P56/'Alberta Electricity Profile'!$D$49</f>
        <v>1.465130263591307</v>
      </c>
      <c r="T56" s="273">
        <f t="shared" si="11"/>
        <v>347.92166666666662</v>
      </c>
      <c r="U56" s="273">
        <f t="shared" ca="1" si="12"/>
        <v>474.62409405481048</v>
      </c>
      <c r="V56" s="63">
        <f t="shared" ca="1" si="13"/>
        <v>6.3749861527019176</v>
      </c>
      <c r="W56" s="63">
        <f t="shared" ca="1" si="14"/>
        <v>12749.972305403835</v>
      </c>
    </row>
    <row r="57" spans="2:23">
      <c r="B57" s="192">
        <f t="shared" si="6"/>
        <v>37</v>
      </c>
      <c r="C57" s="184">
        <f t="shared" ca="1" si="7"/>
        <v>39264.5</v>
      </c>
      <c r="D57" s="195">
        <f t="shared" ca="1" si="15"/>
        <v>0.67726549420832316</v>
      </c>
      <c r="E57" s="184">
        <f t="shared" ca="1" si="18"/>
        <v>2414</v>
      </c>
      <c r="F57" s="196">
        <f t="shared" ca="1" si="16"/>
        <v>2.4140000000000001</v>
      </c>
      <c r="G57" s="197">
        <f ca="1">C57/Summary!C$23</f>
        <v>0.56012125534950075</v>
      </c>
      <c r="H57" s="198">
        <f ca="1">H56+('Dev Plan (Wind)'!C56/Summary!C$23)*Summary!C$27</f>
        <v>8718.5075622689892</v>
      </c>
      <c r="I57" s="199">
        <f t="shared" si="8"/>
        <v>1839.5166666666676</v>
      </c>
      <c r="J57" s="199">
        <f t="shared" si="9"/>
        <v>11033.584999999999</v>
      </c>
      <c r="K57" s="198">
        <f t="shared" si="10"/>
        <v>12873.101666666667</v>
      </c>
      <c r="L57" s="200">
        <f ca="1">C56*Summary!C$16*Summary!C$17*24*375*1000*C$11</f>
        <v>34427250000</v>
      </c>
      <c r="M57" s="200">
        <f t="shared" ca="1" si="17"/>
        <v>48297250000</v>
      </c>
      <c r="N57" s="184">
        <f t="shared" ca="1" si="4"/>
        <v>1402</v>
      </c>
      <c r="O57" s="201">
        <f t="shared" ca="1" si="5"/>
        <v>4.7395643215712377</v>
      </c>
      <c r="P57" s="184">
        <f ca="1">C57*Summary!$C$16</f>
        <v>196322.5</v>
      </c>
      <c r="Q57" s="184">
        <f ca="1">P57*Summary!$C$17</f>
        <v>78529</v>
      </c>
      <c r="R57" s="201">
        <f ca="1">Q57/'Alberta Electricity Profile'!$C$33</f>
        <v>5.2693417432731664</v>
      </c>
      <c r="S57" s="272">
        <f ca="1">P57/'Alberta Electricity Profile'!$D$49</f>
        <v>1.5038914380702144</v>
      </c>
      <c r="T57" s="273">
        <f t="shared" si="11"/>
        <v>347.92166666666662</v>
      </c>
      <c r="U57" s="273">
        <f t="shared" ca="1" si="12"/>
        <v>487.71831561246108</v>
      </c>
      <c r="V57" s="63">
        <f t="shared" ca="1" si="13"/>
        <v>6.3749861527019291</v>
      </c>
      <c r="W57" s="63">
        <f t="shared" ca="1" si="14"/>
        <v>12749.972305403859</v>
      </c>
    </row>
    <row r="58" spans="2:23">
      <c r="B58" s="192">
        <f t="shared" si="6"/>
        <v>38</v>
      </c>
      <c r="C58" s="184">
        <f t="shared" ca="1" si="7"/>
        <v>40259.5</v>
      </c>
      <c r="D58" s="195">
        <f t="shared" ca="1" si="15"/>
        <v>0.69730826558719627</v>
      </c>
      <c r="E58" s="184">
        <f t="shared" ca="1" si="18"/>
        <v>2460</v>
      </c>
      <c r="F58" s="196">
        <f t="shared" ca="1" si="16"/>
        <v>2.46</v>
      </c>
      <c r="G58" s="197">
        <f ca="1">C58/Summary!C$23</f>
        <v>0.5743152639087018</v>
      </c>
      <c r="H58" s="198">
        <f ca="1">H57+('Dev Plan (Wind)'!C57/Summary!C$23)*Summary!C$27</f>
        <v>9219.1288498545182</v>
      </c>
      <c r="I58" s="199">
        <f t="shared" si="8"/>
        <v>1889.2333333333343</v>
      </c>
      <c r="J58" s="199">
        <f t="shared" si="9"/>
        <v>11331.789999999999</v>
      </c>
      <c r="K58" s="198">
        <f t="shared" si="10"/>
        <v>13221.023333333333</v>
      </c>
      <c r="L58" s="200">
        <f ca="1">C57*Summary!C$16*Summary!C$17*24*375*1000*C$11</f>
        <v>35338050000</v>
      </c>
      <c r="M58" s="200">
        <f t="shared" ca="1" si="17"/>
        <v>49208050000</v>
      </c>
      <c r="N58" s="184">
        <f t="shared" ca="1" si="4"/>
        <v>1465</v>
      </c>
      <c r="O58" s="201">
        <f t="shared" ca="1" si="5"/>
        <v>4.8798254229340898</v>
      </c>
      <c r="P58" s="184">
        <f ca="1">C58*Summary!$C$16</f>
        <v>201297.5</v>
      </c>
      <c r="Q58" s="184">
        <f ca="1">P58*Summary!$C$17</f>
        <v>80519</v>
      </c>
      <c r="R58" s="201">
        <f ca="1">Q58/'Alberta Electricity Profile'!$C$33</f>
        <v>5.4028719049855738</v>
      </c>
      <c r="S58" s="272">
        <f ca="1">P58/'Alberta Electricity Profile'!$D$49</f>
        <v>1.5420014861003655</v>
      </c>
      <c r="T58" s="273">
        <f t="shared" si="11"/>
        <v>347.92166666666662</v>
      </c>
      <c r="U58" s="273">
        <f t="shared" ca="1" si="12"/>
        <v>500.62128758552899</v>
      </c>
      <c r="V58" s="63">
        <f t="shared" ca="1" si="13"/>
        <v>6.3749861527019185</v>
      </c>
      <c r="W58" s="63">
        <f t="shared" ca="1" si="14"/>
        <v>12749.972305403837</v>
      </c>
    </row>
    <row r="59" spans="2:23">
      <c r="B59" s="192">
        <f t="shared" si="6"/>
        <v>39</v>
      </c>
      <c r="C59" s="184">
        <f t="shared" ca="1" si="7"/>
        <v>41233.5</v>
      </c>
      <c r="D59" s="195">
        <f t="shared" ca="1" si="15"/>
        <v>0.71725814791672637</v>
      </c>
      <c r="E59" s="184">
        <f t="shared" ca="1" si="18"/>
        <v>2505</v>
      </c>
      <c r="F59" s="196">
        <f t="shared" ca="1" si="16"/>
        <v>2.5049999999999999</v>
      </c>
      <c r="G59" s="197">
        <f ca="1">C59/Summary!C$23</f>
        <v>0.58820970042796006</v>
      </c>
      <c r="H59" s="198">
        <f ca="1">H58+('Dev Plan (Wind)'!C58/Summary!C$23)*Summary!C$27</f>
        <v>9732.4363598839245</v>
      </c>
      <c r="I59" s="199">
        <f t="shared" si="8"/>
        <v>1938.950000000001</v>
      </c>
      <c r="J59" s="199">
        <f t="shared" si="9"/>
        <v>11629.994999999999</v>
      </c>
      <c r="K59" s="198">
        <f t="shared" si="10"/>
        <v>13568.945</v>
      </c>
      <c r="L59" s="200">
        <f ca="1">C58*Summary!C$16*Summary!C$17*24*375*1000*C$11</f>
        <v>36233550000</v>
      </c>
      <c r="M59" s="200">
        <f t="shared" ca="1" si="17"/>
        <v>50103550000</v>
      </c>
      <c r="N59" s="184">
        <f t="shared" ca="1" si="4"/>
        <v>1531</v>
      </c>
      <c r="O59" s="201">
        <f t="shared" ca="1" si="5"/>
        <v>5.0194364784465408</v>
      </c>
      <c r="P59" s="184">
        <f ca="1">C59*Summary!$C$16</f>
        <v>206167.5</v>
      </c>
      <c r="Q59" s="184">
        <f ca="1">P59*Summary!$C$17</f>
        <v>82467</v>
      </c>
      <c r="R59" s="201">
        <f ca="1">Q59/'Alberta Electricity Profile'!$C$33</f>
        <v>5.5335838421794268</v>
      </c>
      <c r="S59" s="272">
        <f ca="1">P59/'Alberta Electricity Profile'!$D$49</f>
        <v>1.5793072014585232</v>
      </c>
      <c r="T59" s="273">
        <f t="shared" si="11"/>
        <v>347.92166666666662</v>
      </c>
      <c r="U59" s="273">
        <f t="shared" ca="1" si="12"/>
        <v>513.30751002940633</v>
      </c>
      <c r="V59" s="63">
        <f t="shared" ca="1" si="13"/>
        <v>6.3749861527019256</v>
      </c>
      <c r="W59" s="63">
        <f t="shared" ca="1" si="14"/>
        <v>12749.972305403851</v>
      </c>
    </row>
    <row r="60" spans="2:23">
      <c r="B60" s="192">
        <f t="shared" si="6"/>
        <v>40</v>
      </c>
      <c r="C60" s="184">
        <f t="shared" ca="1" si="7"/>
        <v>42183.5</v>
      </c>
      <c r="D60" s="195">
        <f t="shared" ca="1" si="15"/>
        <v>0.73710286867293839</v>
      </c>
      <c r="E60" s="184">
        <f t="shared" ca="1" si="18"/>
        <v>2549</v>
      </c>
      <c r="F60" s="196">
        <f t="shared" ca="1" si="16"/>
        <v>2.5489999999999999</v>
      </c>
      <c r="G60" s="197">
        <f ca="1">C60/Summary!C$23</f>
        <v>0.60176176890156918</v>
      </c>
      <c r="H60" s="198">
        <f ca="1">H59+('Dev Plan (Wind)'!C59/Summary!C$23)*Summary!C$27</f>
        <v>10258.162342938795</v>
      </c>
      <c r="I60" s="199">
        <f t="shared" si="8"/>
        <v>1988.6666666666677</v>
      </c>
      <c r="J60" s="199">
        <f t="shared" si="9"/>
        <v>11928.199999999999</v>
      </c>
      <c r="K60" s="198">
        <f t="shared" si="10"/>
        <v>13916.866666666667</v>
      </c>
      <c r="L60" s="200">
        <f ca="1">C59*Summary!C$16*Summary!C$17*24*375*1000*C$11</f>
        <v>37110150000</v>
      </c>
      <c r="M60" s="200">
        <f t="shared" ca="1" si="17"/>
        <v>50980150000</v>
      </c>
      <c r="N60" s="184">
        <f t="shared" ca="1" si="4"/>
        <v>1599</v>
      </c>
      <c r="O60" s="201">
        <f t="shared" ca="1" si="5"/>
        <v>5.1583116038914465</v>
      </c>
      <c r="P60" s="184">
        <f ca="1">C60*Summary!$C$16</f>
        <v>210917.5</v>
      </c>
      <c r="Q60" s="184">
        <f ca="1">P60*Summary!$C$17</f>
        <v>84367</v>
      </c>
      <c r="R60" s="201">
        <f ca="1">Q60/'Alberta Electricity Profile'!$C$33</f>
        <v>5.6610749513520764</v>
      </c>
      <c r="S60" s="272">
        <f ca="1">P60/'Alberta Electricity Profile'!$D$49</f>
        <v>1.6156936794772603</v>
      </c>
      <c r="T60" s="273">
        <f t="shared" si="11"/>
        <v>347.92166666666662</v>
      </c>
      <c r="U60" s="273">
        <f t="shared" ca="1" si="12"/>
        <v>525.72598305487008</v>
      </c>
      <c r="V60" s="63">
        <f t="shared" ca="1" si="13"/>
        <v>6.37498615270193</v>
      </c>
      <c r="W60" s="63">
        <f t="shared" ca="1" si="14"/>
        <v>12749.97230540386</v>
      </c>
    </row>
    <row r="61" spans="2:23">
      <c r="B61" s="192">
        <f t="shared" si="6"/>
        <v>41</v>
      </c>
      <c r="C61" s="184">
        <f t="shared" ca="1" si="7"/>
        <v>43103.5</v>
      </c>
      <c r="D61" s="195">
        <f t="shared" ca="1" si="15"/>
        <v>0.75682867122929365</v>
      </c>
      <c r="E61" s="184">
        <f t="shared" ca="1" si="18"/>
        <v>2591</v>
      </c>
      <c r="F61" s="196">
        <f t="shared" ca="1" si="16"/>
        <v>2.5910000000000002</v>
      </c>
      <c r="G61" s="197">
        <f ca="1">C61/Summary!C$23</f>
        <v>0.61488587731811695</v>
      </c>
      <c r="H61" s="198">
        <f ca="1">H60+('Dev Plan (Wind)'!C60/Summary!C$23)*Summary!C$27</f>
        <v>10796.000799683798</v>
      </c>
      <c r="I61" s="199">
        <f t="shared" si="8"/>
        <v>2038.3833333333343</v>
      </c>
      <c r="J61" s="199">
        <f t="shared" si="9"/>
        <v>12226.404999999999</v>
      </c>
      <c r="K61" s="198">
        <f t="shared" si="10"/>
        <v>14264.788333333334</v>
      </c>
      <c r="L61" s="200">
        <f ca="1">C60*Summary!C$16*Summary!C$17*24*375*1000*C$11</f>
        <v>37965150000</v>
      </c>
      <c r="M61" s="200">
        <f t="shared" ca="1" si="17"/>
        <v>51835150000</v>
      </c>
      <c r="N61" s="184">
        <f t="shared" ca="1" si="4"/>
        <v>1671</v>
      </c>
      <c r="O61" s="201">
        <f t="shared" ca="1" si="5"/>
        <v>5.2963545291695828</v>
      </c>
      <c r="P61" s="184">
        <f ca="1">C61*Summary!$C$16</f>
        <v>215517.5</v>
      </c>
      <c r="Q61" s="184">
        <f ca="1">P61*Summary!$C$17</f>
        <v>86207</v>
      </c>
      <c r="R61" s="201">
        <f ca="1">Q61/'Alberta Electricity Profile'!$C$33</f>
        <v>5.784540025498222</v>
      </c>
      <c r="S61" s="272">
        <f ca="1">P61/'Alberta Electricity Profile'!$D$49</f>
        <v>1.6509311108217215</v>
      </c>
      <c r="T61" s="273">
        <f t="shared" si="11"/>
        <v>347.92166666666662</v>
      </c>
      <c r="U61" s="273">
        <f t="shared" ca="1" si="12"/>
        <v>537.83845674500299</v>
      </c>
      <c r="V61" s="63">
        <f t="shared" ca="1" si="13"/>
        <v>6.3749861527019211</v>
      </c>
      <c r="W61" s="63">
        <f t="shared" ca="1" si="14"/>
        <v>12749.972305403842</v>
      </c>
    </row>
    <row r="62" spans="2:23">
      <c r="B62" s="192">
        <f t="shared" si="6"/>
        <v>42</v>
      </c>
      <c r="C62" s="184">
        <f t="shared" ca="1" si="7"/>
        <v>44021.5</v>
      </c>
      <c r="D62" s="195">
        <f t="shared" ca="1" si="15"/>
        <v>0.77641787395697126</v>
      </c>
      <c r="E62" s="184">
        <f t="shared" ca="1" si="18"/>
        <v>2633</v>
      </c>
      <c r="F62" s="196">
        <f t="shared" ca="1" si="16"/>
        <v>2.633</v>
      </c>
      <c r="G62" s="197">
        <f ca="1">C62/Summary!C$23</f>
        <v>0.62798145506419401</v>
      </c>
      <c r="H62" s="198">
        <f ca="1">H61+('Dev Plan (Wind)'!C61/Summary!C$23)*Summary!C$27</f>
        <v>11345.569230949774</v>
      </c>
      <c r="I62" s="199">
        <f t="shared" si="8"/>
        <v>2088.1000000000008</v>
      </c>
      <c r="J62" s="199">
        <f t="shared" si="9"/>
        <v>12524.609999999999</v>
      </c>
      <c r="K62" s="198">
        <f t="shared" si="10"/>
        <v>14612.71</v>
      </c>
      <c r="L62" s="200">
        <f ca="1">C61*Summary!C$16*Summary!C$17*24*375*1000*C$11</f>
        <v>38793150000</v>
      </c>
      <c r="M62" s="200">
        <f t="shared" ca="1" si="17"/>
        <v>52663150000</v>
      </c>
      <c r="N62" s="184">
        <f t="shared" ca="1" si="4"/>
        <v>1715</v>
      </c>
      <c r="O62" s="201">
        <f t="shared" ca="1" si="5"/>
        <v>5.4334415166657575</v>
      </c>
      <c r="P62" s="184">
        <f ca="1">C62*Summary!$C$16</f>
        <v>220107.5</v>
      </c>
      <c r="Q62" s="184">
        <f ca="1">P62*Summary!$C$17</f>
        <v>88043</v>
      </c>
      <c r="R62" s="201">
        <f ca="1">Q62/'Alberta Electricity Profile'!$C$33</f>
        <v>5.9077366973092662</v>
      </c>
      <c r="S62" s="272">
        <f ca="1">P62/'Alberta Electricity Profile'!$D$49</f>
        <v>1.6860919390545643</v>
      </c>
      <c r="T62" s="273">
        <f t="shared" si="11"/>
        <v>347.92166666666662</v>
      </c>
      <c r="U62" s="273">
        <f t="shared" ca="1" si="12"/>
        <v>549.56843126597596</v>
      </c>
      <c r="V62" s="63">
        <f t="shared" ca="1" si="13"/>
        <v>6.374986152701938</v>
      </c>
      <c r="W62" s="63">
        <f t="shared" ca="1" si="14"/>
        <v>12749.972305403877</v>
      </c>
    </row>
    <row r="63" spans="2:23">
      <c r="B63" s="192">
        <f t="shared" si="6"/>
        <v>43</v>
      </c>
      <c r="C63" s="184">
        <f t="shared" ca="1" si="7"/>
        <v>44935.5</v>
      </c>
      <c r="D63" s="195">
        <f t="shared" ca="1" si="15"/>
        <v>0.79587830260679338</v>
      </c>
      <c r="E63" s="184">
        <f t="shared" ca="1" si="18"/>
        <v>2674</v>
      </c>
      <c r="F63" s="196">
        <f t="shared" ca="1" si="16"/>
        <v>2.6739999999999999</v>
      </c>
      <c r="G63" s="197">
        <f ca="1">C63/Summary!C$23</f>
        <v>0.64101997146932954</v>
      </c>
      <c r="H63" s="198">
        <f ca="1">H62+('Dev Plan (Wind)'!C62/Summary!C$23)*Summary!C$27</f>
        <v>11906.842136792109</v>
      </c>
      <c r="I63" s="199">
        <f t="shared" si="8"/>
        <v>2137.8166666666675</v>
      </c>
      <c r="J63" s="199">
        <f t="shared" si="9"/>
        <v>12822.814999999999</v>
      </c>
      <c r="K63" s="198">
        <f t="shared" si="10"/>
        <v>14960.631666666666</v>
      </c>
      <c r="L63" s="200">
        <f ca="1">C62*Summary!C$16*Summary!C$17*24*375*1000*C$11</f>
        <v>39619350000</v>
      </c>
      <c r="M63" s="200">
        <f t="shared" ca="1" si="17"/>
        <v>53489350000</v>
      </c>
      <c r="N63" s="184">
        <f t="shared" ca="1" si="4"/>
        <v>1760</v>
      </c>
      <c r="O63" s="201">
        <f t="shared" ca="1" si="5"/>
        <v>5.569627331682061</v>
      </c>
      <c r="P63" s="184">
        <f ca="1">C63*Summary!$C$16</f>
        <v>224677.5</v>
      </c>
      <c r="Q63" s="184">
        <f ca="1">P63*Summary!$C$17</f>
        <v>89871</v>
      </c>
      <c r="R63" s="201">
        <f ca="1">Q63/'Alberta Electricity Profile'!$C$33</f>
        <v>6.0303965644501103</v>
      </c>
      <c r="S63" s="272">
        <f ca="1">P63/'Alberta Electricity Profile'!$D$49</f>
        <v>1.7210995610641704</v>
      </c>
      <c r="T63" s="273">
        <f t="shared" si="11"/>
        <v>347.92166666666662</v>
      </c>
      <c r="U63" s="273">
        <f t="shared" ca="1" si="12"/>
        <v>561.2729058423356</v>
      </c>
      <c r="V63" s="63">
        <f t="shared" ca="1" si="13"/>
        <v>6.3749861527019247</v>
      </c>
      <c r="W63" s="63">
        <f t="shared" ca="1" si="14"/>
        <v>12749.97230540385</v>
      </c>
    </row>
    <row r="64" spans="2:23">
      <c r="B64" s="192">
        <f t="shared" si="6"/>
        <v>44</v>
      </c>
      <c r="C64" s="184">
        <f t="shared" ca="1" si="7"/>
        <v>45845.5</v>
      </c>
      <c r="D64" s="195">
        <f t="shared" ca="1" si="15"/>
        <v>0.81521540576585627</v>
      </c>
      <c r="E64" s="184">
        <f t="shared" ca="1" si="18"/>
        <v>2715</v>
      </c>
      <c r="F64" s="196">
        <f t="shared" ca="1" si="16"/>
        <v>2.7149999999999999</v>
      </c>
      <c r="G64" s="197">
        <f ca="1">C64/Summary!C$23</f>
        <v>0.65400142653352356</v>
      </c>
      <c r="H64" s="198">
        <f ca="1">H63+('Dev Plan (Wind)'!C63/Summary!C$23)*Summary!C$27</f>
        <v>12479.768517321585</v>
      </c>
      <c r="I64" s="199">
        <f t="shared" si="8"/>
        <v>2187.5333333333342</v>
      </c>
      <c r="J64" s="199">
        <f t="shared" si="9"/>
        <v>13121.019999999999</v>
      </c>
      <c r="K64" s="198">
        <f t="shared" si="10"/>
        <v>15308.553333333333</v>
      </c>
      <c r="L64" s="200">
        <f ca="1">C63*Summary!C$16*Summary!C$17*24*375*1000*C$11</f>
        <v>40441950000</v>
      </c>
      <c r="M64" s="200">
        <f t="shared" ca="1" si="17"/>
        <v>54311950000</v>
      </c>
      <c r="N64" s="184">
        <f t="shared" ca="1" si="4"/>
        <v>1805</v>
      </c>
      <c r="O64" s="201">
        <f t="shared" ca="1" si="5"/>
        <v>5.7049501039168531</v>
      </c>
      <c r="P64" s="184">
        <f ca="1">C64*Summary!$C$16</f>
        <v>229227.5</v>
      </c>
      <c r="Q64" s="184">
        <f ca="1">P64*Summary!$C$17</f>
        <v>91691</v>
      </c>
      <c r="R64" s="201">
        <f ca="1">Q64/'Alberta Electricity Profile'!$C$33</f>
        <v>6.1525196269207543</v>
      </c>
      <c r="S64" s="272">
        <f ca="1">P64/'Alberta Electricity Profile'!$D$49</f>
        <v>1.7559539768505397</v>
      </c>
      <c r="T64" s="273">
        <f t="shared" si="11"/>
        <v>347.92166666666662</v>
      </c>
      <c r="U64" s="273">
        <f t="shared" ca="1" si="12"/>
        <v>572.92638052947586</v>
      </c>
      <c r="V64" s="63">
        <f t="shared" ca="1" si="13"/>
        <v>6.374986152701938</v>
      </c>
      <c r="W64" s="63">
        <f t="shared" ca="1" si="14"/>
        <v>12749.972305403877</v>
      </c>
    </row>
    <row r="65" spans="2:23">
      <c r="B65" s="192">
        <f t="shared" si="6"/>
        <v>45</v>
      </c>
      <c r="C65" s="184">
        <f t="shared" ca="1" si="7"/>
        <v>46750.5</v>
      </c>
      <c r="D65" s="195">
        <f t="shared" ca="1" si="15"/>
        <v>0.83443414770240298</v>
      </c>
      <c r="E65" s="184">
        <f t="shared" ca="1" si="18"/>
        <v>2756</v>
      </c>
      <c r="F65" s="196">
        <f t="shared" ca="1" si="16"/>
        <v>2.7559999999999998</v>
      </c>
      <c r="G65" s="197">
        <f ca="1">C65/Summary!C$23</f>
        <v>0.66691155492154064</v>
      </c>
      <c r="H65" s="198">
        <f ca="1">H64+('Dev Plan (Wind)'!C64/Summary!C$23)*Summary!C$27</f>
        <v>13064.297372648978</v>
      </c>
      <c r="I65" s="199">
        <f t="shared" si="8"/>
        <v>2237.2500000000009</v>
      </c>
      <c r="J65" s="199">
        <f t="shared" si="9"/>
        <v>13419.224999999999</v>
      </c>
      <c r="K65" s="198">
        <f t="shared" si="10"/>
        <v>15656.474999999999</v>
      </c>
      <c r="L65" s="200">
        <f ca="1">C64*Summary!C$16*Summary!C$17*24*375*1000*C$11</f>
        <v>41260950000</v>
      </c>
      <c r="M65" s="200">
        <f t="shared" ca="1" si="17"/>
        <v>55130950000</v>
      </c>
      <c r="N65" s="184">
        <f t="shared" ca="1" si="4"/>
        <v>1851</v>
      </c>
      <c r="O65" s="201">
        <f t="shared" ca="1" si="5"/>
        <v>5.8394445737619725</v>
      </c>
      <c r="P65" s="184">
        <f ca="1">C65*Summary!$C$16</f>
        <v>233752.5</v>
      </c>
      <c r="Q65" s="184">
        <f ca="1">P65*Summary!$C$17</f>
        <v>93501</v>
      </c>
      <c r="R65" s="201">
        <f ca="1">Q65/'Alberta Electricity Profile'!$C$33</f>
        <v>6.273971683553647</v>
      </c>
      <c r="S65" s="272">
        <f ca="1">P65/'Alberta Electricity Profile'!$D$49</f>
        <v>1.790616884857863</v>
      </c>
      <c r="T65" s="273">
        <f t="shared" si="11"/>
        <v>347.92166666666662</v>
      </c>
      <c r="U65" s="273">
        <f t="shared" ca="1" si="12"/>
        <v>584.5288553273931</v>
      </c>
      <c r="V65" s="63">
        <f t="shared" ca="1" si="13"/>
        <v>6.3749861527019345</v>
      </c>
      <c r="W65" s="63">
        <f t="shared" ca="1" si="14"/>
        <v>12749.97230540387</v>
      </c>
    </row>
    <row r="66" spans="2:23">
      <c r="B66" s="192">
        <f t="shared" si="6"/>
        <v>46</v>
      </c>
      <c r="C66" s="184">
        <f t="shared" ca="1" si="7"/>
        <v>47650.5</v>
      </c>
      <c r="D66" s="195">
        <f t="shared" ca="1" si="15"/>
        <v>0.85353826435482183</v>
      </c>
      <c r="E66" s="184">
        <f t="shared" ca="1" si="18"/>
        <v>2797</v>
      </c>
      <c r="F66" s="196">
        <f t="shared" ca="1" si="16"/>
        <v>2.7970000000000002</v>
      </c>
      <c r="G66" s="197">
        <f ca="1">C66/Summary!C$23</f>
        <v>0.6797503566333809</v>
      </c>
      <c r="H66" s="198">
        <f ca="1">H65+('Dev Plan (Wind)'!C65/Summary!C$23)*Summary!C$27</f>
        <v>13660.364952912762</v>
      </c>
      <c r="I66" s="199">
        <f t="shared" si="8"/>
        <v>2286.9666666666676</v>
      </c>
      <c r="J66" s="199">
        <f t="shared" si="9"/>
        <v>13717.429999999998</v>
      </c>
      <c r="K66" s="198">
        <f t="shared" si="10"/>
        <v>16004.396666666666</v>
      </c>
      <c r="L66" s="200">
        <f ca="1">C65*Summary!C$16*Summary!C$17*24*375*1000*C$11</f>
        <v>42075450000</v>
      </c>
      <c r="M66" s="200">
        <f t="shared" ca="1" si="17"/>
        <v>55945450000</v>
      </c>
      <c r="N66" s="184">
        <f t="shared" ca="1" si="4"/>
        <v>1897</v>
      </c>
      <c r="O66" s="201">
        <f t="shared" ca="1" si="5"/>
        <v>5.9731368856474027</v>
      </c>
      <c r="P66" s="184">
        <f ca="1">C66*Summary!$C$16</f>
        <v>238252.5</v>
      </c>
      <c r="Q66" s="184">
        <f ca="1">P66*Summary!$C$17</f>
        <v>95301</v>
      </c>
      <c r="R66" s="201">
        <f ca="1">Q66/'Alberta Electricity Profile'!$C$33</f>
        <v>6.3947527343487884</v>
      </c>
      <c r="S66" s="272">
        <f ca="1">P66/'Alberta Electricity Profile'!$D$49</f>
        <v>1.8250882850861403</v>
      </c>
      <c r="T66" s="273">
        <f t="shared" si="11"/>
        <v>347.92166666666662</v>
      </c>
      <c r="U66" s="273">
        <f t="shared" ca="1" si="12"/>
        <v>596.06758026378338</v>
      </c>
      <c r="V66" s="63">
        <f t="shared" ca="1" si="13"/>
        <v>6.3749861527019327</v>
      </c>
      <c r="W66" s="63">
        <f t="shared" ca="1" si="14"/>
        <v>12749.972305403866</v>
      </c>
    </row>
    <row r="67" spans="2:23">
      <c r="B67" s="192">
        <f t="shared" si="6"/>
        <v>47</v>
      </c>
      <c r="C67" s="184">
        <f t="shared" ca="1" si="7"/>
        <v>48544.5</v>
      </c>
      <c r="D67" s="195">
        <f t="shared" ca="1" si="15"/>
        <v>0.87253117370929822</v>
      </c>
      <c r="E67" s="184">
        <f t="shared" ca="1" si="18"/>
        <v>2837</v>
      </c>
      <c r="F67" s="196">
        <f t="shared" ca="1" si="16"/>
        <v>2.8370000000000002</v>
      </c>
      <c r="G67" s="197">
        <f ca="1">C67/Summary!C$23</f>
        <v>0.69250356633380883</v>
      </c>
      <c r="H67" s="198">
        <f ca="1">H66+('Dev Plan (Wind)'!C66/Summary!C$23)*Summary!C$27</f>
        <v>14267.907508251408</v>
      </c>
      <c r="I67" s="199">
        <f t="shared" si="8"/>
        <v>2336.6833333333343</v>
      </c>
      <c r="J67" s="199">
        <f t="shared" si="9"/>
        <v>14015.634999999998</v>
      </c>
      <c r="K67" s="198">
        <f t="shared" si="10"/>
        <v>16352.318333333333</v>
      </c>
      <c r="L67" s="200">
        <f ca="1">C66*Summary!C$16*Summary!C$17*24*375*1000*C$11</f>
        <v>42885450000</v>
      </c>
      <c r="M67" s="200">
        <f t="shared" ca="1" si="17"/>
        <v>56755450000</v>
      </c>
      <c r="N67" s="184">
        <f t="shared" ca="1" si="4"/>
        <v>1943</v>
      </c>
      <c r="O67" s="201">
        <f t="shared" ca="1" si="5"/>
        <v>6.1060509589452581</v>
      </c>
      <c r="P67" s="184">
        <f ca="1">C67*Summary!$C$16</f>
        <v>242722.5</v>
      </c>
      <c r="Q67" s="184">
        <f ca="1">P67*Summary!$C$17</f>
        <v>97089</v>
      </c>
      <c r="R67" s="201">
        <f ca="1">Q67/'Alberta Electricity Profile'!$C$33</f>
        <v>6.5147285781386302</v>
      </c>
      <c r="S67" s="272">
        <f ca="1">P67/'Alberta Electricity Profile'!$D$49</f>
        <v>1.8593298759795622</v>
      </c>
      <c r="T67" s="273">
        <f t="shared" si="11"/>
        <v>347.92166666666662</v>
      </c>
      <c r="U67" s="273">
        <f t="shared" ca="1" si="12"/>
        <v>607.54255533864671</v>
      </c>
      <c r="V67" s="63">
        <f t="shared" ca="1" si="13"/>
        <v>6.3749861527019309</v>
      </c>
      <c r="W67" s="63">
        <f t="shared" ca="1" si="14"/>
        <v>12749.972305403862</v>
      </c>
    </row>
    <row r="68" spans="2:23">
      <c r="B68" s="192">
        <f t="shared" si="6"/>
        <v>48</v>
      </c>
      <c r="C68" s="184">
        <f t="shared" ca="1" si="7"/>
        <v>49432.5</v>
      </c>
      <c r="D68" s="195">
        <f t="shared" ca="1" si="15"/>
        <v>0.89141524545941175</v>
      </c>
      <c r="E68" s="184">
        <f t="shared" ca="1" si="18"/>
        <v>2878</v>
      </c>
      <c r="F68" s="196">
        <f t="shared" ca="1" si="16"/>
        <v>2.8780000000000001</v>
      </c>
      <c r="G68" s="197">
        <f ca="1">C68/Summary!C$23</f>
        <v>0.70517118402282453</v>
      </c>
      <c r="H68" s="198">
        <f ca="1">H67+('Dev Plan (Wind)'!C67/Summary!C$23)*Summary!C$27</f>
        <v>14886.848538831086</v>
      </c>
      <c r="I68" s="199">
        <f t="shared" si="8"/>
        <v>2386.400000000001</v>
      </c>
      <c r="J68" s="199">
        <f t="shared" si="9"/>
        <v>14313.839999999998</v>
      </c>
      <c r="K68" s="198">
        <f t="shared" si="10"/>
        <v>16700.239999999998</v>
      </c>
      <c r="L68" s="200">
        <f ca="1">C67*Summary!C$16*Summary!C$17*24*375*1000*C$11</f>
        <v>43690050000</v>
      </c>
      <c r="M68" s="200">
        <f t="shared" ca="1" si="17"/>
        <v>57560050000</v>
      </c>
      <c r="N68" s="184">
        <f t="shared" ca="1" si="4"/>
        <v>1990</v>
      </c>
      <c r="O68" s="201">
        <f t="shared" ca="1" si="5"/>
        <v>6.2382033769825176</v>
      </c>
      <c r="P68" s="184">
        <f ca="1">C68*Summary!$C$16</f>
        <v>247162.5</v>
      </c>
      <c r="Q68" s="184">
        <f ca="1">P68*Summary!$C$17</f>
        <v>98865</v>
      </c>
      <c r="R68" s="201">
        <f ca="1">Q68/'Alberta Electricity Profile'!$C$33</f>
        <v>6.6338992149231695</v>
      </c>
      <c r="S68" s="272">
        <f ca="1">P68/'Alberta Electricity Profile'!$D$49</f>
        <v>1.8933416575381292</v>
      </c>
      <c r="T68" s="273">
        <f t="shared" si="11"/>
        <v>347.92166666666662</v>
      </c>
      <c r="U68" s="273">
        <f t="shared" ca="1" si="12"/>
        <v>618.94103057967732</v>
      </c>
      <c r="V68" s="63">
        <f t="shared" ca="1" si="13"/>
        <v>6.3749861527019265</v>
      </c>
      <c r="W68" s="63">
        <f t="shared" ca="1" si="14"/>
        <v>12749.972305403853</v>
      </c>
    </row>
    <row r="69" spans="2:23">
      <c r="B69" s="192">
        <f t="shared" si="6"/>
        <v>49</v>
      </c>
      <c r="C69" s="184">
        <f t="shared" ca="1" si="7"/>
        <v>50312.5</v>
      </c>
      <c r="D69" s="195">
        <f t="shared" ca="1" si="15"/>
        <v>0.91019265585436804</v>
      </c>
      <c r="E69" s="184">
        <f t="shared" ca="1" si="18"/>
        <v>2917</v>
      </c>
      <c r="F69" s="196">
        <f t="shared" ca="1" si="16"/>
        <v>2.9169999999999998</v>
      </c>
      <c r="G69" s="197">
        <f ca="1">C69/Summary!C$23</f>
        <v>0.71772467902995718</v>
      </c>
      <c r="H69" s="198">
        <f ca="1">H68+('Dev Plan (Wind)'!C68/Summary!C$23)*Summary!C$27</f>
        <v>15517.111544817963</v>
      </c>
      <c r="I69" s="199">
        <f t="shared" si="8"/>
        <v>2436.1166666666677</v>
      </c>
      <c r="J69" s="199">
        <f t="shared" si="9"/>
        <v>14612.044999999998</v>
      </c>
      <c r="K69" s="198">
        <f t="shared" si="10"/>
        <v>17048.161666666667</v>
      </c>
      <c r="L69" s="200">
        <f ca="1">C68*Summary!C$16*Summary!C$17*24*375*1000*C$11</f>
        <v>44489250000</v>
      </c>
      <c r="M69" s="200">
        <f t="shared" ca="1" si="17"/>
        <v>58359250000</v>
      </c>
      <c r="N69" s="184">
        <f t="shared" ca="1" si="4"/>
        <v>2037</v>
      </c>
      <c r="O69" s="201">
        <f t="shared" ca="1" si="5"/>
        <v>6.3696093693451834</v>
      </c>
      <c r="P69" s="184">
        <f ca="1">C69*Summary!$C$16</f>
        <v>251562.5</v>
      </c>
      <c r="Q69" s="184">
        <f ca="1">P69*Summary!$C$17</f>
        <v>100625</v>
      </c>
      <c r="R69" s="201">
        <f ca="1">Q69/'Alberta Electricity Profile'!$C$33</f>
        <v>6.7519962423673086</v>
      </c>
      <c r="S69" s="272">
        <f ca="1">P69/'Alberta Electricity Profile'!$D$49</f>
        <v>1.9270470266502224</v>
      </c>
      <c r="T69" s="273">
        <f t="shared" si="11"/>
        <v>347.92166666666662</v>
      </c>
      <c r="U69" s="273">
        <f t="shared" ca="1" si="12"/>
        <v>630.26300598687703</v>
      </c>
      <c r="V69" s="63">
        <f t="shared" ca="1" si="13"/>
        <v>6.3749861527019371</v>
      </c>
      <c r="W69" s="63">
        <f t="shared" ca="1" si="14"/>
        <v>12749.972305403875</v>
      </c>
    </row>
    <row r="70" spans="2:23">
      <c r="B70" s="192">
        <f t="shared" si="6"/>
        <v>50</v>
      </c>
      <c r="C70" s="184">
        <f t="shared" ca="1" si="7"/>
        <v>51184.5</v>
      </c>
      <c r="D70" s="195">
        <f t="shared" ca="1" si="15"/>
        <v>0.92886394119942295</v>
      </c>
      <c r="E70" s="184">
        <f t="shared" ca="1" si="18"/>
        <v>2957</v>
      </c>
      <c r="F70" s="196">
        <f t="shared" ca="1" si="16"/>
        <v>2.9569999999999999</v>
      </c>
      <c r="G70" s="197">
        <f ca="1">C70/Summary!C$23</f>
        <v>0.7301640513552069</v>
      </c>
      <c r="H70" s="198">
        <f ca="1">H69+('Dev Plan (Wind)'!C69/Summary!C$23)*Summary!C$27</f>
        <v>16158.594526433593</v>
      </c>
      <c r="I70" s="199">
        <f t="shared" si="8"/>
        <v>2485.8333333333344</v>
      </c>
      <c r="J70" s="199">
        <f t="shared" si="9"/>
        <v>14910.249999999998</v>
      </c>
      <c r="K70" s="198">
        <f t="shared" si="10"/>
        <v>17396.083333333332</v>
      </c>
      <c r="L70" s="200">
        <f ca="1">C69*Summary!C$16*Summary!C$17*24*375*1000*C$11</f>
        <v>45281250000</v>
      </c>
      <c r="M70" s="200">
        <f t="shared" ca="1" si="17"/>
        <v>59151250000</v>
      </c>
      <c r="N70" s="184">
        <f t="shared" ca="1" si="4"/>
        <v>2085</v>
      </c>
      <c r="O70" s="201">
        <f t="shared" ca="1" si="5"/>
        <v>6.500272689145258</v>
      </c>
      <c r="P70" s="184">
        <f ca="1">C70*Summary!$C$16</f>
        <v>255922.5</v>
      </c>
      <c r="Q70" s="184">
        <f ca="1">P70*Summary!$C$17</f>
        <v>102369</v>
      </c>
      <c r="R70" s="201">
        <f ca="1">Q70/'Alberta Electricity Profile'!$C$33</f>
        <v>6.8690196604710465</v>
      </c>
      <c r="S70" s="272">
        <f ca="1">P70/'Alberta Electricity Profile'!$D$49</f>
        <v>1.9604459833158423</v>
      </c>
      <c r="T70" s="273">
        <f t="shared" si="11"/>
        <v>347.92166666666662</v>
      </c>
      <c r="U70" s="273">
        <f t="shared" ca="1" si="12"/>
        <v>641.48298161563071</v>
      </c>
      <c r="V70" s="63">
        <f t="shared" ca="1" si="13"/>
        <v>6.3749861527019194</v>
      </c>
      <c r="W70" s="63">
        <f t="shared" ca="1" si="14"/>
        <v>12749.972305403839</v>
      </c>
    </row>
    <row r="71" spans="2:23">
      <c r="B71" s="192">
        <f t="shared" si="6"/>
        <v>51</v>
      </c>
      <c r="C71" s="184">
        <f t="shared" ca="1" si="7"/>
        <v>52048.5</v>
      </c>
      <c r="D71" s="195">
        <f t="shared" ca="1" si="15"/>
        <v>0.94742959573667496</v>
      </c>
      <c r="E71" s="184">
        <f t="shared" ca="1" si="18"/>
        <v>2996</v>
      </c>
      <c r="F71" s="196">
        <f t="shared" ca="1" si="16"/>
        <v>2.996</v>
      </c>
      <c r="G71" s="197">
        <f ca="1">C71/Summary!C$23</f>
        <v>0.74248930099857346</v>
      </c>
      <c r="H71" s="198">
        <f ca="1">H70+('Dev Plan (Wind)'!C70/Summary!C$23)*Summary!C$27</f>
        <v>16811.195483899537</v>
      </c>
      <c r="I71" s="199">
        <f t="shared" si="8"/>
        <v>2535.5500000000011</v>
      </c>
      <c r="J71" s="199">
        <f t="shared" si="9"/>
        <v>15208.454999999998</v>
      </c>
      <c r="K71" s="198">
        <f t="shared" si="10"/>
        <v>17744.004999999997</v>
      </c>
      <c r="L71" s="200">
        <f ca="1">C70*Summary!C$16*Summary!C$17*24*375*1000*C$11</f>
        <v>46066050000</v>
      </c>
      <c r="M71" s="200">
        <f t="shared" ca="1" si="17"/>
        <v>59936050000</v>
      </c>
      <c r="N71" s="184">
        <f t="shared" ca="1" si="4"/>
        <v>2132</v>
      </c>
      <c r="O71" s="201">
        <f t="shared" ca="1" si="5"/>
        <v>6.6301967951330205</v>
      </c>
      <c r="P71" s="184">
        <f ca="1">C71*Summary!$C$16</f>
        <v>260242.5</v>
      </c>
      <c r="Q71" s="184">
        <f ca="1">P71*Summary!$C$17</f>
        <v>104097</v>
      </c>
      <c r="R71" s="201">
        <f ca="1">Q71/'Alberta Electricity Profile'!$C$33</f>
        <v>6.9849694692343824</v>
      </c>
      <c r="S71" s="272">
        <f ca="1">P71/'Alberta Electricity Profile'!$D$49</f>
        <v>1.9935385275349884</v>
      </c>
      <c r="T71" s="273">
        <f t="shared" si="11"/>
        <v>347.92166666666662</v>
      </c>
      <c r="U71" s="273">
        <f t="shared" ca="1" si="12"/>
        <v>652.60095746594379</v>
      </c>
      <c r="V71" s="63">
        <f t="shared" ca="1" si="13"/>
        <v>6.3749861527019291</v>
      </c>
      <c r="W71" s="63">
        <f t="shared" ca="1" si="14"/>
        <v>12749.972305403859</v>
      </c>
    </row>
    <row r="72" spans="2:23">
      <c r="B72" s="192">
        <f t="shared" si="6"/>
        <v>52</v>
      </c>
      <c r="C72" s="184">
        <f t="shared" ca="1" si="7"/>
        <v>52903.5</v>
      </c>
      <c r="D72" s="195">
        <f t="shared" ca="1" si="15"/>
        <v>0.96589007568959961</v>
      </c>
      <c r="E72" s="184">
        <f t="shared" ca="1" si="18"/>
        <v>3035</v>
      </c>
      <c r="F72" s="196">
        <f t="shared" ca="1" si="16"/>
        <v>3.0350000000000001</v>
      </c>
      <c r="G72" s="197">
        <f ca="1">C72/Summary!C$23</f>
        <v>0.75468616262482169</v>
      </c>
      <c r="H72" s="198">
        <f ca="1">H71+('Dev Plan (Wind)'!C71/Summary!C$23)*Summary!C$27</f>
        <v>17474.812417437352</v>
      </c>
      <c r="I72" s="199">
        <f t="shared" si="8"/>
        <v>2585.2666666666678</v>
      </c>
      <c r="J72" s="199">
        <f t="shared" si="9"/>
        <v>15506.659999999998</v>
      </c>
      <c r="K72" s="198">
        <f t="shared" si="10"/>
        <v>18091.926666666666</v>
      </c>
      <c r="L72" s="200">
        <f ca="1">C71*Summary!C$16*Summary!C$17*24*375*1000*C$11</f>
        <v>46843650000</v>
      </c>
      <c r="M72" s="200">
        <f t="shared" ca="1" si="17"/>
        <v>60713650000</v>
      </c>
      <c r="N72" s="184">
        <f t="shared" ca="1" si="4"/>
        <v>2180</v>
      </c>
      <c r="O72" s="201">
        <f t="shared" ca="1" si="5"/>
        <v>6.7593848800010354</v>
      </c>
      <c r="P72" s="184">
        <f ca="1">C72*Summary!$C$16</f>
        <v>264517.5</v>
      </c>
      <c r="Q72" s="184">
        <f ca="1">P72*Summary!$C$17</f>
        <v>105807</v>
      </c>
      <c r="R72" s="201">
        <f ca="1">Q72/'Alberta Electricity Profile'!$C$33</f>
        <v>7.099711467489767</v>
      </c>
      <c r="S72" s="272">
        <f ca="1">P72/'Alberta Electricity Profile'!$D$49</f>
        <v>2.026286357751852</v>
      </c>
      <c r="T72" s="273">
        <f t="shared" si="11"/>
        <v>347.92166666666662</v>
      </c>
      <c r="U72" s="273">
        <f t="shared" ca="1" si="12"/>
        <v>663.61693353781448</v>
      </c>
      <c r="V72" s="63">
        <f t="shared" ca="1" si="13"/>
        <v>6.374986152701946</v>
      </c>
      <c r="W72" s="63">
        <f t="shared" ca="1" si="14"/>
        <v>12749.972305403891</v>
      </c>
    </row>
    <row r="73" spans="2:23">
      <c r="B73" s="192">
        <f t="shared" si="6"/>
        <v>53</v>
      </c>
      <c r="C73" s="184">
        <f t="shared" ca="1" si="7"/>
        <v>53750.5</v>
      </c>
      <c r="D73" s="195">
        <f t="shared" ca="1" si="15"/>
        <v>0.98424511141385673</v>
      </c>
      <c r="E73" s="184">
        <f t="shared" ca="1" si="18"/>
        <v>3074</v>
      </c>
      <c r="F73" s="196">
        <f t="shared" ca="1" si="16"/>
        <v>3.0739999999999998</v>
      </c>
      <c r="G73" s="197">
        <f ca="1">C73/Summary!C$23</f>
        <v>0.76676890156918687</v>
      </c>
      <c r="H73" s="198">
        <f ca="1">H72+('Dev Plan (Wind)'!C72/Summary!C$23)*Summary!C$27</f>
        <v>18149.330577296285</v>
      </c>
      <c r="I73" s="199">
        <f t="shared" si="8"/>
        <v>2634.9833333333345</v>
      </c>
      <c r="J73" s="199">
        <f t="shared" si="9"/>
        <v>15804.864999999998</v>
      </c>
      <c r="K73" s="198">
        <f t="shared" si="10"/>
        <v>18439.848333333332</v>
      </c>
      <c r="L73" s="200">
        <f ca="1">C72*Summary!C$16*Summary!C$17*24*375*1000*C$11</f>
        <v>47613150000</v>
      </c>
      <c r="M73" s="200">
        <f t="shared" ca="1" si="17"/>
        <v>61483150000</v>
      </c>
      <c r="N73" s="184">
        <f t="shared" ca="1" si="4"/>
        <v>2227</v>
      </c>
      <c r="O73" s="201">
        <f t="shared" ca="1" si="5"/>
        <v>6.887835056754164</v>
      </c>
      <c r="P73" s="184">
        <f ca="1">C73*Summary!$C$16</f>
        <v>268752.5</v>
      </c>
      <c r="Q73" s="184">
        <f ca="1">P73*Summary!$C$17</f>
        <v>107501</v>
      </c>
      <c r="R73" s="201">
        <f ca="1">Q73/'Alberta Electricity Profile'!$C$33</f>
        <v>7.2133798564047504</v>
      </c>
      <c r="S73" s="272">
        <f ca="1">P73/'Alberta Electricity Profile'!$D$49</f>
        <v>2.0587277755222417</v>
      </c>
      <c r="T73" s="273">
        <f t="shared" si="11"/>
        <v>347.92166666666662</v>
      </c>
      <c r="U73" s="273">
        <f t="shared" ca="1" si="12"/>
        <v>674.51815985893336</v>
      </c>
      <c r="V73" s="63">
        <f t="shared" ca="1" si="13"/>
        <v>6.3749861527019327</v>
      </c>
      <c r="W73" s="63">
        <f t="shared" ca="1" si="14"/>
        <v>12749.972305403866</v>
      </c>
    </row>
    <row r="74" spans="2:23">
      <c r="B74" s="192">
        <f t="shared" si="6"/>
        <v>54</v>
      </c>
      <c r="C74" s="184">
        <f t="shared" ca="1" si="7"/>
        <v>54588.5</v>
      </c>
      <c r="D74" s="195">
        <f t="shared" ca="1" si="15"/>
        <v>1.0024951318702482</v>
      </c>
      <c r="E74" s="184">
        <f t="shared" ca="1" si="18"/>
        <v>3112</v>
      </c>
      <c r="F74" s="196">
        <f t="shared" ca="1" si="16"/>
        <v>3.1120000000000001</v>
      </c>
      <c r="G74" s="197">
        <f ca="1">C74/Summary!C$23</f>
        <v>0.7787232524964337</v>
      </c>
      <c r="H74" s="198">
        <f ca="1">H73+('Dev Plan (Wind)'!C73/Summary!C$23)*Summary!C$27</f>
        <v>18834.647963697895</v>
      </c>
      <c r="I74" s="199">
        <f t="shared" si="8"/>
        <v>2684.7000000000012</v>
      </c>
      <c r="J74" s="199">
        <f t="shared" si="9"/>
        <v>16103.069999999998</v>
      </c>
      <c r="K74" s="198">
        <f t="shared" si="10"/>
        <v>18787.77</v>
      </c>
      <c r="L74" s="200">
        <f ca="1">C73*Summary!C$16*Summary!C$17*24*375*1000*C$11</f>
        <v>48375450000</v>
      </c>
      <c r="M74" s="200">
        <f t="shared" ca="1" si="17"/>
        <v>62245450000</v>
      </c>
      <c r="N74" s="184">
        <f t="shared" ca="1" si="4"/>
        <v>2274</v>
      </c>
      <c r="O74" s="201">
        <f t="shared" ca="1" si="5"/>
        <v>7.0155503272983522</v>
      </c>
      <c r="P74" s="184">
        <f ca="1">C74*Summary!$C$16</f>
        <v>272942.5</v>
      </c>
      <c r="Q74" s="184">
        <f ca="1">P74*Summary!$C$17</f>
        <v>109177</v>
      </c>
      <c r="R74" s="201">
        <f ca="1">Q74/'Alberta Electricity Profile'!$C$33</f>
        <v>7.3258404348117825</v>
      </c>
      <c r="S74" s="272">
        <f ca="1">P74/'Alberta Electricity Profile'!$D$49</f>
        <v>2.0908244792903488</v>
      </c>
      <c r="T74" s="273">
        <f t="shared" si="11"/>
        <v>347.92166666666662</v>
      </c>
      <c r="U74" s="273">
        <f t="shared" ca="1" si="12"/>
        <v>685.31738640160984</v>
      </c>
      <c r="V74" s="63">
        <f t="shared" ca="1" si="13"/>
        <v>6.3749861527019265</v>
      </c>
      <c r="W74" s="63">
        <f t="shared" ca="1" si="14"/>
        <v>12749.972305403853</v>
      </c>
    </row>
    <row r="75" spans="2:23">
      <c r="B75" s="192">
        <f t="shared" si="6"/>
        <v>55</v>
      </c>
      <c r="C75" s="184">
        <f t="shared" ca="1" si="7"/>
        <v>55416.5</v>
      </c>
      <c r="D75" s="195">
        <f t="shared" ca="1" si="15"/>
        <v>1.0206398685296942</v>
      </c>
      <c r="E75" s="184">
        <f t="shared" ca="1" si="18"/>
        <v>3149</v>
      </c>
      <c r="F75" s="196">
        <f t="shared" ca="1" si="16"/>
        <v>3.149</v>
      </c>
      <c r="G75" s="197">
        <f ca="1">C75/Summary!C$23</f>
        <v>0.79053495007132668</v>
      </c>
      <c r="H75" s="198">
        <f ca="1">H74+('Dev Plan (Wind)'!C74/Summary!C$23)*Summary!C$27</f>
        <v>19530.649826891433</v>
      </c>
      <c r="I75" s="199">
        <f t="shared" si="8"/>
        <v>2734.4166666666679</v>
      </c>
      <c r="J75" s="199">
        <f t="shared" si="9"/>
        <v>16401.274999999998</v>
      </c>
      <c r="K75" s="198">
        <f t="shared" si="10"/>
        <v>19135.691666666666</v>
      </c>
      <c r="L75" s="200">
        <f ca="1">C74*Summary!C$16*Summary!C$17*24*375*1000*C$11</f>
        <v>49129650000</v>
      </c>
      <c r="M75" s="200">
        <f t="shared" ca="1" si="17"/>
        <v>62999650000</v>
      </c>
      <c r="N75" s="184">
        <f t="shared" ca="1" si="4"/>
        <v>2321</v>
      </c>
      <c r="O75" s="201">
        <f t="shared" ca="1" si="5"/>
        <v>7.1425288124431505</v>
      </c>
      <c r="P75" s="184">
        <f ca="1">C75*Summary!$C$16</f>
        <v>277082.5</v>
      </c>
      <c r="Q75" s="184">
        <f ca="1">P75*Summary!$C$17</f>
        <v>110833</v>
      </c>
      <c r="R75" s="201">
        <f ca="1">Q75/'Alberta Electricity Profile'!$C$33</f>
        <v>7.4369590015433138</v>
      </c>
      <c r="S75" s="272">
        <f ca="1">P75/'Alberta Electricity Profile'!$D$49</f>
        <v>2.1225381675003638</v>
      </c>
      <c r="T75" s="273">
        <f t="shared" si="11"/>
        <v>347.92166666666662</v>
      </c>
      <c r="U75" s="273">
        <f t="shared" ca="1" si="12"/>
        <v>696.00186319353816</v>
      </c>
      <c r="V75" s="63">
        <f t="shared" ca="1" si="13"/>
        <v>6.3749861527019256</v>
      </c>
      <c r="W75" s="63">
        <f t="shared" ca="1" si="14"/>
        <v>12749.972305403851</v>
      </c>
    </row>
    <row r="76" spans="2:23">
      <c r="B76" s="192">
        <f t="shared" si="6"/>
        <v>56</v>
      </c>
      <c r="C76" s="184">
        <f t="shared" ca="1" si="7"/>
        <v>56235.5</v>
      </c>
      <c r="D76" s="195">
        <f t="shared" ca="1" si="15"/>
        <v>1.0386784176491139</v>
      </c>
      <c r="E76" s="184">
        <f t="shared" ca="1" si="18"/>
        <v>3187</v>
      </c>
      <c r="F76" s="196">
        <f t="shared" ca="1" si="16"/>
        <v>3.1869999999999998</v>
      </c>
      <c r="G76" s="197">
        <f ca="1">C76/Summary!C$23</f>
        <v>0.80221825962910132</v>
      </c>
      <c r="H76" s="198">
        <f ca="1">H75+('Dev Plan (Wind)'!C75/Summary!C$23)*Summary!C$27</f>
        <v>20237.208667153845</v>
      </c>
      <c r="I76" s="199">
        <f t="shared" si="8"/>
        <v>2784.1333333333346</v>
      </c>
      <c r="J76" s="199">
        <f t="shared" si="9"/>
        <v>16699.48</v>
      </c>
      <c r="K76" s="198">
        <f t="shared" si="10"/>
        <v>19483.613333333335</v>
      </c>
      <c r="L76" s="200">
        <f ca="1">C75*Summary!C$16*Summary!C$17*24*375*1000*C$11</f>
        <v>49874850000</v>
      </c>
      <c r="M76" s="200">
        <f t="shared" ca="1" si="17"/>
        <v>63744850000</v>
      </c>
      <c r="N76" s="184">
        <f t="shared" ca="1" si="4"/>
        <v>2368</v>
      </c>
      <c r="O76" s="201">
        <f t="shared" ca="1" si="5"/>
        <v>7.2687641877138915</v>
      </c>
      <c r="P76" s="184">
        <f ca="1">C76*Summary!$C$16</f>
        <v>281177.5</v>
      </c>
      <c r="Q76" s="184">
        <f ca="1">P76*Summary!$C$17</f>
        <v>112471</v>
      </c>
      <c r="R76" s="201">
        <f ca="1">Q76/'Alberta Electricity Profile'!$C$33</f>
        <v>7.5468697577668928</v>
      </c>
      <c r="S76" s="272">
        <f ca="1">P76/'Alberta Electricity Profile'!$D$49</f>
        <v>2.1539071417080962</v>
      </c>
      <c r="T76" s="273">
        <f t="shared" si="11"/>
        <v>347.92166666666662</v>
      </c>
      <c r="U76" s="273">
        <f t="shared" ca="1" si="12"/>
        <v>706.55884026241256</v>
      </c>
      <c r="V76" s="63">
        <f t="shared" ca="1" si="13"/>
        <v>6.3749861527019256</v>
      </c>
      <c r="W76" s="63">
        <f t="shared" ca="1" si="14"/>
        <v>12749.972305403851</v>
      </c>
    </row>
    <row r="77" spans="2:23">
      <c r="B77" s="192">
        <f t="shared" si="6"/>
        <v>57</v>
      </c>
      <c r="C77" s="184">
        <f t="shared" ca="1" si="7"/>
        <v>57045.5</v>
      </c>
      <c r="D77" s="195">
        <f t="shared" ca="1" si="15"/>
        <v>1.0566105818200346</v>
      </c>
      <c r="E77" s="184">
        <f t="shared" ca="1" si="18"/>
        <v>3224</v>
      </c>
      <c r="F77" s="196">
        <f t="shared" ca="1" si="16"/>
        <v>3.2240000000000002</v>
      </c>
      <c r="G77" s="197">
        <f ca="1">C77/Summary!C$23</f>
        <v>0.8137731811697575</v>
      </c>
      <c r="H77" s="198">
        <f ca="1">H76+('Dev Plan (Wind)'!C76/Summary!C$23)*Summary!C$27</f>
        <v>20954.209734734384</v>
      </c>
      <c r="I77" s="199">
        <f t="shared" si="8"/>
        <v>2833.8500000000013</v>
      </c>
      <c r="J77" s="199">
        <f t="shared" si="9"/>
        <v>16997.685000000001</v>
      </c>
      <c r="K77" s="198">
        <f t="shared" si="10"/>
        <v>19831.535000000003</v>
      </c>
      <c r="L77" s="200">
        <f ca="1">C76*Summary!C$16*Summary!C$17*24*375*1000*C$11</f>
        <v>50611950000</v>
      </c>
      <c r="M77" s="200">
        <f t="shared" ca="1" si="17"/>
        <v>64481950000</v>
      </c>
      <c r="N77" s="184">
        <f t="shared" ca="1" si="4"/>
        <v>2414</v>
      </c>
      <c r="O77" s="201">
        <f t="shared" ca="1" si="5"/>
        <v>7.3942550716284821</v>
      </c>
      <c r="P77" s="184">
        <f ca="1">C77*Summary!$C$16</f>
        <v>285227.5</v>
      </c>
      <c r="Q77" s="184">
        <f ca="1">P77*Summary!$C$17</f>
        <v>114091</v>
      </c>
      <c r="R77" s="201">
        <f ca="1">Q77/'Alberta Electricity Profile'!$C$33</f>
        <v>7.6555727034825205</v>
      </c>
      <c r="S77" s="272">
        <f ca="1">P77/'Alberta Electricity Profile'!$D$49</f>
        <v>2.1849314019135457</v>
      </c>
      <c r="T77" s="273">
        <f t="shared" si="11"/>
        <v>347.92166666666662</v>
      </c>
      <c r="U77" s="273">
        <f t="shared" ca="1" si="12"/>
        <v>717.0010675805388</v>
      </c>
      <c r="V77" s="63">
        <f t="shared" ca="1" si="13"/>
        <v>6.37498615270193</v>
      </c>
      <c r="W77" s="63">
        <f t="shared" ca="1" si="14"/>
        <v>12749.97230540386</v>
      </c>
    </row>
    <row r="78" spans="2:23">
      <c r="B78" s="192">
        <f t="shared" si="6"/>
        <v>58</v>
      </c>
      <c r="C78" s="184">
        <f t="shared" ca="1" si="7"/>
        <v>57845.5</v>
      </c>
      <c r="D78" s="195">
        <f t="shared" ca="1" si="15"/>
        <v>1.0744361772483615</v>
      </c>
      <c r="E78" s="184">
        <f t="shared" ca="1" si="18"/>
        <v>3260</v>
      </c>
      <c r="F78" s="196">
        <f t="shared" ca="1" si="16"/>
        <v>3.26</v>
      </c>
      <c r="G78" s="197">
        <f ca="1">C78/Summary!C$23</f>
        <v>0.82518544935805993</v>
      </c>
      <c r="H78" s="198">
        <f ca="1">H77+('Dev Plan (Wind)'!C77/Summary!C$23)*Summary!C$27</f>
        <v>21681.538279882301</v>
      </c>
      <c r="I78" s="199">
        <f t="shared" si="8"/>
        <v>2883.566666666668</v>
      </c>
      <c r="J78" s="199">
        <f t="shared" si="9"/>
        <v>17295.890000000003</v>
      </c>
      <c r="K78" s="198">
        <f t="shared" si="10"/>
        <v>20179.456666666672</v>
      </c>
      <c r="L78" s="200">
        <f ca="1">C77*Summary!C$16*Summary!C$17*24*375*1000*C$11</f>
        <v>51340950000</v>
      </c>
      <c r="M78" s="200">
        <f t="shared" ca="1" si="17"/>
        <v>65210950000</v>
      </c>
      <c r="N78" s="184">
        <f t="shared" ca="1" si="4"/>
        <v>2460</v>
      </c>
      <c r="O78" s="201">
        <f t="shared" ca="1" si="5"/>
        <v>7.5190001779794553</v>
      </c>
      <c r="P78" s="184">
        <f ca="1">C78*Summary!$C$16</f>
        <v>289227.5</v>
      </c>
      <c r="Q78" s="184">
        <f ca="1">P78*Summary!$C$17</f>
        <v>115691</v>
      </c>
      <c r="R78" s="201">
        <f ca="1">Q78/'Alberta Electricity Profile'!$C$33</f>
        <v>7.7629336375226465</v>
      </c>
      <c r="S78" s="272">
        <f ca="1">P78/'Alberta Electricity Profile'!$D$49</f>
        <v>2.2155726465609034</v>
      </c>
      <c r="T78" s="273">
        <f t="shared" si="11"/>
        <v>347.92166666666662</v>
      </c>
      <c r="U78" s="273">
        <f t="shared" ca="1" si="12"/>
        <v>727.32854514791688</v>
      </c>
      <c r="V78" s="63">
        <f t="shared" ca="1" si="13"/>
        <v>6.3749861527019389</v>
      </c>
      <c r="W78" s="63">
        <f t="shared" ca="1" si="14"/>
        <v>12749.972305403879</v>
      </c>
    </row>
    <row r="79" spans="2:23">
      <c r="B79" s="192">
        <f t="shared" si="6"/>
        <v>59</v>
      </c>
      <c r="C79" s="184">
        <f t="shared" ca="1" si="7"/>
        <v>58636.5</v>
      </c>
      <c r="D79" s="195">
        <f t="shared" ca="1" si="15"/>
        <v>1.0921544114802708</v>
      </c>
      <c r="E79" s="184">
        <f t="shared" ca="1" si="18"/>
        <v>3296</v>
      </c>
      <c r="F79" s="196">
        <f t="shared" ca="1" si="16"/>
        <v>3.2959999999999998</v>
      </c>
      <c r="G79" s="197">
        <f ca="1">C79/Summary!C$23</f>
        <v>0.83646932952924391</v>
      </c>
      <c r="H79" s="198">
        <f ca="1">H78+('Dev Plan (Wind)'!C78/Summary!C$23)*Summary!C$27</f>
        <v>22419.066802874539</v>
      </c>
      <c r="I79" s="199">
        <f t="shared" si="8"/>
        <v>2933.2833333333347</v>
      </c>
      <c r="J79" s="199">
        <f t="shared" si="9"/>
        <v>17594.095000000005</v>
      </c>
      <c r="K79" s="198">
        <f t="shared" si="10"/>
        <v>20527.378333333341</v>
      </c>
      <c r="L79" s="200">
        <f ca="1">C78*Summary!C$16*Summary!C$17*24*375*1000*C$11</f>
        <v>52060950000</v>
      </c>
      <c r="M79" s="200">
        <f t="shared" ca="1" si="17"/>
        <v>65930950000</v>
      </c>
      <c r="N79" s="184">
        <f t="shared" ca="1" si="4"/>
        <v>2505</v>
      </c>
      <c r="O79" s="201">
        <f t="shared" ca="1" si="5"/>
        <v>7.6429939611042901</v>
      </c>
      <c r="P79" s="184">
        <f ca="1">C79*Summary!$C$16</f>
        <v>293182.5</v>
      </c>
      <c r="Q79" s="184">
        <f ca="1">P79*Summary!$C$17</f>
        <v>117273</v>
      </c>
      <c r="R79" s="201">
        <f ca="1">Q79/'Alberta Electricity Profile'!$C$33</f>
        <v>7.8690867610548212</v>
      </c>
      <c r="S79" s="272">
        <f ca="1">P79/'Alberta Electricity Profile'!$D$49</f>
        <v>2.2458691772059782</v>
      </c>
      <c r="T79" s="273">
        <f t="shared" si="11"/>
        <v>347.92166666666662</v>
      </c>
      <c r="U79" s="273">
        <f t="shared" ca="1" si="12"/>
        <v>737.52852299223741</v>
      </c>
      <c r="V79" s="63">
        <f t="shared" ca="1" si="13"/>
        <v>6.3749861527019158</v>
      </c>
      <c r="W79" s="63">
        <f t="shared" ca="1" si="14"/>
        <v>12749.972305403831</v>
      </c>
    </row>
    <row r="80" spans="2:23" ht="15" thickBot="1">
      <c r="B80" s="194">
        <f t="shared" si="6"/>
        <v>60</v>
      </c>
      <c r="C80" s="185">
        <f t="shared" ca="1" si="7"/>
        <v>59419.5</v>
      </c>
      <c r="D80" s="202">
        <f t="shared" ca="1" si="15"/>
        <v>1.1097651556605339</v>
      </c>
      <c r="E80" s="185">
        <f t="shared" ca="1" si="18"/>
        <v>3332</v>
      </c>
      <c r="F80" s="203">
        <f t="shared" ca="1" si="16"/>
        <v>3.3319999999999999</v>
      </c>
      <c r="G80" s="204">
        <f ca="1">C80/Summary!C$23</f>
        <v>0.84763908701854496</v>
      </c>
      <c r="H80" s="205">
        <f ca="1">H79+('Dev Plan (Wind)'!C79/Summary!C$23)*Summary!C$27</f>
        <v>23166.680553960352</v>
      </c>
      <c r="I80" s="206">
        <f t="shared" si="8"/>
        <v>2983.0000000000014</v>
      </c>
      <c r="J80" s="206">
        <f t="shared" si="9"/>
        <v>17892.300000000007</v>
      </c>
      <c r="K80" s="205">
        <f t="shared" si="10"/>
        <v>20875.300000000007</v>
      </c>
      <c r="L80" s="207">
        <f ca="1">C79*Summary!C$16*Summary!C$17*24*375*1000*C$11</f>
        <v>52772850000</v>
      </c>
      <c r="M80" s="207">
        <f t="shared" ca="1" si="17"/>
        <v>66642850000</v>
      </c>
      <c r="N80" s="184">
        <f t="shared" ca="1" si="4"/>
        <v>2549</v>
      </c>
      <c r="O80" s="208">
        <f t="shared" ca="1" si="5"/>
        <v>7.7662355192626018</v>
      </c>
      <c r="P80" s="185">
        <f ca="1">C80*Summary!$C$16</f>
        <v>297097.5</v>
      </c>
      <c r="Q80" s="185">
        <f ca="1">P80*Summary!$C$17</f>
        <v>118839</v>
      </c>
      <c r="R80" s="208">
        <f ca="1">Q80/'Alberta Electricity Profile'!$C$33</f>
        <v>7.9741662752465947</v>
      </c>
      <c r="S80" s="272">
        <f ca="1">P80/'Alberta Electricity Profile'!$D$49</f>
        <v>2.2758592954045795</v>
      </c>
      <c r="T80" s="273">
        <f t="shared" si="11"/>
        <v>347.92166666666662</v>
      </c>
      <c r="U80" s="273">
        <f t="shared" ca="1" si="12"/>
        <v>747.61375108581342</v>
      </c>
      <c r="V80" s="63">
        <f t="shared" ca="1" si="13"/>
        <v>6.37498615270193</v>
      </c>
      <c r="W80" s="63">
        <f t="shared" ca="1" si="14"/>
        <v>12749.97230540386</v>
      </c>
    </row>
    <row r="81" spans="2:23">
      <c r="B81" s="192">
        <f t="shared" si="6"/>
        <v>61</v>
      </c>
      <c r="C81" s="184">
        <f t="shared" ref="C81:C122" ca="1" si="19">C80+E81-N81</f>
        <v>60195.5</v>
      </c>
      <c r="D81" s="195">
        <f t="shared" ca="1" si="15"/>
        <v>1.1272688901391872</v>
      </c>
      <c r="E81" s="184">
        <f t="shared" ca="1" si="18"/>
        <v>3367</v>
      </c>
      <c r="F81" s="196">
        <f t="shared" ca="1" si="16"/>
        <v>3.367</v>
      </c>
      <c r="G81" s="197">
        <f ca="1">C81/Summary!C$23</f>
        <v>0.85870898716119826</v>
      </c>
      <c r="H81" s="198">
        <f ca="1">H80+('Dev Plan (Wind)'!C80/Summary!C$23)*Summary!C$27</f>
        <v>23924.277533361295</v>
      </c>
      <c r="I81" s="199">
        <f t="shared" si="8"/>
        <v>3032.7166666666681</v>
      </c>
      <c r="J81" s="199">
        <f t="shared" si="9"/>
        <v>18190.505000000008</v>
      </c>
      <c r="K81" s="198">
        <f t="shared" ref="K81:K122" si="20">SUM(I81:J81)</f>
        <v>21223.221666666675</v>
      </c>
      <c r="L81" s="200">
        <f ca="1">C80*Summary!C$16*Summary!C$17*24*375*1000*C$11</f>
        <v>53477550000</v>
      </c>
      <c r="M81" s="200">
        <f t="shared" ca="1" si="17"/>
        <v>67347550000</v>
      </c>
      <c r="N81" s="184">
        <f t="shared" ca="1" si="4"/>
        <v>2591</v>
      </c>
      <c r="O81" s="201">
        <f t="shared" ref="O81:O122" ca="1" si="21">H81/I81*100%</f>
        <v>7.8887282139867834</v>
      </c>
      <c r="P81" s="184">
        <f ca="1">C81*Summary!$C$16</f>
        <v>300977.5</v>
      </c>
      <c r="Q81" s="184">
        <f ca="1">P81*Summary!$C$17</f>
        <v>120391</v>
      </c>
      <c r="R81" s="201">
        <f ca="1">Q81/'Alberta Electricity Profile'!$C$33</f>
        <v>8.0783063812655165</v>
      </c>
      <c r="S81" s="272">
        <f ca="1">P81/'Alberta Electricity Profile'!$D$49</f>
        <v>2.305581302712516</v>
      </c>
      <c r="T81" s="273">
        <f t="shared" si="11"/>
        <v>347.92166666666662</v>
      </c>
      <c r="U81" s="273">
        <f t="shared" ca="1" si="12"/>
        <v>757.59697940094338</v>
      </c>
      <c r="V81" s="63">
        <f t="shared" ca="1" si="13"/>
        <v>6.3749861527019185</v>
      </c>
      <c r="W81" s="63">
        <f t="shared" ca="1" si="14"/>
        <v>12749.972305403837</v>
      </c>
    </row>
    <row r="82" spans="2:23">
      <c r="B82" s="192">
        <f t="shared" si="6"/>
        <v>62</v>
      </c>
      <c r="C82" s="184">
        <f t="shared" ca="1" si="19"/>
        <v>60964.5</v>
      </c>
      <c r="D82" s="195">
        <f t="shared" ca="1" si="15"/>
        <v>1.1446666553420775</v>
      </c>
      <c r="E82" s="184">
        <f t="shared" ca="1" si="18"/>
        <v>3402</v>
      </c>
      <c r="F82" s="196">
        <f t="shared" ca="1" si="16"/>
        <v>3.4020000000000001</v>
      </c>
      <c r="G82" s="197">
        <f ca="1">C82/Summary!C$23</f>
        <v>0.86967902995720403</v>
      </c>
      <c r="H82" s="198">
        <f ca="1">H81+('Dev Plan (Wind)'!C81/Summary!C$23)*Summary!C$27</f>
        <v>24691.768491271232</v>
      </c>
      <c r="I82" s="199">
        <f t="shared" si="8"/>
        <v>3082.4333333333348</v>
      </c>
      <c r="J82" s="199">
        <f t="shared" si="9"/>
        <v>18488.71000000001</v>
      </c>
      <c r="K82" s="198">
        <f t="shared" si="20"/>
        <v>21571.143333333344</v>
      </c>
      <c r="L82" s="200">
        <f ca="1">C81*Summary!C$16*Summary!C$17*24*375*1000*C$11</f>
        <v>54175950000</v>
      </c>
      <c r="M82" s="200">
        <f t="shared" ca="1" si="17"/>
        <v>68045950000</v>
      </c>
      <c r="N82" s="184">
        <f t="shared" ca="1" si="4"/>
        <v>2633</v>
      </c>
      <c r="O82" s="201">
        <f t="shared" ca="1" si="21"/>
        <v>8.0104793262696852</v>
      </c>
      <c r="P82" s="184">
        <f ca="1">C82*Summary!$C$16</f>
        <v>304822.5</v>
      </c>
      <c r="Q82" s="184">
        <f ca="1">P82*Summary!$C$17</f>
        <v>121929</v>
      </c>
      <c r="R82" s="201">
        <f ca="1">Q82/'Alberta Electricity Profile'!$C$33</f>
        <v>8.1815070791115883</v>
      </c>
      <c r="S82" s="272">
        <f ca="1">P82/'Alberta Electricity Profile'!$D$49</f>
        <v>2.3350351991297886</v>
      </c>
      <c r="T82" s="273">
        <f t="shared" si="11"/>
        <v>347.92166666666662</v>
      </c>
      <c r="U82" s="273">
        <f t="shared" ca="1" si="12"/>
        <v>767.4909579099367</v>
      </c>
      <c r="V82" s="63">
        <f t="shared" ca="1" si="13"/>
        <v>6.3749861527019185</v>
      </c>
      <c r="W82" s="63">
        <f t="shared" ca="1" si="14"/>
        <v>12749.972305403837</v>
      </c>
    </row>
    <row r="83" spans="2:23">
      <c r="B83" s="193">
        <f t="shared" si="6"/>
        <v>63</v>
      </c>
      <c r="C83" s="184">
        <f t="shared" ca="1" si="19"/>
        <v>61726.5</v>
      </c>
      <c r="D83" s="195">
        <f t="shared" ca="1" si="15"/>
        <v>1.1619594256362673</v>
      </c>
      <c r="E83" s="184">
        <f t="shared" ca="1" si="18"/>
        <v>3436</v>
      </c>
      <c r="F83" s="196">
        <f t="shared" ca="1" si="16"/>
        <v>3.4359999999999999</v>
      </c>
      <c r="G83" s="197">
        <f ca="1">C83/Summary!C$23</f>
        <v>0.88054921540656206</v>
      </c>
      <c r="H83" s="198">
        <f ca="1">H82+('Dev Plan (Wind)'!C82/Summary!C$23)*Summary!C$27</f>
        <v>25469.064177884025</v>
      </c>
      <c r="I83" s="199">
        <f t="shared" si="8"/>
        <v>3132.1500000000015</v>
      </c>
      <c r="J83" s="199">
        <f t="shared" si="9"/>
        <v>18786.915000000012</v>
      </c>
      <c r="K83" s="198">
        <f t="shared" si="20"/>
        <v>21919.065000000013</v>
      </c>
      <c r="L83" s="200">
        <f ca="1">C82*Summary!C$16*Summary!C$17*24*375*1000*C$11</f>
        <v>54868050000</v>
      </c>
      <c r="M83" s="200">
        <f t="shared" ca="1" si="17"/>
        <v>68738050000</v>
      </c>
      <c r="N83" s="184">
        <f t="shared" ca="1" si="4"/>
        <v>2674</v>
      </c>
      <c r="O83" s="201">
        <f t="shared" ca="1" si="21"/>
        <v>8.1314956748188987</v>
      </c>
      <c r="P83" s="184">
        <f ca="1">C83*Summary!$C$16</f>
        <v>308632.5</v>
      </c>
      <c r="Q83" s="184">
        <f ca="1">P83*Summary!$C$17</f>
        <v>123453</v>
      </c>
      <c r="R83" s="201">
        <f ca="1">Q83/'Alberta Electricity Profile'!$C$33</f>
        <v>8.2837683687848092</v>
      </c>
      <c r="S83" s="272">
        <f ca="1">P83/'Alberta Electricity Profile'!$D$49</f>
        <v>2.3642209846563969</v>
      </c>
      <c r="T83" s="273">
        <f t="shared" si="11"/>
        <v>347.92166666666662</v>
      </c>
      <c r="U83" s="273">
        <f t="shared" ca="1" si="12"/>
        <v>777.29568661279336</v>
      </c>
      <c r="V83" s="63">
        <f t="shared" ca="1" si="13"/>
        <v>6.3749861527019274</v>
      </c>
      <c r="W83" s="63">
        <f t="shared" ca="1" si="14"/>
        <v>12749.972305403855</v>
      </c>
    </row>
    <row r="84" spans="2:23">
      <c r="B84" s="192">
        <f t="shared" si="6"/>
        <v>64</v>
      </c>
      <c r="C84" s="184">
        <f t="shared" ca="1" si="19"/>
        <v>62482.5</v>
      </c>
      <c r="D84" s="195">
        <f t="shared" ca="1" si="15"/>
        <v>1.1791481144908778</v>
      </c>
      <c r="E84" s="184">
        <f t="shared" ca="1" si="18"/>
        <v>3471</v>
      </c>
      <c r="F84" s="196">
        <f t="shared" ca="1" si="16"/>
        <v>3.4710000000000001</v>
      </c>
      <c r="G84" s="197">
        <f ca="1">C84/Summary!C$23</f>
        <v>0.89133380884450786</v>
      </c>
      <c r="H84" s="198">
        <f ca="1">H83+('Dev Plan (Wind)'!C83/Summary!C$23)*Summary!C$27</f>
        <v>26256.075343393535</v>
      </c>
      <c r="I84" s="199">
        <f t="shared" si="8"/>
        <v>3181.8666666666682</v>
      </c>
      <c r="J84" s="199">
        <f t="shared" si="9"/>
        <v>19085.120000000014</v>
      </c>
      <c r="K84" s="198">
        <f t="shared" si="20"/>
        <v>22266.986666666682</v>
      </c>
      <c r="L84" s="200">
        <f ca="1">C83*Summary!C$16*Summary!C$17*24*375*1000*C$11</f>
        <v>55553850000</v>
      </c>
      <c r="M84" s="200">
        <f t="shared" ca="1" si="17"/>
        <v>69423850000</v>
      </c>
      <c r="N84" s="184">
        <f t="shared" ca="1" si="4"/>
        <v>2715</v>
      </c>
      <c r="O84" s="201">
        <f t="shared" ca="1" si="21"/>
        <v>8.2517836521727883</v>
      </c>
      <c r="P84" s="184">
        <f ca="1">C84*Summary!$C$16</f>
        <v>312412.5</v>
      </c>
      <c r="Q84" s="184">
        <f ca="1">P84*Summary!$C$17</f>
        <v>124965</v>
      </c>
      <c r="R84" s="201">
        <f ca="1">Q84/'Alberta Electricity Profile'!$C$33</f>
        <v>8.3852244514527268</v>
      </c>
      <c r="S84" s="272">
        <f ca="1">P84/'Alberta Electricity Profile'!$D$49</f>
        <v>2.3931769608481495</v>
      </c>
      <c r="T84" s="273">
        <f t="shared" si="11"/>
        <v>347.92166666666662</v>
      </c>
      <c r="U84" s="273">
        <f t="shared" ca="1" si="12"/>
        <v>787.01116550950974</v>
      </c>
      <c r="V84" s="63">
        <f t="shared" ca="1" si="13"/>
        <v>6.3749861527019167</v>
      </c>
      <c r="W84" s="63">
        <f t="shared" ca="1" si="14"/>
        <v>12749.972305403833</v>
      </c>
    </row>
    <row r="85" spans="2:23">
      <c r="B85" s="192">
        <f t="shared" si="6"/>
        <v>65</v>
      </c>
      <c r="C85" s="184">
        <f t="shared" ca="1" si="19"/>
        <v>63231.5</v>
      </c>
      <c r="D85" s="195">
        <f t="shared" ca="1" si="15"/>
        <v>1.1962341429477048</v>
      </c>
      <c r="E85" s="184">
        <f t="shared" ca="1" si="18"/>
        <v>3505</v>
      </c>
      <c r="F85" s="196">
        <f t="shared" ca="1" si="16"/>
        <v>3.5049999999999999</v>
      </c>
      <c r="G85" s="197">
        <f ca="1">C85/Summary!C$23</f>
        <v>0.90201854493580602</v>
      </c>
      <c r="H85" s="198">
        <f ca="1">H84+('Dev Plan (Wind)'!C84/Summary!C$23)*Summary!C$27</f>
        <v>27052.72548796593</v>
      </c>
      <c r="I85" s="199">
        <f t="shared" si="8"/>
        <v>3231.5833333333348</v>
      </c>
      <c r="J85" s="199">
        <f t="shared" si="9"/>
        <v>19383.325000000015</v>
      </c>
      <c r="K85" s="198">
        <f t="shared" si="20"/>
        <v>22614.908333333351</v>
      </c>
      <c r="L85" s="200">
        <f ca="1">C84*Summary!C$16*Summary!C$17*24*375*1000*C$11</f>
        <v>56234250000</v>
      </c>
      <c r="M85" s="200">
        <f t="shared" ca="1" si="17"/>
        <v>70104250000</v>
      </c>
      <c r="N85" s="184">
        <f t="shared" ca="1" si="4"/>
        <v>2756</v>
      </c>
      <c r="O85" s="201">
        <f t="shared" ca="1" si="21"/>
        <v>8.3713532029085584</v>
      </c>
      <c r="P85" s="184">
        <f ca="1">C85*Summary!$C$16</f>
        <v>316157.5</v>
      </c>
      <c r="Q85" s="184">
        <f ca="1">P85*Summary!$C$17</f>
        <v>126463</v>
      </c>
      <c r="R85" s="201">
        <f ca="1">Q85/'Alberta Electricity Profile'!$C$33</f>
        <v>8.4857411259477953</v>
      </c>
      <c r="S85" s="272">
        <f ca="1">P85/'Alberta Electricity Profile'!$D$49</f>
        <v>2.4218648261492381</v>
      </c>
      <c r="T85" s="273">
        <f t="shared" si="11"/>
        <v>347.92166666666662</v>
      </c>
      <c r="U85" s="273">
        <f t="shared" ca="1" si="12"/>
        <v>796.65014457239522</v>
      </c>
      <c r="V85" s="63">
        <f t="shared" ca="1" si="13"/>
        <v>6.3749861527019176</v>
      </c>
      <c r="W85" s="63">
        <f t="shared" ca="1" si="14"/>
        <v>12749.972305403835</v>
      </c>
    </row>
    <row r="86" spans="2:23">
      <c r="B86" s="192">
        <f t="shared" si="6"/>
        <v>66</v>
      </c>
      <c r="C86" s="184">
        <f t="shared" ca="1" si="19"/>
        <v>63972.5</v>
      </c>
      <c r="D86" s="195">
        <f t="shared" ref="D86:D122" ca="1" si="22">H86/K86</f>
        <v>1.2132182906808546</v>
      </c>
      <c r="E86" s="184">
        <f t="shared" ca="1" si="18"/>
        <v>3538</v>
      </c>
      <c r="F86" s="196">
        <f t="shared" ref="F86:F122" ca="1" si="23">E86*C$17/1000000</f>
        <v>3.5379999999999998</v>
      </c>
      <c r="G86" s="197">
        <f ca="1">C86/Summary!C$23</f>
        <v>0.91258915834522114</v>
      </c>
      <c r="H86" s="198">
        <f ca="1">H85+('Dev Plan (Wind)'!C85/Summary!C$23)*Summary!C$27</f>
        <v>27858.925361795074</v>
      </c>
      <c r="I86" s="199">
        <f t="shared" si="8"/>
        <v>3281.3000000000015</v>
      </c>
      <c r="J86" s="199">
        <f t="shared" si="9"/>
        <v>19681.530000000017</v>
      </c>
      <c r="K86" s="198">
        <f t="shared" si="20"/>
        <v>22962.83000000002</v>
      </c>
      <c r="L86" s="200">
        <f ca="1">C85*Summary!C$16*Summary!C$17*24*375*1000*C$11</f>
        <v>56908350000</v>
      </c>
      <c r="M86" s="200">
        <f t="shared" ref="M86:M122" ca="1" si="24">C$10+L86</f>
        <v>70778350000</v>
      </c>
      <c r="N86" s="184">
        <f t="shared" ref="N86:N122" ca="1" si="25">ROUNDUP(IF(B86&gt;$C$7,OFFSET(E86,-1*$C$7,0),0),0)</f>
        <v>2797</v>
      </c>
      <c r="O86" s="201">
        <f t="shared" ca="1" si="21"/>
        <v>8.4902097832551302</v>
      </c>
      <c r="P86" s="184">
        <f ca="1">C86*Summary!$C$16</f>
        <v>319862.5</v>
      </c>
      <c r="Q86" s="184">
        <f ca="1">P86*Summary!$C$17</f>
        <v>127945</v>
      </c>
      <c r="R86" s="201">
        <f ca="1">Q86/'Alberta Electricity Profile'!$C$33</f>
        <v>8.5851841911024618</v>
      </c>
      <c r="S86" s="272">
        <f ca="1">P86/'Alberta Electricity Profile'!$D$49</f>
        <v>2.4502462790038533</v>
      </c>
      <c r="T86" s="273">
        <f t="shared" si="11"/>
        <v>347.92166666666662</v>
      </c>
      <c r="U86" s="273">
        <f t="shared" ca="1" si="12"/>
        <v>806.19987382914405</v>
      </c>
      <c r="V86" s="63">
        <f t="shared" ca="1" si="13"/>
        <v>6.3749861527019291</v>
      </c>
      <c r="W86" s="63">
        <f t="shared" ca="1" si="14"/>
        <v>12749.972305403859</v>
      </c>
    </row>
    <row r="87" spans="2:23">
      <c r="B87" s="192">
        <f t="shared" ref="B87:B122" si="26">B86+1</f>
        <v>67</v>
      </c>
      <c r="C87" s="184">
        <f t="shared" ca="1" si="19"/>
        <v>64707.5</v>
      </c>
      <c r="D87" s="195">
        <f t="shared" ca="1" si="22"/>
        <v>1.2301007438600042</v>
      </c>
      <c r="E87" s="184">
        <f t="shared" ref="E87:E122" ca="1" si="27">ROUNDDOWN(M87/C$15,0)</f>
        <v>3572</v>
      </c>
      <c r="F87" s="196">
        <f t="shared" ca="1" si="23"/>
        <v>3.5720000000000001</v>
      </c>
      <c r="G87" s="197">
        <f ca="1">C87/Summary!C$23</f>
        <v>0.92307417974322392</v>
      </c>
      <c r="H87" s="198">
        <f ca="1">H86+('Dev Plan (Wind)'!C86/Summary!C$23)*Summary!C$27</f>
        <v>28674.572965102521</v>
      </c>
      <c r="I87" s="199">
        <f t="shared" ref="I87:I122" si="28">I86+$I$21</f>
        <v>3331.0166666666682</v>
      </c>
      <c r="J87" s="199">
        <f t="shared" ref="J87:J122" si="29">J86+$J$21</f>
        <v>19979.735000000019</v>
      </c>
      <c r="K87" s="198">
        <f t="shared" si="20"/>
        <v>23310.751666666685</v>
      </c>
      <c r="L87" s="200">
        <f ca="1">C86*Summary!C$16*Summary!C$17*24*375*1000*C$11</f>
        <v>57575250000</v>
      </c>
      <c r="M87" s="200">
        <f t="shared" ca="1" si="24"/>
        <v>71445250000</v>
      </c>
      <c r="N87" s="184">
        <f t="shared" ca="1" si="25"/>
        <v>2837</v>
      </c>
      <c r="O87" s="201">
        <f t="shared" ca="1" si="21"/>
        <v>8.6083546960445041</v>
      </c>
      <c r="P87" s="184">
        <f ca="1">C87*Summary!$C$16</f>
        <v>323537.5</v>
      </c>
      <c r="Q87" s="184">
        <f ca="1">P87*Summary!$C$17</f>
        <v>129415</v>
      </c>
      <c r="R87" s="201">
        <f ca="1">Q87/'Alberta Electricity Profile'!$C$33</f>
        <v>8.6838220492518285</v>
      </c>
      <c r="S87" s="272">
        <f ca="1">P87/'Alberta Electricity Profile'!$D$49</f>
        <v>2.4783979225236128</v>
      </c>
      <c r="T87" s="273">
        <f t="shared" ref="T87:T122" si="30">$K$21</f>
        <v>347.92166666666662</v>
      </c>
      <c r="U87" s="273">
        <f t="shared" ref="U87:U122" ca="1" si="31">H87-H86</f>
        <v>815.64760330744684</v>
      </c>
      <c r="V87" s="63">
        <f t="shared" ref="V87:V122" ca="1" si="32">U87/Q86*1000</f>
        <v>6.3749861527019176</v>
      </c>
      <c r="W87" s="63">
        <f t="shared" ref="W87:W122" ca="1" si="33">(H87-H86)/C86*1000*1000</f>
        <v>12749.972305403835</v>
      </c>
    </row>
    <row r="88" spans="2:23">
      <c r="B88" s="192">
        <f t="shared" si="26"/>
        <v>68</v>
      </c>
      <c r="C88" s="184">
        <f t="shared" ca="1" si="19"/>
        <v>65434.5</v>
      </c>
      <c r="D88" s="195">
        <f t="shared" ca="1" si="22"/>
        <v>1.2468827555301529</v>
      </c>
      <c r="E88" s="184">
        <f t="shared" ca="1" si="27"/>
        <v>3605</v>
      </c>
      <c r="F88" s="196">
        <f t="shared" ca="1" si="23"/>
        <v>3.605</v>
      </c>
      <c r="G88" s="197">
        <f ca="1">C88/Summary!C$23</f>
        <v>0.93344507845934377</v>
      </c>
      <c r="H88" s="198">
        <f ca="1">H87+('Dev Plan (Wind)'!C87/Summary!C$23)*Summary!C$27</f>
        <v>29499.59179805444</v>
      </c>
      <c r="I88" s="199">
        <f t="shared" si="28"/>
        <v>3380.7333333333349</v>
      </c>
      <c r="J88" s="199">
        <f t="shared" si="29"/>
        <v>20277.940000000021</v>
      </c>
      <c r="K88" s="198">
        <f t="shared" si="20"/>
        <v>23658.673333333354</v>
      </c>
      <c r="L88" s="200">
        <f ca="1">C87*Summary!C$16*Summary!C$17*24*375*1000*C$11</f>
        <v>58236750000</v>
      </c>
      <c r="M88" s="200">
        <f t="shared" ca="1" si="24"/>
        <v>72106750000</v>
      </c>
      <c r="N88" s="184">
        <f t="shared" ca="1" si="25"/>
        <v>2878</v>
      </c>
      <c r="O88" s="201">
        <f t="shared" ca="1" si="21"/>
        <v>8.7257967101973222</v>
      </c>
      <c r="P88" s="184">
        <f ca="1">C88*Summary!$C$16</f>
        <v>327172.5</v>
      </c>
      <c r="Q88" s="184">
        <f ca="1">P88*Summary!$C$17</f>
        <v>130869</v>
      </c>
      <c r="R88" s="201">
        <f ca="1">Q88/'Alberta Electricity Profile'!$C$33</f>
        <v>8.7813862980607933</v>
      </c>
      <c r="S88" s="272">
        <f ca="1">P88/'Alberta Electricity Profile'!$D$49</f>
        <v>2.5062431535968992</v>
      </c>
      <c r="T88" s="273">
        <f t="shared" si="30"/>
        <v>347.92166666666662</v>
      </c>
      <c r="U88" s="273">
        <f t="shared" ca="1" si="31"/>
        <v>825.01883295191874</v>
      </c>
      <c r="V88" s="63">
        <f t="shared" ca="1" si="32"/>
        <v>6.3749861527019176</v>
      </c>
      <c r="W88" s="63">
        <f t="shared" ca="1" si="33"/>
        <v>12749.972305403835</v>
      </c>
    </row>
    <row r="89" spans="2:23">
      <c r="B89" s="192">
        <f t="shared" si="26"/>
        <v>69</v>
      </c>
      <c r="C89" s="184">
        <f t="shared" ca="1" si="19"/>
        <v>66155.5</v>
      </c>
      <c r="D89" s="195">
        <f t="shared" ca="1" si="22"/>
        <v>1.2635644438902043</v>
      </c>
      <c r="E89" s="184">
        <f t="shared" ca="1" si="27"/>
        <v>3638</v>
      </c>
      <c r="F89" s="196">
        <f t="shared" ca="1" si="23"/>
        <v>3.6379999999999999</v>
      </c>
      <c r="G89" s="197">
        <f ca="1">C89/Summary!C$23</f>
        <v>0.94373038516405139</v>
      </c>
      <c r="H89" s="198">
        <f ca="1">H88+('Dev Plan (Wind)'!C88/Summary!C$23)*Summary!C$27</f>
        <v>30333.879860872388</v>
      </c>
      <c r="I89" s="199">
        <f t="shared" si="28"/>
        <v>3430.4500000000016</v>
      </c>
      <c r="J89" s="199">
        <f t="shared" si="29"/>
        <v>20576.145000000022</v>
      </c>
      <c r="K89" s="198">
        <f t="shared" si="20"/>
        <v>24006.595000000023</v>
      </c>
      <c r="L89" s="200">
        <f ca="1">C88*Summary!C$16*Summary!C$17*24*375*1000*C$11</f>
        <v>58891050000</v>
      </c>
      <c r="M89" s="200">
        <f t="shared" ca="1" si="24"/>
        <v>72761050000</v>
      </c>
      <c r="N89" s="184">
        <f t="shared" ca="1" si="25"/>
        <v>2917</v>
      </c>
      <c r="O89" s="201">
        <f t="shared" ca="1" si="21"/>
        <v>8.8425366528800513</v>
      </c>
      <c r="P89" s="184">
        <f ca="1">C89*Summary!$C$16</f>
        <v>330777.5</v>
      </c>
      <c r="Q89" s="184">
        <f ca="1">P89*Summary!$C$17</f>
        <v>132311</v>
      </c>
      <c r="R89" s="201">
        <f ca="1">Q89/'Alberta Electricity Profile'!$C$33</f>
        <v>8.8781453398644565</v>
      </c>
      <c r="S89" s="272">
        <f ca="1">P89/'Alberta Electricity Profile'!$D$49</f>
        <v>2.53385857533533</v>
      </c>
      <c r="T89" s="273">
        <f t="shared" si="30"/>
        <v>347.92166666666662</v>
      </c>
      <c r="U89" s="273">
        <f t="shared" ca="1" si="31"/>
        <v>834.28806281794823</v>
      </c>
      <c r="V89" s="63">
        <f t="shared" ca="1" si="32"/>
        <v>6.3749861527019247</v>
      </c>
      <c r="W89" s="63">
        <f t="shared" ca="1" si="33"/>
        <v>12749.97230540385</v>
      </c>
    </row>
    <row r="90" spans="2:23">
      <c r="B90" s="192">
        <f t="shared" si="26"/>
        <v>70</v>
      </c>
      <c r="C90" s="184">
        <f t="shared" ca="1" si="19"/>
        <v>66868.5</v>
      </c>
      <c r="D90" s="195">
        <f t="shared" ca="1" si="22"/>
        <v>1.2801469674162766</v>
      </c>
      <c r="E90" s="184">
        <f t="shared" ca="1" si="27"/>
        <v>3670</v>
      </c>
      <c r="F90" s="196">
        <f t="shared" ca="1" si="23"/>
        <v>3.67</v>
      </c>
      <c r="G90" s="197">
        <f ca="1">C90/Summary!C$23</f>
        <v>0.95390156918687585</v>
      </c>
      <c r="H90" s="198">
        <f ca="1">H89+('Dev Plan (Wind)'!C89/Summary!C$23)*Summary!C$27</f>
        <v>31177.360653722531</v>
      </c>
      <c r="I90" s="199">
        <f t="shared" si="28"/>
        <v>3480.1666666666683</v>
      </c>
      <c r="J90" s="199">
        <f t="shared" si="29"/>
        <v>20874.350000000024</v>
      </c>
      <c r="K90" s="198">
        <f t="shared" si="20"/>
        <v>24354.516666666692</v>
      </c>
      <c r="L90" s="200">
        <f ca="1">C89*Summary!C$16*Summary!C$17*24*375*1000*C$11</f>
        <v>59539950000</v>
      </c>
      <c r="M90" s="200">
        <f t="shared" ca="1" si="24"/>
        <v>73409950000</v>
      </c>
      <c r="N90" s="184">
        <f t="shared" ca="1" si="25"/>
        <v>2957</v>
      </c>
      <c r="O90" s="201">
        <f t="shared" ca="1" si="21"/>
        <v>8.9585826312118719</v>
      </c>
      <c r="P90" s="184">
        <f ca="1">C90*Summary!$C$16</f>
        <v>334342.5</v>
      </c>
      <c r="Q90" s="184">
        <f ca="1">P90*Summary!$C$17</f>
        <v>133737</v>
      </c>
      <c r="R90" s="201">
        <f ca="1">Q90/'Alberta Electricity Profile'!$C$33</f>
        <v>8.9738307723277195</v>
      </c>
      <c r="S90" s="272">
        <f ca="1">P90/'Alberta Electricity Profile'!$D$49</f>
        <v>2.5611675846272877</v>
      </c>
      <c r="T90" s="273">
        <f t="shared" si="30"/>
        <v>347.92166666666662</v>
      </c>
      <c r="U90" s="273">
        <f t="shared" ca="1" si="31"/>
        <v>843.48079285014319</v>
      </c>
      <c r="V90" s="63">
        <f t="shared" ca="1" si="32"/>
        <v>6.3749861527019158</v>
      </c>
      <c r="W90" s="63">
        <f t="shared" ca="1" si="33"/>
        <v>12749.972305403831</v>
      </c>
    </row>
    <row r="91" spans="2:23">
      <c r="B91" s="192">
        <f t="shared" si="26"/>
        <v>71</v>
      </c>
      <c r="C91" s="184">
        <f t="shared" ca="1" si="19"/>
        <v>67574.5</v>
      </c>
      <c r="D91" s="195">
        <f t="shared" ca="1" si="22"/>
        <v>1.2966303870337117</v>
      </c>
      <c r="E91" s="184">
        <f t="shared" ca="1" si="27"/>
        <v>3702</v>
      </c>
      <c r="F91" s="196">
        <f t="shared" ca="1" si="23"/>
        <v>3.702</v>
      </c>
      <c r="G91" s="197">
        <f ca="1">C91/Summary!C$23</f>
        <v>0.96397289586305279</v>
      </c>
      <c r="H91" s="198">
        <f ca="1">H90+('Dev Plan (Wind)'!C90/Summary!C$23)*Summary!C$27</f>
        <v>32029.932176826431</v>
      </c>
      <c r="I91" s="199">
        <f t="shared" si="28"/>
        <v>3529.883333333335</v>
      </c>
      <c r="J91" s="199">
        <f t="shared" si="29"/>
        <v>21172.555000000026</v>
      </c>
      <c r="K91" s="198">
        <f t="shared" si="20"/>
        <v>24702.438333333361</v>
      </c>
      <c r="L91" s="200">
        <f ca="1">C90*Summary!C$16*Summary!C$17*24*375*1000*C$11</f>
        <v>60181650000</v>
      </c>
      <c r="M91" s="200">
        <f t="shared" ca="1" si="24"/>
        <v>74051650000</v>
      </c>
      <c r="N91" s="184">
        <f t="shared" ca="1" si="25"/>
        <v>2996</v>
      </c>
      <c r="O91" s="201">
        <f t="shared" ca="1" si="21"/>
        <v>9.0739350715537572</v>
      </c>
      <c r="P91" s="184">
        <f ca="1">C91*Summary!$C$16</f>
        <v>337872.5</v>
      </c>
      <c r="Q91" s="184">
        <f ca="1">P91*Summary!$C$17</f>
        <v>135149</v>
      </c>
      <c r="R91" s="201">
        <f ca="1">Q91/'Alberta Electricity Profile'!$C$33</f>
        <v>9.0685767966181299</v>
      </c>
      <c r="S91" s="272">
        <f ca="1">P91/'Alberta Electricity Profile'!$D$49</f>
        <v>2.5882084830285805</v>
      </c>
      <c r="T91" s="273">
        <f t="shared" si="30"/>
        <v>347.92166666666662</v>
      </c>
      <c r="U91" s="273">
        <f t="shared" ca="1" si="31"/>
        <v>852.57152310389938</v>
      </c>
      <c r="V91" s="63">
        <f t="shared" ca="1" si="32"/>
        <v>6.3749861527019407</v>
      </c>
      <c r="W91" s="63">
        <f t="shared" ca="1" si="33"/>
        <v>12749.972305403882</v>
      </c>
    </row>
    <row r="92" spans="2:23">
      <c r="B92" s="192">
        <f t="shared" si="26"/>
        <v>72</v>
      </c>
      <c r="C92" s="184">
        <f t="shared" ca="1" si="19"/>
        <v>68273.5</v>
      </c>
      <c r="D92" s="195">
        <f t="shared" ca="1" si="22"/>
        <v>1.3130152692567254</v>
      </c>
      <c r="E92" s="184">
        <f t="shared" ca="1" si="27"/>
        <v>3734</v>
      </c>
      <c r="F92" s="196">
        <f t="shared" ca="1" si="23"/>
        <v>3.734</v>
      </c>
      <c r="G92" s="197">
        <f ca="1">C92/Summary!C$23</f>
        <v>0.97394436519258198</v>
      </c>
      <c r="H92" s="198">
        <f ca="1">H91+('Dev Plan (Wind)'!C91/Summary!C$23)*Summary!C$27</f>
        <v>32891.505180377942</v>
      </c>
      <c r="I92" s="199">
        <f t="shared" si="28"/>
        <v>3579.6000000000017</v>
      </c>
      <c r="J92" s="199">
        <f t="shared" si="29"/>
        <v>21470.760000000028</v>
      </c>
      <c r="K92" s="198">
        <f t="shared" si="20"/>
        <v>25050.36000000003</v>
      </c>
      <c r="L92" s="200">
        <f ca="1">C91*Summary!C$16*Summary!C$17*24*375*1000*C$11</f>
        <v>60817050000</v>
      </c>
      <c r="M92" s="200">
        <f t="shared" ca="1" si="24"/>
        <v>74687050000</v>
      </c>
      <c r="N92" s="184">
        <f t="shared" ca="1" si="25"/>
        <v>3035</v>
      </c>
      <c r="O92" s="201">
        <f t="shared" ca="1" si="21"/>
        <v>9.1885979384227081</v>
      </c>
      <c r="P92" s="184">
        <f ca="1">C92*Summary!$C$16</f>
        <v>341367.5</v>
      </c>
      <c r="Q92" s="184">
        <f ca="1">P92*Summary!$C$17</f>
        <v>136547</v>
      </c>
      <c r="R92" s="201">
        <f ca="1">Q92/'Alberta Electricity Profile'!$C$33</f>
        <v>9.1623834127356911</v>
      </c>
      <c r="S92" s="272">
        <f ca="1">P92/'Alberta Electricity Profile'!$D$49</f>
        <v>2.6149812705392095</v>
      </c>
      <c r="T92" s="273">
        <f t="shared" si="30"/>
        <v>347.92166666666662</v>
      </c>
      <c r="U92" s="273">
        <f t="shared" ca="1" si="31"/>
        <v>861.57300355151165</v>
      </c>
      <c r="V92" s="63">
        <f t="shared" ca="1" si="32"/>
        <v>6.3749861527019185</v>
      </c>
      <c r="W92" s="63">
        <f t="shared" ca="1" si="33"/>
        <v>12749.972305403837</v>
      </c>
    </row>
    <row r="93" spans="2:23">
      <c r="B93" s="192">
        <f t="shared" si="26"/>
        <v>73</v>
      </c>
      <c r="C93" s="184">
        <f t="shared" ca="1" si="19"/>
        <v>68964.5</v>
      </c>
      <c r="D93" s="195">
        <f t="shared" ca="1" si="22"/>
        <v>1.3293021495576591</v>
      </c>
      <c r="E93" s="184">
        <f t="shared" ca="1" si="27"/>
        <v>3765</v>
      </c>
      <c r="F93" s="196">
        <f t="shared" ca="1" si="23"/>
        <v>3.7650000000000001</v>
      </c>
      <c r="G93" s="197">
        <f ca="1">C93/Summary!C$23</f>
        <v>0.98380171184022824</v>
      </c>
      <c r="H93" s="198">
        <f ca="1">H92+('Dev Plan (Wind)'!C92/Summary!C$23)*Summary!C$27</f>
        <v>33761.99041457093</v>
      </c>
      <c r="I93" s="199">
        <f t="shared" si="28"/>
        <v>3629.3166666666684</v>
      </c>
      <c r="J93" s="199">
        <f t="shared" si="29"/>
        <v>21768.965000000029</v>
      </c>
      <c r="K93" s="198">
        <f t="shared" si="20"/>
        <v>25398.281666666699</v>
      </c>
      <c r="L93" s="200">
        <f ca="1">C92*Summary!C$16*Summary!C$17*24*375*1000*C$11</f>
        <v>61446150000</v>
      </c>
      <c r="M93" s="200">
        <f t="shared" ca="1" si="24"/>
        <v>75316150000</v>
      </c>
      <c r="N93" s="184">
        <f t="shared" ca="1" si="25"/>
        <v>3074</v>
      </c>
      <c r="O93" s="201">
        <f t="shared" ca="1" si="21"/>
        <v>9.3025749791019194</v>
      </c>
      <c r="P93" s="184">
        <f ca="1">C93*Summary!$C$16</f>
        <v>344822.5</v>
      </c>
      <c r="Q93" s="184">
        <f ca="1">P93*Summary!$C$17</f>
        <v>137929</v>
      </c>
      <c r="R93" s="201">
        <f ca="1">Q93/'Alberta Electricity Profile'!$C$33</f>
        <v>9.2551164195128504</v>
      </c>
      <c r="S93" s="272">
        <f ca="1">P93/'Alberta Electricity Profile'!$D$49</f>
        <v>2.6414476456033644</v>
      </c>
      <c r="T93" s="273">
        <f t="shared" si="30"/>
        <v>347.92166666666662</v>
      </c>
      <c r="U93" s="273">
        <f t="shared" ca="1" si="31"/>
        <v>870.48523419298726</v>
      </c>
      <c r="V93" s="63">
        <f t="shared" ca="1" si="32"/>
        <v>6.3749861527019069</v>
      </c>
      <c r="W93" s="63">
        <f t="shared" ca="1" si="33"/>
        <v>12749.972305403813</v>
      </c>
    </row>
    <row r="94" spans="2:23">
      <c r="B94" s="192">
        <f t="shared" si="26"/>
        <v>74</v>
      </c>
      <c r="C94" s="184">
        <f t="shared" ca="1" si="19"/>
        <v>69648.5</v>
      </c>
      <c r="D94" s="195">
        <f t="shared" ca="1" si="22"/>
        <v>1.3454910392468318</v>
      </c>
      <c r="E94" s="184">
        <f t="shared" ca="1" si="27"/>
        <v>3796</v>
      </c>
      <c r="F94" s="196">
        <f t="shared" ca="1" si="23"/>
        <v>3.7959999999999998</v>
      </c>
      <c r="G94" s="197">
        <f ca="1">C94/Summary!C$23</f>
        <v>0.99355920114122687</v>
      </c>
      <c r="H94" s="198">
        <f ca="1">H93+('Dev Plan (Wind)'!C93/Summary!C$23)*Summary!C$27</f>
        <v>34641.285879626957</v>
      </c>
      <c r="I94" s="199">
        <f t="shared" si="28"/>
        <v>3679.0333333333351</v>
      </c>
      <c r="J94" s="199">
        <f t="shared" si="29"/>
        <v>22067.170000000031</v>
      </c>
      <c r="K94" s="198">
        <f t="shared" si="20"/>
        <v>25746.203333333367</v>
      </c>
      <c r="L94" s="200">
        <f ca="1">C93*Summary!C$16*Summary!C$17*24*375*1000*C$11</f>
        <v>62068050000</v>
      </c>
      <c r="M94" s="200">
        <f t="shared" ca="1" si="24"/>
        <v>75938050000</v>
      </c>
      <c r="N94" s="184">
        <f t="shared" ca="1" si="25"/>
        <v>3112</v>
      </c>
      <c r="O94" s="201">
        <f t="shared" ca="1" si="21"/>
        <v>9.4158662727420079</v>
      </c>
      <c r="P94" s="184">
        <f ca="1">C94*Summary!$C$16</f>
        <v>348242.5</v>
      </c>
      <c r="Q94" s="184">
        <f ca="1">P94*Summary!$C$17</f>
        <v>139297</v>
      </c>
      <c r="R94" s="201">
        <f ca="1">Q94/'Alberta Electricity Profile'!$C$33</f>
        <v>9.3469100181171569</v>
      </c>
      <c r="S94" s="272">
        <f ca="1">P94/'Alberta Electricity Profile'!$D$49</f>
        <v>2.667645909776855</v>
      </c>
      <c r="T94" s="273">
        <f t="shared" si="30"/>
        <v>347.92166666666662</v>
      </c>
      <c r="U94" s="273">
        <f t="shared" ca="1" si="31"/>
        <v>879.29546505602775</v>
      </c>
      <c r="V94" s="63">
        <f t="shared" ca="1" si="32"/>
        <v>6.3749861527019531</v>
      </c>
      <c r="W94" s="63">
        <f t="shared" ca="1" si="33"/>
        <v>12749.972305403906</v>
      </c>
    </row>
    <row r="95" spans="2:23">
      <c r="B95" s="192">
        <f t="shared" si="26"/>
        <v>75</v>
      </c>
      <c r="C95" s="184">
        <f t="shared" ca="1" si="19"/>
        <v>70326.5</v>
      </c>
      <c r="D95" s="195">
        <f t="shared" ca="1" si="22"/>
        <v>1.3615824376460151</v>
      </c>
      <c r="E95" s="184">
        <f t="shared" ca="1" si="27"/>
        <v>3827</v>
      </c>
      <c r="F95" s="196">
        <f t="shared" ca="1" si="23"/>
        <v>3.827</v>
      </c>
      <c r="G95" s="197">
        <f ca="1">C95/Summary!C$23</f>
        <v>1.003231098430813</v>
      </c>
      <c r="H95" s="198">
        <f ca="1">H94+('Dev Plan (Wind)'!C94/Summary!C$23)*Summary!C$27</f>
        <v>35529.302325739875</v>
      </c>
      <c r="I95" s="199">
        <f t="shared" si="28"/>
        <v>3728.7500000000018</v>
      </c>
      <c r="J95" s="199">
        <f t="shared" si="29"/>
        <v>22365.375000000033</v>
      </c>
      <c r="K95" s="198">
        <f t="shared" si="20"/>
        <v>26094.125000000036</v>
      </c>
      <c r="L95" s="200">
        <f ca="1">C94*Summary!C$16*Summary!C$17*24*375*1000*C$11</f>
        <v>62683650000</v>
      </c>
      <c r="M95" s="200">
        <f t="shared" ca="1" si="24"/>
        <v>76553650000</v>
      </c>
      <c r="N95" s="184">
        <f t="shared" ca="1" si="25"/>
        <v>3149</v>
      </c>
      <c r="O95" s="201">
        <f t="shared" ca="1" si="21"/>
        <v>9.5284753136412625</v>
      </c>
      <c r="P95" s="184">
        <f ca="1">C95*Summary!$C$16</f>
        <v>351632.5</v>
      </c>
      <c r="Q95" s="184">
        <f ca="1">P95*Summary!$C$17</f>
        <v>140653</v>
      </c>
      <c r="R95" s="201">
        <f ca="1">Q95/'Alberta Electricity Profile'!$C$33</f>
        <v>9.4378984097161638</v>
      </c>
      <c r="S95" s="272">
        <f ca="1">P95/'Alberta Electricity Profile'!$D$49</f>
        <v>2.6936143646154909</v>
      </c>
      <c r="T95" s="273">
        <f t="shared" si="30"/>
        <v>347.92166666666662</v>
      </c>
      <c r="U95" s="273">
        <f t="shared" ca="1" si="31"/>
        <v>888.01644611291704</v>
      </c>
      <c r="V95" s="63">
        <f t="shared" ca="1" si="32"/>
        <v>6.3749861527019034</v>
      </c>
      <c r="W95" s="63">
        <f t="shared" ca="1" si="33"/>
        <v>12749.972305403806</v>
      </c>
    </row>
    <row r="96" spans="2:23">
      <c r="B96" s="192">
        <f t="shared" si="26"/>
        <v>76</v>
      </c>
      <c r="C96" s="184">
        <f t="shared" ca="1" si="19"/>
        <v>70997.5</v>
      </c>
      <c r="D96" s="195">
        <f t="shared" ca="1" si="22"/>
        <v>1.3775772999824198</v>
      </c>
      <c r="E96" s="184">
        <f t="shared" ca="1" si="27"/>
        <v>3858</v>
      </c>
      <c r="F96" s="196">
        <f t="shared" ca="1" si="23"/>
        <v>3.8580000000000001</v>
      </c>
      <c r="G96" s="197">
        <f ca="1">C96/Summary!C$23</f>
        <v>1.0128031383737517</v>
      </c>
      <c r="H96" s="198">
        <f ca="1">H95+('Dev Plan (Wind)'!C95/Summary!C$23)*Summary!C$27</f>
        <v>36425.963253075861</v>
      </c>
      <c r="I96" s="199">
        <f t="shared" si="28"/>
        <v>3778.4666666666685</v>
      </c>
      <c r="J96" s="199">
        <f t="shared" si="29"/>
        <v>22663.580000000034</v>
      </c>
      <c r="K96" s="198">
        <f t="shared" si="20"/>
        <v>26442.046666666702</v>
      </c>
      <c r="L96" s="200">
        <f ca="1">C95*Summary!C$16*Summary!C$17*24*375*1000*C$11</f>
        <v>63293850000</v>
      </c>
      <c r="M96" s="200">
        <f t="shared" ca="1" si="24"/>
        <v>77163850000</v>
      </c>
      <c r="N96" s="184">
        <f t="shared" ca="1" si="25"/>
        <v>3187</v>
      </c>
      <c r="O96" s="201">
        <f t="shared" ca="1" si="21"/>
        <v>9.6404087865648798</v>
      </c>
      <c r="P96" s="184">
        <f ca="1">C96*Summary!$C$16</f>
        <v>354987.5</v>
      </c>
      <c r="Q96" s="184">
        <f ca="1">P96*Summary!$C$17</f>
        <v>141995</v>
      </c>
      <c r="R96" s="201">
        <f ca="1">Q96/'Alberta Electricity Profile'!$C$33</f>
        <v>9.5279473931423198</v>
      </c>
      <c r="S96" s="272">
        <f ca="1">P96/'Alberta Electricity Profile'!$D$49</f>
        <v>2.7193147085634619</v>
      </c>
      <c r="T96" s="273">
        <f t="shared" si="30"/>
        <v>347.92166666666662</v>
      </c>
      <c r="U96" s="273">
        <f t="shared" ca="1" si="31"/>
        <v>896.66092733598634</v>
      </c>
      <c r="V96" s="63">
        <f t="shared" ca="1" si="32"/>
        <v>6.3749861527019425</v>
      </c>
      <c r="W96" s="63">
        <f t="shared" ca="1" si="33"/>
        <v>12749.972305403884</v>
      </c>
    </row>
    <row r="97" spans="2:23">
      <c r="B97" s="192">
        <f t="shared" si="26"/>
        <v>77</v>
      </c>
      <c r="C97" s="184">
        <f t="shared" ca="1" si="19"/>
        <v>71661.5</v>
      </c>
      <c r="D97" s="195">
        <f t="shared" ca="1" si="22"/>
        <v>1.3934760559376818</v>
      </c>
      <c r="E97" s="184">
        <f t="shared" ca="1" si="27"/>
        <v>3888</v>
      </c>
      <c r="F97" s="196">
        <f t="shared" ca="1" si="23"/>
        <v>3.8879999999999999</v>
      </c>
      <c r="G97" s="197">
        <f ca="1">C97/Summary!C$23</f>
        <v>1.0222753209700428</v>
      </c>
      <c r="H97" s="198">
        <f ca="1">H96+('Dev Plan (Wind)'!C96/Summary!C$23)*Summary!C$27</f>
        <v>37331.179411828773</v>
      </c>
      <c r="I97" s="199">
        <f t="shared" si="28"/>
        <v>3828.1833333333352</v>
      </c>
      <c r="J97" s="199">
        <f t="shared" si="29"/>
        <v>22961.785000000036</v>
      </c>
      <c r="K97" s="198">
        <f t="shared" si="20"/>
        <v>26789.968333333371</v>
      </c>
      <c r="L97" s="200">
        <f ca="1">C96*Summary!C$16*Summary!C$17*24*375*1000*C$11</f>
        <v>63897750000</v>
      </c>
      <c r="M97" s="200">
        <f t="shared" ca="1" si="24"/>
        <v>77767750000</v>
      </c>
      <c r="N97" s="184">
        <f t="shared" ca="1" si="25"/>
        <v>3224</v>
      </c>
      <c r="O97" s="201">
        <f t="shared" ca="1" si="21"/>
        <v>9.751669698463262</v>
      </c>
      <c r="P97" s="184">
        <f ca="1">C97*Summary!$C$16</f>
        <v>358307.5</v>
      </c>
      <c r="Q97" s="184">
        <f ca="1">P97*Summary!$C$17</f>
        <v>143323</v>
      </c>
      <c r="R97" s="201">
        <f ca="1">Q97/'Alberta Electricity Profile'!$C$33</f>
        <v>9.6170569683956248</v>
      </c>
      <c r="S97" s="272">
        <f ca="1">P97/'Alberta Electricity Profile'!$D$49</f>
        <v>2.7447469416207686</v>
      </c>
      <c r="T97" s="273">
        <f t="shared" si="30"/>
        <v>347.92166666666662</v>
      </c>
      <c r="U97" s="273">
        <f t="shared" ca="1" si="31"/>
        <v>905.21615875291172</v>
      </c>
      <c r="V97" s="63">
        <f t="shared" ca="1" si="32"/>
        <v>6.374986152701938</v>
      </c>
      <c r="W97" s="63">
        <f t="shared" ca="1" si="33"/>
        <v>12749.972305403877</v>
      </c>
    </row>
    <row r="98" spans="2:23">
      <c r="B98" s="192">
        <f t="shared" si="26"/>
        <v>78</v>
      </c>
      <c r="C98" s="184">
        <f t="shared" ca="1" si="19"/>
        <v>72319.5</v>
      </c>
      <c r="D98" s="195">
        <f t="shared" ca="1" si="22"/>
        <v>1.4092791131584812</v>
      </c>
      <c r="E98" s="184">
        <f t="shared" ca="1" si="27"/>
        <v>3918</v>
      </c>
      <c r="F98" s="196">
        <f t="shared" ca="1" si="23"/>
        <v>3.9180000000000001</v>
      </c>
      <c r="G98" s="197">
        <f ca="1">C98/Summary!C$23</f>
        <v>1.0316619115549215</v>
      </c>
      <c r="H98" s="198">
        <f ca="1">H97+('Dev Plan (Wind)'!C97/Summary!C$23)*Summary!C$27</f>
        <v>38244.861552192473</v>
      </c>
      <c r="I98" s="199">
        <f t="shared" si="28"/>
        <v>3877.9000000000019</v>
      </c>
      <c r="J98" s="199">
        <f t="shared" si="29"/>
        <v>23259.990000000038</v>
      </c>
      <c r="K98" s="198">
        <f t="shared" si="20"/>
        <v>27137.890000000039</v>
      </c>
      <c r="L98" s="200">
        <f ca="1">C97*Summary!C$16*Summary!C$17*24*375*1000*C$11</f>
        <v>64495350000</v>
      </c>
      <c r="M98" s="200">
        <f t="shared" ca="1" si="24"/>
        <v>78365350000</v>
      </c>
      <c r="N98" s="184">
        <f t="shared" ca="1" si="25"/>
        <v>3260</v>
      </c>
      <c r="O98" s="201">
        <f t="shared" ca="1" si="21"/>
        <v>9.862260902084234</v>
      </c>
      <c r="P98" s="184">
        <f ca="1">C98*Summary!$C$16</f>
        <v>361597.5</v>
      </c>
      <c r="Q98" s="184">
        <f ca="1">P98*Summary!$C$17</f>
        <v>144639</v>
      </c>
      <c r="R98" s="201">
        <f ca="1">Q98/'Alberta Electricity Profile'!$C$33</f>
        <v>9.7053613366436284</v>
      </c>
      <c r="S98" s="272">
        <f ca="1">P98/'Alberta Electricity Profile'!$D$49</f>
        <v>2.7699493653432201</v>
      </c>
      <c r="T98" s="273">
        <f t="shared" si="30"/>
        <v>347.92166666666662</v>
      </c>
      <c r="U98" s="273">
        <f t="shared" ca="1" si="31"/>
        <v>913.68214036370046</v>
      </c>
      <c r="V98" s="63">
        <f t="shared" ca="1" si="32"/>
        <v>6.3749861527019425</v>
      </c>
      <c r="W98" s="63">
        <f t="shared" ca="1" si="33"/>
        <v>12749.972305403884</v>
      </c>
    </row>
    <row r="99" spans="2:23">
      <c r="B99" s="192">
        <f t="shared" si="26"/>
        <v>79</v>
      </c>
      <c r="C99" s="184">
        <f t="shared" ca="1" si="19"/>
        <v>72970.5</v>
      </c>
      <c r="D99" s="195">
        <f t="shared" ca="1" si="22"/>
        <v>1.4249873225258487</v>
      </c>
      <c r="E99" s="184">
        <f t="shared" ca="1" si="27"/>
        <v>3947</v>
      </c>
      <c r="F99" s="196">
        <f t="shared" ca="1" si="23"/>
        <v>3.9470000000000001</v>
      </c>
      <c r="G99" s="197">
        <f ca="1">C99/Summary!C$23</f>
        <v>1.0409486447931526</v>
      </c>
      <c r="H99" s="198">
        <f ca="1">H98+('Dev Plan (Wind)'!C98/Summary!C$23)*Summary!C$27</f>
        <v>39166.933174333128</v>
      </c>
      <c r="I99" s="199">
        <f t="shared" si="28"/>
        <v>3927.6166666666686</v>
      </c>
      <c r="J99" s="199">
        <f t="shared" si="29"/>
        <v>23558.19500000004</v>
      </c>
      <c r="K99" s="198">
        <f t="shared" si="20"/>
        <v>27485.811666666708</v>
      </c>
      <c r="L99" s="200">
        <f ca="1">C98*Summary!C$16*Summary!C$17*24*375*1000*C$11</f>
        <v>65087550000</v>
      </c>
      <c r="M99" s="200">
        <f t="shared" ca="1" si="24"/>
        <v>78957550000</v>
      </c>
      <c r="N99" s="184">
        <f t="shared" ca="1" si="25"/>
        <v>3296</v>
      </c>
      <c r="O99" s="201">
        <f t="shared" ca="1" si="21"/>
        <v>9.9721883519691179</v>
      </c>
      <c r="P99" s="184">
        <f ca="1">C99*Summary!$C$16</f>
        <v>364852.5</v>
      </c>
      <c r="Q99" s="184">
        <f ca="1">P99*Summary!$C$17</f>
        <v>145941</v>
      </c>
      <c r="R99" s="201">
        <f ca="1">Q99/'Alberta Electricity Profile'!$C$33</f>
        <v>9.7927262967187811</v>
      </c>
      <c r="S99" s="272">
        <f ca="1">P99/'Alberta Electricity Profile'!$D$49</f>
        <v>2.7948836781750073</v>
      </c>
      <c r="T99" s="273">
        <f t="shared" si="30"/>
        <v>347.92166666666662</v>
      </c>
      <c r="U99" s="273">
        <f t="shared" ca="1" si="31"/>
        <v>922.07162214065465</v>
      </c>
      <c r="V99" s="63">
        <f t="shared" ca="1" si="32"/>
        <v>6.3749861527019309</v>
      </c>
      <c r="W99" s="63">
        <f t="shared" ca="1" si="33"/>
        <v>12749.972305403862</v>
      </c>
    </row>
    <row r="100" spans="2:23">
      <c r="B100" s="192">
        <f t="shared" si="26"/>
        <v>80</v>
      </c>
      <c r="C100" s="184">
        <f t="shared" ca="1" si="19"/>
        <v>73615.5</v>
      </c>
      <c r="D100" s="195">
        <f t="shared" ca="1" si="22"/>
        <v>1.4406010343005085</v>
      </c>
      <c r="E100" s="184">
        <f t="shared" ca="1" si="27"/>
        <v>3977</v>
      </c>
      <c r="F100" s="196">
        <f t="shared" ca="1" si="23"/>
        <v>3.9769999999999999</v>
      </c>
      <c r="G100" s="197">
        <f ca="1">C100/Summary!C$23</f>
        <v>1.0501497860199716</v>
      </c>
      <c r="H100" s="198">
        <f ca="1">H99+('Dev Plan (Wind)'!C99/Summary!C$23)*Summary!C$27</f>
        <v>40097.3050284446</v>
      </c>
      <c r="I100" s="199">
        <f t="shared" si="28"/>
        <v>3977.3333333333353</v>
      </c>
      <c r="J100" s="199">
        <f t="shared" si="29"/>
        <v>23856.400000000041</v>
      </c>
      <c r="K100" s="198">
        <f t="shared" si="20"/>
        <v>27833.733333333377</v>
      </c>
      <c r="L100" s="200">
        <f ca="1">C99*Summary!C$16*Summary!C$17*24*375*1000*C$11</f>
        <v>65673450000</v>
      </c>
      <c r="M100" s="200">
        <f t="shared" ca="1" si="24"/>
        <v>79543450000</v>
      </c>
      <c r="N100" s="184">
        <f t="shared" ca="1" si="25"/>
        <v>3332</v>
      </c>
      <c r="O100" s="201">
        <f t="shared" ca="1" si="21"/>
        <v>10.081454499273695</v>
      </c>
      <c r="P100" s="184">
        <f ca="1">C100*Summary!$C$16</f>
        <v>368077.5</v>
      </c>
      <c r="Q100" s="184">
        <f ca="1">P100*Summary!$C$17</f>
        <v>147231</v>
      </c>
      <c r="R100" s="201">
        <f ca="1">Q100/'Alberta Electricity Profile'!$C$33</f>
        <v>9.8792860497886323</v>
      </c>
      <c r="S100" s="272">
        <f ca="1">P100/'Alberta Electricity Profile'!$D$49</f>
        <v>2.8195881816719397</v>
      </c>
      <c r="T100" s="273">
        <f t="shared" si="30"/>
        <v>347.92166666666662</v>
      </c>
      <c r="U100" s="273">
        <f t="shared" ca="1" si="31"/>
        <v>930.3718541114722</v>
      </c>
      <c r="V100" s="63">
        <f t="shared" ca="1" si="32"/>
        <v>6.3749861527019291</v>
      </c>
      <c r="W100" s="63">
        <f t="shared" ca="1" si="33"/>
        <v>12749.972305403859</v>
      </c>
    </row>
    <row r="101" spans="2:23">
      <c r="B101" s="192">
        <f t="shared" si="26"/>
        <v>81</v>
      </c>
      <c r="C101" s="184">
        <f t="shared" ca="1" si="19"/>
        <v>74254.5</v>
      </c>
      <c r="D101" s="195">
        <f t="shared" ca="1" si="22"/>
        <v>1.4561210338673505</v>
      </c>
      <c r="E101" s="184">
        <f t="shared" ca="1" si="27"/>
        <v>4006</v>
      </c>
      <c r="F101" s="196">
        <f t="shared" ca="1" si="23"/>
        <v>4.0060000000000002</v>
      </c>
      <c r="G101" s="197">
        <f ca="1">C101/Summary!C$23</f>
        <v>1.059265335235378</v>
      </c>
      <c r="H101" s="198">
        <f ca="1">H100+('Dev Plan (Wind)'!C100/Summary!C$23)*Summary!C$27</f>
        <v>41035.900614693055</v>
      </c>
      <c r="I101" s="199">
        <f t="shared" si="28"/>
        <v>4027.050000000002</v>
      </c>
      <c r="J101" s="199">
        <f t="shared" si="29"/>
        <v>24154.605000000043</v>
      </c>
      <c r="K101" s="198">
        <f t="shared" si="20"/>
        <v>28181.655000000046</v>
      </c>
      <c r="L101" s="200">
        <f ca="1">C100*Summary!C$16*Summary!C$17*24*375*1000*C$11</f>
        <v>66253950000</v>
      </c>
      <c r="M101" s="200">
        <f t="shared" ca="1" si="24"/>
        <v>80123950000</v>
      </c>
      <c r="N101" s="184">
        <f t="shared" ca="1" si="25"/>
        <v>3367</v>
      </c>
      <c r="O101" s="201">
        <f t="shared" ca="1" si="21"/>
        <v>10.190064840191464</v>
      </c>
      <c r="P101" s="184">
        <f ca="1">C101*Summary!$C$16</f>
        <v>371272.5</v>
      </c>
      <c r="Q101" s="184">
        <f ca="1">P101*Summary!$C$17</f>
        <v>148509</v>
      </c>
      <c r="R101" s="201">
        <f ca="1">Q101/'Alberta Electricity Profile'!$C$33</f>
        <v>9.9650405958531838</v>
      </c>
      <c r="S101" s="272">
        <f ca="1">P101/'Alberta Electricity Profile'!$D$49</f>
        <v>2.8440628758340165</v>
      </c>
      <c r="T101" s="273">
        <f t="shared" si="30"/>
        <v>347.92166666666662</v>
      </c>
      <c r="U101" s="273">
        <f t="shared" ca="1" si="31"/>
        <v>938.59558624845522</v>
      </c>
      <c r="V101" s="63">
        <f t="shared" ca="1" si="32"/>
        <v>6.3749861527019123</v>
      </c>
      <c r="W101" s="63">
        <f t="shared" ca="1" si="33"/>
        <v>12749.972305403824</v>
      </c>
    </row>
    <row r="102" spans="2:23">
      <c r="B102" s="192">
        <f t="shared" si="26"/>
        <v>82</v>
      </c>
      <c r="C102" s="184">
        <f t="shared" ca="1" si="19"/>
        <v>74886.5</v>
      </c>
      <c r="D102" s="195">
        <f t="shared" ca="1" si="22"/>
        <v>1.4715480682998074</v>
      </c>
      <c r="E102" s="184">
        <f t="shared" ca="1" si="27"/>
        <v>4034</v>
      </c>
      <c r="F102" s="196">
        <f t="shared" ca="1" si="23"/>
        <v>4.0339999999999998</v>
      </c>
      <c r="G102" s="197">
        <f ca="1">C102/Summary!C$23</f>
        <v>1.068281027104137</v>
      </c>
      <c r="H102" s="198">
        <f ca="1">H101+('Dev Plan (Wind)'!C101/Summary!C$23)*Summary!C$27</f>
        <v>41982.643433244666</v>
      </c>
      <c r="I102" s="199">
        <f t="shared" si="28"/>
        <v>4076.7666666666687</v>
      </c>
      <c r="J102" s="199">
        <f t="shared" si="29"/>
        <v>24452.810000000045</v>
      </c>
      <c r="K102" s="198">
        <f t="shared" si="20"/>
        <v>28529.576666666715</v>
      </c>
      <c r="L102" s="200">
        <f ca="1">C101*Summary!C$16*Summary!C$17*24*375*1000*C$11</f>
        <v>66829050000</v>
      </c>
      <c r="M102" s="200">
        <f t="shared" ca="1" si="24"/>
        <v>80699050000</v>
      </c>
      <c r="N102" s="184">
        <f t="shared" ca="1" si="25"/>
        <v>3402</v>
      </c>
      <c r="O102" s="201">
        <f t="shared" ca="1" si="21"/>
        <v>10.298024602808921</v>
      </c>
      <c r="P102" s="184">
        <f ca="1">C102*Summary!$C$16</f>
        <v>374432.5</v>
      </c>
      <c r="Q102" s="184">
        <f ca="1">P102*Summary!$C$17</f>
        <v>149773</v>
      </c>
      <c r="R102" s="201">
        <f ca="1">Q102/'Alberta Electricity Profile'!$C$33</f>
        <v>10.049855733744884</v>
      </c>
      <c r="S102" s="272">
        <f ca="1">P102/'Alberta Electricity Profile'!$D$49</f>
        <v>2.868269459105429</v>
      </c>
      <c r="T102" s="273">
        <f t="shared" si="30"/>
        <v>347.92166666666662</v>
      </c>
      <c r="U102" s="273">
        <f t="shared" ca="1" si="31"/>
        <v>946.74281855161098</v>
      </c>
      <c r="V102" s="63">
        <f t="shared" ca="1" si="32"/>
        <v>6.37498615270193</v>
      </c>
      <c r="W102" s="63">
        <f t="shared" ca="1" si="33"/>
        <v>12749.97230540386</v>
      </c>
    </row>
    <row r="103" spans="2:23">
      <c r="B103" s="192">
        <f t="shared" si="26"/>
        <v>83</v>
      </c>
      <c r="C103" s="184">
        <f t="shared" ca="1" si="19"/>
        <v>75513.5</v>
      </c>
      <c r="D103" s="195">
        <f t="shared" ca="1" si="22"/>
        <v>1.4868824071484916</v>
      </c>
      <c r="E103" s="184">
        <f t="shared" ca="1" si="27"/>
        <v>4063</v>
      </c>
      <c r="F103" s="196">
        <f t="shared" ca="1" si="23"/>
        <v>4.0629999999999997</v>
      </c>
      <c r="G103" s="197">
        <f ca="1">C103/Summary!C$23</f>
        <v>1.077225392296719</v>
      </c>
      <c r="H103" s="198">
        <f ca="1">H102+('Dev Plan (Wind)'!C102/Summary!C$23)*Summary!C$27</f>
        <v>42937.444234293289</v>
      </c>
      <c r="I103" s="199">
        <f t="shared" si="28"/>
        <v>4126.4833333333354</v>
      </c>
      <c r="J103" s="199">
        <f t="shared" si="29"/>
        <v>24751.015000000047</v>
      </c>
      <c r="K103" s="198">
        <f t="shared" si="20"/>
        <v>28877.49833333338</v>
      </c>
      <c r="L103" s="200">
        <f ca="1">C102*Summary!C$16*Summary!C$17*24*375*1000*C$11</f>
        <v>67397850000</v>
      </c>
      <c r="M103" s="200">
        <f t="shared" ca="1" si="24"/>
        <v>81267850000</v>
      </c>
      <c r="N103" s="184">
        <f t="shared" ca="1" si="25"/>
        <v>3436</v>
      </c>
      <c r="O103" s="201">
        <f t="shared" ca="1" si="21"/>
        <v>10.405335673465283</v>
      </c>
      <c r="P103" s="184">
        <f ca="1">C103*Summary!$C$16</f>
        <v>377567.5</v>
      </c>
      <c r="Q103" s="184">
        <f ca="1">P103*Summary!$C$17</f>
        <v>151027</v>
      </c>
      <c r="R103" s="201">
        <f ca="1">Q103/'Alberta Electricity Profile'!$C$33</f>
        <v>10.133999865798833</v>
      </c>
      <c r="S103" s="272">
        <f ca="1">P103/'Alberta Electricity Profile'!$D$49</f>
        <v>2.8922845345977954</v>
      </c>
      <c r="T103" s="273">
        <f t="shared" si="30"/>
        <v>347.92166666666662</v>
      </c>
      <c r="U103" s="273">
        <f t="shared" ca="1" si="31"/>
        <v>954.80080104862282</v>
      </c>
      <c r="V103" s="63">
        <f t="shared" ca="1" si="32"/>
        <v>6.3749861527019078</v>
      </c>
      <c r="W103" s="63">
        <f t="shared" ca="1" si="33"/>
        <v>12749.972305403815</v>
      </c>
    </row>
    <row r="104" spans="2:23">
      <c r="B104" s="193">
        <f t="shared" si="26"/>
        <v>84</v>
      </c>
      <c r="C104" s="184">
        <f t="shared" ca="1" si="19"/>
        <v>76133.5</v>
      </c>
      <c r="D104" s="195">
        <f t="shared" ca="1" si="22"/>
        <v>1.5021251796544697</v>
      </c>
      <c r="E104" s="184">
        <f t="shared" ca="1" si="27"/>
        <v>4091</v>
      </c>
      <c r="F104" s="196">
        <f t="shared" ca="1" si="23"/>
        <v>4.0910000000000002</v>
      </c>
      <c r="G104" s="197">
        <f ca="1">C104/Summary!C$23</f>
        <v>1.0860699001426533</v>
      </c>
      <c r="H104" s="198">
        <f ca="1">H103+('Dev Plan (Wind)'!C103/Summary!C$23)*Summary!C$27</f>
        <v>43900.239267977406</v>
      </c>
      <c r="I104" s="199">
        <f t="shared" si="28"/>
        <v>4176.2000000000016</v>
      </c>
      <c r="J104" s="199">
        <f t="shared" si="29"/>
        <v>25049.220000000048</v>
      </c>
      <c r="K104" s="198">
        <f t="shared" si="20"/>
        <v>29225.420000000049</v>
      </c>
      <c r="L104" s="200">
        <f ca="1">C103*Summary!C$16*Summary!C$17*24*375*1000*C$11</f>
        <v>67962150000</v>
      </c>
      <c r="M104" s="200">
        <f t="shared" ca="1" si="24"/>
        <v>81832150000</v>
      </c>
      <c r="N104" s="184">
        <f t="shared" ca="1" si="25"/>
        <v>3471</v>
      </c>
      <c r="O104" s="201">
        <f t="shared" ca="1" si="21"/>
        <v>10.512005954690242</v>
      </c>
      <c r="P104" s="184">
        <f ca="1">C104*Summary!$C$16</f>
        <v>380667.5</v>
      </c>
      <c r="Q104" s="184">
        <f ca="1">P104*Summary!$C$17</f>
        <v>152267</v>
      </c>
      <c r="R104" s="201">
        <f ca="1">Q104/'Alberta Electricity Profile'!$C$33</f>
        <v>10.21720458967993</v>
      </c>
      <c r="S104" s="272">
        <f ca="1">P104/'Alberta Electricity Profile'!$D$49</f>
        <v>2.9160314991994976</v>
      </c>
      <c r="T104" s="273">
        <f t="shared" si="30"/>
        <v>347.92166666666662</v>
      </c>
      <c r="U104" s="273">
        <f t="shared" ca="1" si="31"/>
        <v>962.79503368411679</v>
      </c>
      <c r="V104" s="63">
        <f t="shared" ca="1" si="32"/>
        <v>6.374986152701946</v>
      </c>
      <c r="W104" s="63">
        <f t="shared" ca="1" si="33"/>
        <v>12749.972305403891</v>
      </c>
    </row>
    <row r="105" spans="2:23">
      <c r="B105" s="192">
        <f t="shared" si="26"/>
        <v>85</v>
      </c>
      <c r="C105" s="184">
        <f t="shared" ca="1" si="19"/>
        <v>76747.5</v>
      </c>
      <c r="D105" s="195">
        <f t="shared" ca="1" si="22"/>
        <v>1.5172765996568687</v>
      </c>
      <c r="E105" s="184">
        <f t="shared" ca="1" si="27"/>
        <v>4119</v>
      </c>
      <c r="F105" s="196">
        <f t="shared" ca="1" si="23"/>
        <v>4.1189999999999998</v>
      </c>
      <c r="G105" s="197">
        <f ca="1">C105/Summary!C$23</f>
        <v>1.0948288159771755</v>
      </c>
      <c r="H105" s="198">
        <f ca="1">H104+('Dev Plan (Wind)'!C104/Summary!C$23)*Summary!C$27</f>
        <v>44870.939284490873</v>
      </c>
      <c r="I105" s="199">
        <f t="shared" si="28"/>
        <v>4225.9166666666679</v>
      </c>
      <c r="J105" s="199">
        <f t="shared" si="29"/>
        <v>25347.42500000005</v>
      </c>
      <c r="K105" s="198">
        <f t="shared" si="20"/>
        <v>29573.341666666718</v>
      </c>
      <c r="L105" s="200">
        <f ca="1">C104*Summary!C$16*Summary!C$17*24*375*1000*C$11</f>
        <v>68520150000</v>
      </c>
      <c r="M105" s="200">
        <f t="shared" ca="1" si="24"/>
        <v>82390150000</v>
      </c>
      <c r="N105" s="184">
        <f t="shared" ca="1" si="25"/>
        <v>3505</v>
      </c>
      <c r="O105" s="201">
        <f t="shared" ca="1" si="21"/>
        <v>10.61803694294907</v>
      </c>
      <c r="P105" s="184">
        <f ca="1">C105*Summary!$C$16</f>
        <v>383737.5</v>
      </c>
      <c r="Q105" s="184">
        <f ca="1">P105*Summary!$C$17</f>
        <v>153495</v>
      </c>
      <c r="R105" s="201">
        <f ca="1">Q105/'Alberta Electricity Profile'!$C$33</f>
        <v>10.299604106555726</v>
      </c>
      <c r="S105" s="272">
        <f ca="1">P105/'Alberta Electricity Profile'!$D$49</f>
        <v>2.9395486544663445</v>
      </c>
      <c r="T105" s="273">
        <f t="shared" si="30"/>
        <v>347.92166666666662</v>
      </c>
      <c r="U105" s="273">
        <f t="shared" ca="1" si="31"/>
        <v>970.70001651346684</v>
      </c>
      <c r="V105" s="63">
        <f t="shared" ca="1" si="32"/>
        <v>6.3749861527019434</v>
      </c>
      <c r="W105" s="63">
        <f t="shared" ca="1" si="33"/>
        <v>12749.972305403886</v>
      </c>
    </row>
    <row r="106" spans="2:23">
      <c r="B106" s="192">
        <f t="shared" si="26"/>
        <v>86</v>
      </c>
      <c r="C106" s="184">
        <f t="shared" ca="1" si="19"/>
        <v>77356.5</v>
      </c>
      <c r="D106" s="195">
        <f t="shared" ca="1" si="22"/>
        <v>1.532337297166255</v>
      </c>
      <c r="E106" s="184">
        <f t="shared" ca="1" si="27"/>
        <v>4147</v>
      </c>
      <c r="F106" s="196">
        <f t="shared" ca="1" si="23"/>
        <v>4.1470000000000002</v>
      </c>
      <c r="G106" s="197">
        <f ca="1">C106/Summary!C$23</f>
        <v>1.1035164051355206</v>
      </c>
      <c r="H106" s="198">
        <f ca="1">H105+('Dev Plan (Wind)'!C105/Summary!C$23)*Summary!C$27</f>
        <v>45849.467783999855</v>
      </c>
      <c r="I106" s="199">
        <f t="shared" si="28"/>
        <v>4275.6333333333341</v>
      </c>
      <c r="J106" s="199">
        <f t="shared" si="29"/>
        <v>25645.630000000052</v>
      </c>
      <c r="K106" s="198">
        <f t="shared" si="20"/>
        <v>29921.263333333387</v>
      </c>
      <c r="L106" s="200">
        <f ca="1">C105*Summary!C$16*Summary!C$17*24*375*1000*C$11</f>
        <v>69072750000</v>
      </c>
      <c r="M106" s="200">
        <f t="shared" ca="1" si="24"/>
        <v>82942750000</v>
      </c>
      <c r="N106" s="184">
        <f t="shared" ca="1" si="25"/>
        <v>3538</v>
      </c>
      <c r="O106" s="201">
        <f t="shared" ca="1" si="21"/>
        <v>10.723433047111893</v>
      </c>
      <c r="P106" s="184">
        <f ca="1">C106*Summary!$C$16</f>
        <v>386782.5</v>
      </c>
      <c r="Q106" s="184">
        <f ca="1">P106*Summary!$C$17</f>
        <v>154713</v>
      </c>
      <c r="R106" s="201">
        <f ca="1">Q106/'Alberta Electricity Profile'!$C$33</f>
        <v>10.381332617593774</v>
      </c>
      <c r="S106" s="272">
        <f ca="1">P106/'Alberta Electricity Profile'!$D$49</f>
        <v>2.9628743019541455</v>
      </c>
      <c r="T106" s="273">
        <f t="shared" si="30"/>
        <v>347.92166666666662</v>
      </c>
      <c r="U106" s="273">
        <f t="shared" ca="1" si="31"/>
        <v>978.52849950898235</v>
      </c>
      <c r="V106" s="63">
        <f t="shared" ca="1" si="32"/>
        <v>6.3749861527019274</v>
      </c>
      <c r="W106" s="63">
        <f t="shared" ca="1" si="33"/>
        <v>12749.972305403855</v>
      </c>
    </row>
    <row r="107" spans="2:23">
      <c r="B107" s="192">
        <f t="shared" si="26"/>
        <v>87</v>
      </c>
      <c r="C107" s="184">
        <f t="shared" ca="1" si="19"/>
        <v>77958.5</v>
      </c>
      <c r="D107" s="195">
        <f t="shared" ca="1" si="22"/>
        <v>1.5473082944467365</v>
      </c>
      <c r="E107" s="184">
        <f t="shared" ca="1" si="27"/>
        <v>4174</v>
      </c>
      <c r="F107" s="196">
        <f t="shared" ca="1" si="23"/>
        <v>4.1740000000000004</v>
      </c>
      <c r="G107" s="197">
        <f ca="1">C107/Summary!C$23</f>
        <v>1.1121041369472182</v>
      </c>
      <c r="H107" s="198">
        <f ca="1">H106+('Dev Plan (Wind)'!C106/Summary!C$23)*Summary!C$27</f>
        <v>46835.761016642828</v>
      </c>
      <c r="I107" s="199">
        <f t="shared" si="28"/>
        <v>4325.3500000000004</v>
      </c>
      <c r="J107" s="199">
        <f t="shared" si="29"/>
        <v>25943.835000000054</v>
      </c>
      <c r="K107" s="198">
        <f t="shared" si="20"/>
        <v>30269.185000000056</v>
      </c>
      <c r="L107" s="200">
        <f ca="1">C106*Summary!C$16*Summary!C$17*24*375*1000*C$11</f>
        <v>69620850000</v>
      </c>
      <c r="M107" s="200">
        <f t="shared" ca="1" si="24"/>
        <v>83490850000</v>
      </c>
      <c r="N107" s="184">
        <f t="shared" ca="1" si="25"/>
        <v>3572</v>
      </c>
      <c r="O107" s="201">
        <f t="shared" ca="1" si="21"/>
        <v>10.828201421074091</v>
      </c>
      <c r="P107" s="184">
        <f ca="1">C107*Summary!$C$16</f>
        <v>389792.5</v>
      </c>
      <c r="Q107" s="184">
        <f ca="1">P107*Summary!$C$17</f>
        <v>155917</v>
      </c>
      <c r="R107" s="201">
        <f ca="1">Q107/'Alberta Electricity Profile'!$C$33</f>
        <v>10.462121720458969</v>
      </c>
      <c r="S107" s="272">
        <f ca="1">P107/'Alberta Electricity Profile'!$D$49</f>
        <v>2.9859318385512821</v>
      </c>
      <c r="T107" s="273">
        <f t="shared" si="30"/>
        <v>347.92166666666662</v>
      </c>
      <c r="U107" s="273">
        <f t="shared" ca="1" si="31"/>
        <v>986.29323264297273</v>
      </c>
      <c r="V107" s="63">
        <f t="shared" ca="1" si="32"/>
        <v>6.3749861527019238</v>
      </c>
      <c r="W107" s="63">
        <f t="shared" ca="1" si="33"/>
        <v>12749.972305403848</v>
      </c>
    </row>
    <row r="108" spans="2:23">
      <c r="B108" s="192">
        <f t="shared" si="26"/>
        <v>88</v>
      </c>
      <c r="C108" s="184">
        <f t="shared" ca="1" si="19"/>
        <v>78554.5</v>
      </c>
      <c r="D108" s="195">
        <f t="shared" ca="1" si="22"/>
        <v>1.5621897344299538</v>
      </c>
      <c r="E108" s="184">
        <f t="shared" ca="1" si="27"/>
        <v>4201</v>
      </c>
      <c r="F108" s="196">
        <f t="shared" ca="1" si="23"/>
        <v>4.2009999999999996</v>
      </c>
      <c r="G108" s="197">
        <f ca="1">C108/Summary!C$23</f>
        <v>1.1206062767475036</v>
      </c>
      <c r="H108" s="198">
        <f ca="1">H107+('Dev Plan (Wind)'!C107/Summary!C$23)*Summary!C$27</f>
        <v>47829.729732613654</v>
      </c>
      <c r="I108" s="199">
        <f t="shared" si="28"/>
        <v>4375.0666666666666</v>
      </c>
      <c r="J108" s="199">
        <f t="shared" si="29"/>
        <v>26242.040000000055</v>
      </c>
      <c r="K108" s="198">
        <f t="shared" si="20"/>
        <v>30617.106666666721</v>
      </c>
      <c r="L108" s="200">
        <f ca="1">C107*Summary!C$16*Summary!C$17*24*375*1000*C$11</f>
        <v>70162650000</v>
      </c>
      <c r="M108" s="200">
        <f t="shared" ca="1" si="24"/>
        <v>84032650000</v>
      </c>
      <c r="N108" s="184">
        <f t="shared" ca="1" si="25"/>
        <v>3605</v>
      </c>
      <c r="O108" s="201">
        <f t="shared" ca="1" si="21"/>
        <v>10.932343065084034</v>
      </c>
      <c r="P108" s="184">
        <f ca="1">C108*Summary!$C$16</f>
        <v>392772.5</v>
      </c>
      <c r="Q108" s="184">
        <f ca="1">P108*Summary!$C$17</f>
        <v>157109</v>
      </c>
      <c r="R108" s="201">
        <f ca="1">Q108/'Alberta Electricity Profile'!$C$33</f>
        <v>10.542105616318862</v>
      </c>
      <c r="S108" s="272">
        <f ca="1">P108/'Alberta Electricity Profile'!$D$49</f>
        <v>3.0087595658135635</v>
      </c>
      <c r="T108" s="273">
        <f t="shared" si="30"/>
        <v>347.92166666666662</v>
      </c>
      <c r="U108" s="273">
        <f t="shared" ca="1" si="31"/>
        <v>993.96871597082645</v>
      </c>
      <c r="V108" s="63">
        <f t="shared" ca="1" si="32"/>
        <v>6.3749861527019274</v>
      </c>
      <c r="W108" s="63">
        <f t="shared" ca="1" si="33"/>
        <v>12749.972305403855</v>
      </c>
    </row>
    <row r="109" spans="2:23">
      <c r="B109" s="192">
        <f t="shared" si="26"/>
        <v>89</v>
      </c>
      <c r="C109" s="184">
        <f t="shared" ca="1" si="19"/>
        <v>79144.5</v>
      </c>
      <c r="D109" s="195">
        <f t="shared" ca="1" si="22"/>
        <v>1.5769821653775895</v>
      </c>
      <c r="E109" s="184">
        <f t="shared" ca="1" si="27"/>
        <v>4228</v>
      </c>
      <c r="F109" s="196">
        <f t="shared" ca="1" si="23"/>
        <v>4.2279999999999998</v>
      </c>
      <c r="G109" s="197">
        <f ca="1">C109/Summary!C$23</f>
        <v>1.1290228245363767</v>
      </c>
      <c r="H109" s="198">
        <f ca="1">H108+('Dev Plan (Wind)'!C108/Summary!C$23)*Summary!C$27</f>
        <v>48831.2974320785</v>
      </c>
      <c r="I109" s="199">
        <f t="shared" si="28"/>
        <v>4424.7833333333328</v>
      </c>
      <c r="J109" s="199">
        <f t="shared" si="29"/>
        <v>26540.245000000057</v>
      </c>
      <c r="K109" s="198">
        <f t="shared" si="20"/>
        <v>30965.02833333339</v>
      </c>
      <c r="L109" s="200">
        <f ca="1">C108*Summary!C$16*Summary!C$17*24*375*1000*C$11</f>
        <v>70699050000</v>
      </c>
      <c r="M109" s="200">
        <f t="shared" ca="1" si="24"/>
        <v>84569050000</v>
      </c>
      <c r="N109" s="184">
        <f t="shared" ca="1" si="25"/>
        <v>3638</v>
      </c>
      <c r="O109" s="201">
        <f t="shared" ca="1" si="21"/>
        <v>11.035861815925866</v>
      </c>
      <c r="P109" s="184">
        <f ca="1">C109*Summary!$C$16</f>
        <v>395722.5</v>
      </c>
      <c r="Q109" s="184">
        <f ca="1">P109*Summary!$C$17</f>
        <v>158289</v>
      </c>
      <c r="R109" s="201">
        <f ca="1">Q109/'Alberta Electricity Profile'!$C$33</f>
        <v>10.621284305173456</v>
      </c>
      <c r="S109" s="272">
        <f ca="1">P109/'Alberta Electricity Profile'!$D$49</f>
        <v>3.0313574837409893</v>
      </c>
      <c r="T109" s="273">
        <f t="shared" si="30"/>
        <v>347.92166666666662</v>
      </c>
      <c r="U109" s="273">
        <f t="shared" ca="1" si="31"/>
        <v>1001.5676994648456</v>
      </c>
      <c r="V109" s="63">
        <f t="shared" ca="1" si="32"/>
        <v>6.3749861527019176</v>
      </c>
      <c r="W109" s="63">
        <f t="shared" ca="1" si="33"/>
        <v>12749.972305403835</v>
      </c>
    </row>
    <row r="110" spans="2:23">
      <c r="B110" s="192">
        <f t="shared" si="26"/>
        <v>90</v>
      </c>
      <c r="C110" s="184">
        <f t="shared" ca="1" si="19"/>
        <v>79729.5</v>
      </c>
      <c r="D110" s="195">
        <f t="shared" ca="1" si="22"/>
        <v>1.5916861111841409</v>
      </c>
      <c r="E110" s="184">
        <f t="shared" ca="1" si="27"/>
        <v>4255</v>
      </c>
      <c r="F110" s="196">
        <f t="shared" ca="1" si="23"/>
        <v>4.2549999999999999</v>
      </c>
      <c r="G110" s="197">
        <f ca="1">C110/Summary!C$23</f>
        <v>1.1373680456490727</v>
      </c>
      <c r="H110" s="198">
        <f ca="1">H109+('Dev Plan (Wind)'!C109/Summary!C$23)*Summary!C$27</f>
        <v>49840.387615203537</v>
      </c>
      <c r="I110" s="199">
        <f t="shared" si="28"/>
        <v>4474.4999999999991</v>
      </c>
      <c r="J110" s="199">
        <f t="shared" si="29"/>
        <v>26838.450000000059</v>
      </c>
      <c r="K110" s="198">
        <f t="shared" si="20"/>
        <v>31312.950000000059</v>
      </c>
      <c r="L110" s="200">
        <f ca="1">C109*Summary!C$16*Summary!C$17*24*375*1000*C$11</f>
        <v>71230050000</v>
      </c>
      <c r="M110" s="200">
        <f t="shared" ca="1" si="24"/>
        <v>85100050000</v>
      </c>
      <c r="N110" s="184">
        <f t="shared" ca="1" si="25"/>
        <v>3670</v>
      </c>
      <c r="O110" s="201">
        <f t="shared" ca="1" si="21"/>
        <v>11.138761339859995</v>
      </c>
      <c r="P110" s="184">
        <f ca="1">C110*Summary!$C$16</f>
        <v>398647.5</v>
      </c>
      <c r="Q110" s="184">
        <f ca="1">P110*Summary!$C$17</f>
        <v>159459</v>
      </c>
      <c r="R110" s="201">
        <f ca="1">Q110/'Alberta Electricity Profile'!$C$33</f>
        <v>10.699791988190297</v>
      </c>
      <c r="S110" s="272">
        <f ca="1">P110/'Alberta Electricity Profile'!$D$49</f>
        <v>3.0537638938893696</v>
      </c>
      <c r="T110" s="273">
        <f t="shared" si="30"/>
        <v>347.92166666666662</v>
      </c>
      <c r="U110" s="273">
        <f t="shared" ca="1" si="31"/>
        <v>1009.0901831250376</v>
      </c>
      <c r="V110" s="63">
        <f t="shared" ca="1" si="32"/>
        <v>6.3749861527019416</v>
      </c>
      <c r="W110" s="63">
        <f t="shared" ca="1" si="33"/>
        <v>12749.972305403882</v>
      </c>
    </row>
    <row r="111" spans="2:23">
      <c r="B111" s="192">
        <f t="shared" si="26"/>
        <v>91</v>
      </c>
      <c r="C111" s="184">
        <f t="shared" ca="1" si="19"/>
        <v>80308.5</v>
      </c>
      <c r="D111" s="195">
        <f t="shared" ca="1" si="22"/>
        <v>1.6063024754201749</v>
      </c>
      <c r="E111" s="184">
        <f t="shared" ca="1" si="27"/>
        <v>4281</v>
      </c>
      <c r="F111" s="196">
        <f t="shared" ca="1" si="23"/>
        <v>4.2809999999999997</v>
      </c>
      <c r="G111" s="197">
        <f ca="1">C111/Summary!C$23</f>
        <v>1.1456276747503567</v>
      </c>
      <c r="H111" s="198">
        <f ca="1">H110+('Dev Plan (Wind)'!C110/Summary!C$23)*Summary!C$27</f>
        <v>50856.936532127234</v>
      </c>
      <c r="I111" s="199">
        <f t="shared" si="28"/>
        <v>4524.2166666666653</v>
      </c>
      <c r="J111" s="199">
        <f t="shared" si="29"/>
        <v>27136.655000000061</v>
      </c>
      <c r="K111" s="198">
        <f t="shared" si="20"/>
        <v>31660.871666666724</v>
      </c>
      <c r="L111" s="200">
        <f ca="1">C110*Summary!C$16*Summary!C$17*24*375*1000*C$11</f>
        <v>71756550000</v>
      </c>
      <c r="M111" s="200">
        <f t="shared" ca="1" si="24"/>
        <v>85626550000</v>
      </c>
      <c r="N111" s="184">
        <f t="shared" ca="1" si="25"/>
        <v>3702</v>
      </c>
      <c r="O111" s="201">
        <f t="shared" ca="1" si="21"/>
        <v>11.24104796015382</v>
      </c>
      <c r="P111" s="184">
        <f ca="1">C111*Summary!$C$16</f>
        <v>401542.5</v>
      </c>
      <c r="Q111" s="184">
        <f ca="1">P111*Summary!$C$17</f>
        <v>160617</v>
      </c>
      <c r="R111" s="201">
        <f ca="1">Q111/'Alberta Electricity Profile'!$C$33</f>
        <v>10.777494464201839</v>
      </c>
      <c r="S111" s="272">
        <f ca="1">P111/'Alberta Electricity Profile'!$D$49</f>
        <v>3.0759404947028948</v>
      </c>
      <c r="T111" s="273">
        <f t="shared" si="30"/>
        <v>347.92166666666662</v>
      </c>
      <c r="U111" s="273">
        <f t="shared" ca="1" si="31"/>
        <v>1016.5489169236971</v>
      </c>
      <c r="V111" s="63">
        <f t="shared" ca="1" si="32"/>
        <v>6.37498615270193</v>
      </c>
      <c r="W111" s="63">
        <f t="shared" ca="1" si="33"/>
        <v>12749.97230540386</v>
      </c>
    </row>
    <row r="112" spans="2:23">
      <c r="B112" s="192">
        <f t="shared" si="26"/>
        <v>92</v>
      </c>
      <c r="C112" s="184">
        <f t="shared" ca="1" si="19"/>
        <v>80881.5</v>
      </c>
      <c r="D112" s="195">
        <f t="shared" ca="1" si="22"/>
        <v>1.6208317240434036</v>
      </c>
      <c r="E112" s="184">
        <f t="shared" ca="1" si="27"/>
        <v>4307</v>
      </c>
      <c r="F112" s="196">
        <f t="shared" ca="1" si="23"/>
        <v>4.3070000000000004</v>
      </c>
      <c r="G112" s="197">
        <f ca="1">C112/Summary!C$23</f>
        <v>1.1538017118402282</v>
      </c>
      <c r="H112" s="198">
        <f ca="1">H111+('Dev Plan (Wind)'!C111/Summary!C$23)*Summary!C$27</f>
        <v>51880.867683015764</v>
      </c>
      <c r="I112" s="199">
        <f t="shared" si="28"/>
        <v>4573.9333333333316</v>
      </c>
      <c r="J112" s="199">
        <f t="shared" si="29"/>
        <v>27434.860000000062</v>
      </c>
      <c r="K112" s="198">
        <f t="shared" si="20"/>
        <v>32008.793333333393</v>
      </c>
      <c r="L112" s="200">
        <f ca="1">C111*Summary!C$16*Summary!C$17*24*375*1000*C$11</f>
        <v>72277650000</v>
      </c>
      <c r="M112" s="200">
        <f t="shared" ca="1" si="24"/>
        <v>86147650000</v>
      </c>
      <c r="N112" s="184">
        <f t="shared" ca="1" si="25"/>
        <v>3734</v>
      </c>
      <c r="O112" s="201">
        <f t="shared" ca="1" si="21"/>
        <v>11.342724937620964</v>
      </c>
      <c r="P112" s="184">
        <f ca="1">C112*Summary!$C$16</f>
        <v>404407.5</v>
      </c>
      <c r="Q112" s="184">
        <f ca="1">P112*Summary!$C$17</f>
        <v>161763</v>
      </c>
      <c r="R112" s="201">
        <f ca="1">Q112/'Alberta Electricity Profile'!$C$33</f>
        <v>10.854391733208079</v>
      </c>
      <c r="S112" s="272">
        <f ca="1">P112/'Alberta Electricity Profile'!$D$49</f>
        <v>3.0978872861815647</v>
      </c>
      <c r="T112" s="273">
        <f t="shared" si="30"/>
        <v>347.92166666666662</v>
      </c>
      <c r="U112" s="273">
        <f t="shared" ca="1" si="31"/>
        <v>1023.9311508885294</v>
      </c>
      <c r="V112" s="63">
        <f t="shared" ca="1" si="32"/>
        <v>6.3749861527019522</v>
      </c>
      <c r="W112" s="63">
        <f t="shared" ca="1" si="33"/>
        <v>12749.972305403904</v>
      </c>
    </row>
    <row r="113" spans="2:23">
      <c r="B113" s="192">
        <f t="shared" si="26"/>
        <v>93</v>
      </c>
      <c r="C113" s="184">
        <f t="shared" ca="1" si="19"/>
        <v>81449.5</v>
      </c>
      <c r="D113" s="195">
        <f t="shared" ca="1" si="22"/>
        <v>1.6352743029703474</v>
      </c>
      <c r="E113" s="184">
        <f t="shared" ca="1" si="27"/>
        <v>4333</v>
      </c>
      <c r="F113" s="196">
        <f t="shared" ca="1" si="23"/>
        <v>4.3330000000000002</v>
      </c>
      <c r="G113" s="197">
        <f ca="1">C113/Summary!C$23</f>
        <v>1.161904422253923</v>
      </c>
      <c r="H113" s="198">
        <f ca="1">H112+('Dev Plan (Wind)'!C112/Summary!C$23)*Summary!C$27</f>
        <v>52912.104568035284</v>
      </c>
      <c r="I113" s="199">
        <f t="shared" si="28"/>
        <v>4623.6499999999978</v>
      </c>
      <c r="J113" s="199">
        <f t="shared" si="29"/>
        <v>27733.065000000064</v>
      </c>
      <c r="K113" s="198">
        <f t="shared" si="20"/>
        <v>32356.715000000062</v>
      </c>
      <c r="L113" s="200">
        <f ca="1">C112*Summary!C$16*Summary!C$17*24*375*1000*C$11</f>
        <v>72793350000</v>
      </c>
      <c r="M113" s="200">
        <f t="shared" ca="1" si="24"/>
        <v>86663350000</v>
      </c>
      <c r="N113" s="184">
        <f t="shared" ca="1" si="25"/>
        <v>3765</v>
      </c>
      <c r="O113" s="201">
        <f t="shared" ca="1" si="21"/>
        <v>11.443795392824999</v>
      </c>
      <c r="P113" s="184">
        <f ca="1">C113*Summary!$C$16</f>
        <v>407247.5</v>
      </c>
      <c r="Q113" s="184">
        <f ca="1">P113*Summary!$C$17</f>
        <v>162899</v>
      </c>
      <c r="R113" s="201">
        <f ca="1">Q113/'Alberta Electricity Profile'!$C$33</f>
        <v>10.930617996376569</v>
      </c>
      <c r="S113" s="272">
        <f ca="1">P113/'Alberta Electricity Profile'!$D$49</f>
        <v>3.1196425698811887</v>
      </c>
      <c r="T113" s="273">
        <f t="shared" si="30"/>
        <v>347.92166666666662</v>
      </c>
      <c r="U113" s="273">
        <f t="shared" ca="1" si="31"/>
        <v>1031.2368850195198</v>
      </c>
      <c r="V113" s="63">
        <f t="shared" ca="1" si="32"/>
        <v>6.3749861527019149</v>
      </c>
      <c r="W113" s="63">
        <f t="shared" ca="1" si="33"/>
        <v>12749.97230540383</v>
      </c>
    </row>
    <row r="114" spans="2:23">
      <c r="B114" s="192">
        <f t="shared" si="26"/>
        <v>94</v>
      </c>
      <c r="C114" s="184">
        <f t="shared" ca="1" si="19"/>
        <v>82011.5</v>
      </c>
      <c r="D114" s="195">
        <f t="shared" ca="1" si="22"/>
        <v>1.6496310289944873</v>
      </c>
      <c r="E114" s="184">
        <f t="shared" ca="1" si="27"/>
        <v>4358</v>
      </c>
      <c r="F114" s="196">
        <f t="shared" ca="1" si="23"/>
        <v>4.3579999999999997</v>
      </c>
      <c r="G114" s="197">
        <f ca="1">C114/Summary!C$23</f>
        <v>1.1699215406562053</v>
      </c>
      <c r="H114" s="198">
        <f ca="1">H113+('Dev Plan (Wind)'!C113/Summary!C$23)*Summary!C$27</f>
        <v>53950.583437324276</v>
      </c>
      <c r="I114" s="199">
        <f t="shared" si="28"/>
        <v>4673.3666666666641</v>
      </c>
      <c r="J114" s="199">
        <f t="shared" si="29"/>
        <v>28031.270000000066</v>
      </c>
      <c r="K114" s="198">
        <f t="shared" si="20"/>
        <v>32704.636666666731</v>
      </c>
      <c r="L114" s="200">
        <f ca="1">C113*Summary!C$16*Summary!C$17*24*375*1000*C$11</f>
        <v>73304550000</v>
      </c>
      <c r="M114" s="200">
        <f t="shared" ca="1" si="24"/>
        <v>87174550000</v>
      </c>
      <c r="N114" s="184">
        <f t="shared" ca="1" si="25"/>
        <v>3796</v>
      </c>
      <c r="O114" s="201">
        <f t="shared" ca="1" si="21"/>
        <v>11.544265041759539</v>
      </c>
      <c r="P114" s="184">
        <f ca="1">C114*Summary!$C$16</f>
        <v>410057.5</v>
      </c>
      <c r="Q114" s="184">
        <f ca="1">P114*Summary!$C$17</f>
        <v>164023</v>
      </c>
      <c r="R114" s="201">
        <f ca="1">Q114/'Alberta Electricity Profile'!$C$33</f>
        <v>11.006039052539757</v>
      </c>
      <c r="S114" s="272">
        <f ca="1">P114/'Alberta Electricity Profile'!$D$49</f>
        <v>3.1411680442459571</v>
      </c>
      <c r="T114" s="273">
        <f t="shared" si="30"/>
        <v>347.92166666666662</v>
      </c>
      <c r="U114" s="273">
        <f t="shared" ca="1" si="31"/>
        <v>1038.4788692889924</v>
      </c>
      <c r="V114" s="63">
        <f t="shared" ca="1" si="32"/>
        <v>6.3749861527019345</v>
      </c>
      <c r="W114" s="63">
        <f t="shared" ca="1" si="33"/>
        <v>12749.97230540387</v>
      </c>
    </row>
    <row r="115" spans="2:23">
      <c r="B115" s="192">
        <f t="shared" si="26"/>
        <v>95</v>
      </c>
      <c r="C115" s="184">
        <f t="shared" ca="1" si="19"/>
        <v>82568.5</v>
      </c>
      <c r="D115" s="195">
        <f t="shared" ca="1" si="22"/>
        <v>1.6639022987695746</v>
      </c>
      <c r="E115" s="184">
        <f t="shared" ca="1" si="27"/>
        <v>4384</v>
      </c>
      <c r="F115" s="196">
        <f t="shared" ca="1" si="23"/>
        <v>4.3840000000000003</v>
      </c>
      <c r="G115" s="197">
        <f ca="1">C115/Summary!C$23</f>
        <v>1.177867332382311</v>
      </c>
      <c r="H115" s="198">
        <f ca="1">H114+('Dev Plan (Wind)'!C114/Summary!C$23)*Summary!C$27</f>
        <v>54996.227791048907</v>
      </c>
      <c r="I115" s="199">
        <f t="shared" si="28"/>
        <v>4723.0833333333303</v>
      </c>
      <c r="J115" s="199">
        <f t="shared" si="29"/>
        <v>28329.475000000068</v>
      </c>
      <c r="K115" s="198">
        <f t="shared" si="20"/>
        <v>33052.5583333334</v>
      </c>
      <c r="L115" s="200">
        <f ca="1">C114*Summary!C$16*Summary!C$17*24*375*1000*C$11</f>
        <v>73810350000</v>
      </c>
      <c r="M115" s="200">
        <f t="shared" ca="1" si="24"/>
        <v>87680350000</v>
      </c>
      <c r="N115" s="184">
        <f t="shared" ca="1" si="25"/>
        <v>3827</v>
      </c>
      <c r="O115" s="201">
        <f t="shared" ca="1" si="21"/>
        <v>11.644136660242909</v>
      </c>
      <c r="P115" s="184">
        <f ca="1">C115*Summary!$C$16</f>
        <v>412842.5</v>
      </c>
      <c r="Q115" s="184">
        <f ca="1">P115*Summary!$C$17</f>
        <v>165137</v>
      </c>
      <c r="R115" s="201">
        <f ca="1">Q115/'Alberta Electricity Profile'!$C$33</f>
        <v>11.080789102865195</v>
      </c>
      <c r="S115" s="272">
        <f ca="1">P115/'Alberta Electricity Profile'!$D$49</f>
        <v>3.1625020108316799</v>
      </c>
      <c r="T115" s="273">
        <f t="shared" si="30"/>
        <v>347.92166666666662</v>
      </c>
      <c r="U115" s="273">
        <f t="shared" ca="1" si="31"/>
        <v>1045.6443537246305</v>
      </c>
      <c r="V115" s="63">
        <f t="shared" ca="1" si="32"/>
        <v>6.3749861527019416</v>
      </c>
      <c r="W115" s="63">
        <f t="shared" ca="1" si="33"/>
        <v>12749.972305403882</v>
      </c>
    </row>
    <row r="116" spans="2:23">
      <c r="B116" s="192">
        <f t="shared" si="26"/>
        <v>96</v>
      </c>
      <c r="C116" s="184">
        <f t="shared" ca="1" si="19"/>
        <v>83119.5</v>
      </c>
      <c r="D116" s="195">
        <f t="shared" ca="1" si="22"/>
        <v>1.6780888741523334</v>
      </c>
      <c r="E116" s="184">
        <f t="shared" ca="1" si="27"/>
        <v>4409</v>
      </c>
      <c r="F116" s="196">
        <f t="shared" ca="1" si="23"/>
        <v>4.4089999999999998</v>
      </c>
      <c r="G116" s="197">
        <f ca="1">C116/Summary!C$23</f>
        <v>1.1857275320970042</v>
      </c>
      <c r="H116" s="198">
        <f ca="1">H115+('Dev Plan (Wind)'!C115/Summary!C$23)*Summary!C$27</f>
        <v>56048.973879347643</v>
      </c>
      <c r="I116" s="199">
        <f t="shared" si="28"/>
        <v>4772.7999999999965</v>
      </c>
      <c r="J116" s="199">
        <f t="shared" si="29"/>
        <v>28627.680000000069</v>
      </c>
      <c r="K116" s="198">
        <f t="shared" si="20"/>
        <v>33400.480000000069</v>
      </c>
      <c r="L116" s="200">
        <f ca="1">C115*Summary!C$16*Summary!C$17*24*375*1000*C$11</f>
        <v>74311650000</v>
      </c>
      <c r="M116" s="200">
        <f t="shared" ca="1" si="24"/>
        <v>88181650000</v>
      </c>
      <c r="N116" s="184">
        <f t="shared" ca="1" si="25"/>
        <v>3858</v>
      </c>
      <c r="O116" s="201">
        <f t="shared" ca="1" si="21"/>
        <v>11.743415579816393</v>
      </c>
      <c r="P116" s="184">
        <f ca="1">C116*Summary!$C$16</f>
        <v>415597.5</v>
      </c>
      <c r="Q116" s="184">
        <f ca="1">P116*Summary!$C$17</f>
        <v>166239</v>
      </c>
      <c r="R116" s="201">
        <f ca="1">Q116/'Alberta Electricity Profile'!$C$33</f>
        <v>11.154733946185331</v>
      </c>
      <c r="S116" s="272">
        <f ca="1">P116/'Alberta Electricity Profile'!$D$49</f>
        <v>3.1836061680825476</v>
      </c>
      <c r="T116" s="273">
        <f t="shared" si="30"/>
        <v>347.92166666666662</v>
      </c>
      <c r="U116" s="273">
        <f t="shared" ca="1" si="31"/>
        <v>1052.7460882987361</v>
      </c>
      <c r="V116" s="63">
        <f t="shared" ca="1" si="32"/>
        <v>6.3749861527019149</v>
      </c>
      <c r="W116" s="63">
        <f t="shared" ca="1" si="33"/>
        <v>12749.97230540383</v>
      </c>
    </row>
    <row r="117" spans="2:23">
      <c r="B117" s="192">
        <f t="shared" si="26"/>
        <v>97</v>
      </c>
      <c r="C117" s="184">
        <f t="shared" ca="1" si="19"/>
        <v>83664.5</v>
      </c>
      <c r="D117" s="195">
        <f t="shared" ca="1" si="22"/>
        <v>1.6921911077878666</v>
      </c>
      <c r="E117" s="184">
        <f t="shared" ca="1" si="27"/>
        <v>4433</v>
      </c>
      <c r="F117" s="196">
        <f t="shared" ca="1" si="23"/>
        <v>4.4329999999999998</v>
      </c>
      <c r="G117" s="197">
        <f ca="1">C117/Summary!C$23</f>
        <v>1.1935021398002854</v>
      </c>
      <c r="H117" s="198">
        <f ca="1">H116+('Dev Plan (Wind)'!C116/Summary!C$23)*Summary!C$27</f>
        <v>57108.745202386657</v>
      </c>
      <c r="I117" s="199">
        <f t="shared" si="28"/>
        <v>4822.5166666666628</v>
      </c>
      <c r="J117" s="199">
        <f t="shared" si="29"/>
        <v>28925.885000000071</v>
      </c>
      <c r="K117" s="198">
        <f t="shared" si="20"/>
        <v>33748.40166666673</v>
      </c>
      <c r="L117" s="200">
        <f ca="1">C116*Summary!C$16*Summary!C$17*24*375*1000*C$11</f>
        <v>74807550000</v>
      </c>
      <c r="M117" s="200">
        <f t="shared" ca="1" si="24"/>
        <v>88677550000</v>
      </c>
      <c r="N117" s="184">
        <f t="shared" ca="1" si="25"/>
        <v>3888</v>
      </c>
      <c r="O117" s="201">
        <f t="shared" ca="1" si="21"/>
        <v>11.842104268321872</v>
      </c>
      <c r="P117" s="184">
        <f ca="1">C117*Summary!$C$16</f>
        <v>418322.5</v>
      </c>
      <c r="Q117" s="184">
        <f ca="1">P117*Summary!$C$17</f>
        <v>167329</v>
      </c>
      <c r="R117" s="201">
        <f ca="1">Q117/'Alberta Electricity Profile'!$C$33</f>
        <v>11.227873582500168</v>
      </c>
      <c r="S117" s="272">
        <f ca="1">P117/'Alberta Electricity Profile'!$D$49</f>
        <v>3.2044805159985597</v>
      </c>
      <c r="T117" s="273">
        <f t="shared" si="30"/>
        <v>347.92166666666662</v>
      </c>
      <c r="U117" s="273">
        <f t="shared" ca="1" si="31"/>
        <v>1059.7713230390145</v>
      </c>
      <c r="V117" s="63">
        <f t="shared" ca="1" si="32"/>
        <v>6.3749861527019203</v>
      </c>
      <c r="W117" s="63">
        <f t="shared" ca="1" si="33"/>
        <v>12749.97230540384</v>
      </c>
    </row>
    <row r="118" spans="2:23">
      <c r="B118" s="192">
        <f t="shared" si="26"/>
        <v>98</v>
      </c>
      <c r="C118" s="184">
        <f t="shared" ca="1" si="19"/>
        <v>84204.5</v>
      </c>
      <c r="D118" s="195">
        <f t="shared" ca="1" si="22"/>
        <v>1.7062093379275987</v>
      </c>
      <c r="E118" s="184">
        <f t="shared" ca="1" si="27"/>
        <v>4458</v>
      </c>
      <c r="F118" s="196">
        <f t="shared" ca="1" si="23"/>
        <v>4.4580000000000002</v>
      </c>
      <c r="G118" s="197">
        <f ca="1">C118/Summary!C$23</f>
        <v>1.2012054208273895</v>
      </c>
      <c r="H118" s="198">
        <f ca="1">H117+('Dev Plan (Wind)'!C117/Summary!C$23)*Summary!C$27</f>
        <v>58175.465260332116</v>
      </c>
      <c r="I118" s="199">
        <f t="shared" si="28"/>
        <v>4872.233333333329</v>
      </c>
      <c r="J118" s="199">
        <f t="shared" si="29"/>
        <v>29224.090000000073</v>
      </c>
      <c r="K118" s="198">
        <f t="shared" si="20"/>
        <v>34096.323333333399</v>
      </c>
      <c r="L118" s="200">
        <f ca="1">C117*Summary!C$16*Summary!C$17*24*375*1000*C$11</f>
        <v>75298050000</v>
      </c>
      <c r="M118" s="200">
        <f t="shared" ca="1" si="24"/>
        <v>89168050000</v>
      </c>
      <c r="N118" s="184">
        <f t="shared" ca="1" si="25"/>
        <v>3918</v>
      </c>
      <c r="O118" s="201">
        <f t="shared" ca="1" si="21"/>
        <v>11.940205092872981</v>
      </c>
      <c r="P118" s="184">
        <f ca="1">C118*Summary!$C$16</f>
        <v>421022.5</v>
      </c>
      <c r="Q118" s="184">
        <f ca="1">P118*Summary!$C$17</f>
        <v>168409</v>
      </c>
      <c r="R118" s="201">
        <f ca="1">Q118/'Alberta Electricity Profile'!$C$33</f>
        <v>11.300342212977252</v>
      </c>
      <c r="S118" s="272">
        <f ca="1">P118/'Alberta Electricity Profile'!$D$49</f>
        <v>3.2251633561355262</v>
      </c>
      <c r="T118" s="273">
        <f t="shared" si="30"/>
        <v>347.92166666666662</v>
      </c>
      <c r="U118" s="273">
        <f t="shared" ca="1" si="31"/>
        <v>1066.7200579454584</v>
      </c>
      <c r="V118" s="63">
        <f t="shared" ca="1" si="32"/>
        <v>6.3749861527019132</v>
      </c>
      <c r="W118" s="63">
        <f t="shared" ca="1" si="33"/>
        <v>12749.972305403826</v>
      </c>
    </row>
    <row r="119" spans="2:23">
      <c r="B119" s="192">
        <f t="shared" si="26"/>
        <v>99</v>
      </c>
      <c r="C119" s="184">
        <f t="shared" ca="1" si="19"/>
        <v>84739.5</v>
      </c>
      <c r="D119" s="195">
        <f t="shared" ca="1" si="22"/>
        <v>1.7201442593188607</v>
      </c>
      <c r="E119" s="184">
        <f t="shared" ca="1" si="27"/>
        <v>4482</v>
      </c>
      <c r="F119" s="196">
        <f t="shared" ca="1" si="23"/>
        <v>4.4820000000000002</v>
      </c>
      <c r="G119" s="197">
        <f ca="1">C119/Summary!C$23</f>
        <v>1.2088373751783168</v>
      </c>
      <c r="H119" s="198">
        <f ca="1">H118+('Dev Plan (Wind)'!C118/Summary!C$23)*Summary!C$27</f>
        <v>59249.070303322493</v>
      </c>
      <c r="I119" s="199">
        <f t="shared" si="28"/>
        <v>4921.9499999999953</v>
      </c>
      <c r="J119" s="199">
        <f t="shared" si="29"/>
        <v>29522.295000000075</v>
      </c>
      <c r="K119" s="198">
        <f t="shared" si="20"/>
        <v>34444.245000000068</v>
      </c>
      <c r="L119" s="200">
        <f ca="1">C118*Summary!C$16*Summary!C$17*24*375*1000*C$11</f>
        <v>75784050000</v>
      </c>
      <c r="M119" s="200">
        <f t="shared" ca="1" si="24"/>
        <v>89654050000</v>
      </c>
      <c r="N119" s="184">
        <f t="shared" ca="1" si="25"/>
        <v>3947</v>
      </c>
      <c r="O119" s="201">
        <f t="shared" ca="1" si="21"/>
        <v>12.037722915373489</v>
      </c>
      <c r="P119" s="184">
        <f ca="1">C119*Summary!$C$16</f>
        <v>423697.5</v>
      </c>
      <c r="Q119" s="184">
        <f ca="1">P119*Summary!$C$17</f>
        <v>169479</v>
      </c>
      <c r="R119" s="201">
        <f ca="1">Q119/'Alberta Electricity Profile'!$C$33</f>
        <v>11.372139837616587</v>
      </c>
      <c r="S119" s="272">
        <f ca="1">P119/'Alberta Electricity Profile'!$D$49</f>
        <v>3.2456546884934467</v>
      </c>
      <c r="T119" s="273">
        <f t="shared" si="30"/>
        <v>347.92166666666662</v>
      </c>
      <c r="U119" s="273">
        <f t="shared" ca="1" si="31"/>
        <v>1073.6050429903771</v>
      </c>
      <c r="V119" s="63">
        <f t="shared" ca="1" si="32"/>
        <v>6.3749861527019167</v>
      </c>
      <c r="W119" s="63">
        <f t="shared" ca="1" si="33"/>
        <v>12749.972305403833</v>
      </c>
    </row>
    <row r="120" spans="2:23">
      <c r="B120" s="192">
        <f t="shared" si="26"/>
        <v>100</v>
      </c>
      <c r="C120" s="184">
        <f t="shared" ca="1" si="19"/>
        <v>85268.5</v>
      </c>
      <c r="D120" s="195">
        <f t="shared" ca="1" si="22"/>
        <v>1.7339965389190903</v>
      </c>
      <c r="E120" s="184">
        <f t="shared" ca="1" si="27"/>
        <v>4506</v>
      </c>
      <c r="F120" s="196">
        <f t="shared" ca="1" si="23"/>
        <v>4.5060000000000002</v>
      </c>
      <c r="G120" s="197">
        <f ca="1">C120/Summary!C$23</f>
        <v>1.2163837375178317</v>
      </c>
      <c r="H120" s="198">
        <f ca="1">H119+('Dev Plan (Wind)'!C119/Summary!C$23)*Summary!C$27</f>
        <v>60329.496581496263</v>
      </c>
      <c r="I120" s="199">
        <f t="shared" si="28"/>
        <v>4971.6666666666615</v>
      </c>
      <c r="J120" s="199">
        <f t="shared" si="29"/>
        <v>29820.500000000076</v>
      </c>
      <c r="K120" s="198">
        <f t="shared" si="20"/>
        <v>34792.166666666737</v>
      </c>
      <c r="L120" s="200">
        <f ca="1">C119*Summary!C$16*Summary!C$17*24*375*1000*C$11</f>
        <v>76265550000</v>
      </c>
      <c r="M120" s="200">
        <f t="shared" ca="1" si="24"/>
        <v>90135550000</v>
      </c>
      <c r="N120" s="184">
        <f t="shared" ca="1" si="25"/>
        <v>3977</v>
      </c>
      <c r="O120" s="201">
        <f t="shared" ca="1" si="21"/>
        <v>12.134662403251021</v>
      </c>
      <c r="P120" s="184">
        <f ca="1">C120*Summary!$C$16</f>
        <v>426342.5</v>
      </c>
      <c r="Q120" s="184">
        <f ca="1">P120*Summary!$C$17</f>
        <v>170537</v>
      </c>
      <c r="R120" s="201">
        <f ca="1">Q120/'Alberta Electricity Profile'!$C$33</f>
        <v>11.443132255250621</v>
      </c>
      <c r="S120" s="272">
        <f ca="1">P120/'Alberta Electricity Profile'!$D$49</f>
        <v>3.2659162115165117</v>
      </c>
      <c r="T120" s="273">
        <f t="shared" si="30"/>
        <v>347.92166666666662</v>
      </c>
      <c r="U120" s="273">
        <f t="shared" ca="1" si="31"/>
        <v>1080.4262781737707</v>
      </c>
      <c r="V120" s="63">
        <f t="shared" ca="1" si="32"/>
        <v>6.3749861527019318</v>
      </c>
      <c r="W120" s="63">
        <f t="shared" ca="1" si="33"/>
        <v>12749.972305403864</v>
      </c>
    </row>
    <row r="121" spans="2:23">
      <c r="B121" s="193">
        <f t="shared" si="26"/>
        <v>101</v>
      </c>
      <c r="C121" s="184">
        <f t="shared" ca="1" si="19"/>
        <v>85792.5</v>
      </c>
      <c r="D121" s="195">
        <f t="shared" ca="1" si="22"/>
        <v>1.7477664544388918</v>
      </c>
      <c r="E121" s="184">
        <f t="shared" ca="1" si="27"/>
        <v>4530</v>
      </c>
      <c r="F121" s="196">
        <f t="shared" ca="1" si="23"/>
        <v>4.53</v>
      </c>
      <c r="G121" s="197">
        <f ca="1">C121/Summary!C$23</f>
        <v>1.2238587731811699</v>
      </c>
      <c r="H121" s="198">
        <f ca="1">H120+('Dev Plan (Wind)'!C120/Summary!C$23)*Summary!C$27</f>
        <v>61416.667595019593</v>
      </c>
      <c r="I121" s="199">
        <f t="shared" si="28"/>
        <v>5021.3833333333278</v>
      </c>
      <c r="J121" s="199">
        <f t="shared" si="29"/>
        <v>30118.705000000078</v>
      </c>
      <c r="K121" s="198">
        <f t="shared" si="20"/>
        <v>35140.088333333406</v>
      </c>
      <c r="L121" s="200">
        <f ca="1">C120*Summary!C$16*Summary!C$17*24*375*1000*C$11</f>
        <v>76741650000</v>
      </c>
      <c r="M121" s="200">
        <f t="shared" ca="1" si="24"/>
        <v>90611650000</v>
      </c>
      <c r="N121" s="184">
        <f t="shared" ca="1" si="25"/>
        <v>4006</v>
      </c>
      <c r="O121" s="201">
        <f t="shared" ca="1" si="21"/>
        <v>12.231025499949149</v>
      </c>
      <c r="P121" s="184">
        <f ca="1">C121*Summary!$C$16</f>
        <v>428962.5</v>
      </c>
      <c r="Q121" s="184">
        <f ca="1">P121*Summary!$C$17</f>
        <v>171585</v>
      </c>
      <c r="R121" s="201">
        <f ca="1">Q121/'Alberta Electricity Profile'!$C$33</f>
        <v>11.513453667046903</v>
      </c>
      <c r="S121" s="272">
        <f ca="1">P121/'Alberta Electricity Profile'!$D$49</f>
        <v>3.2859862267605311</v>
      </c>
      <c r="T121" s="273">
        <f t="shared" si="30"/>
        <v>347.92166666666662</v>
      </c>
      <c r="U121" s="273">
        <f t="shared" ca="1" si="31"/>
        <v>1087.1710135233297</v>
      </c>
      <c r="V121" s="63">
        <f t="shared" ca="1" si="32"/>
        <v>6.3749861527019345</v>
      </c>
      <c r="W121" s="63">
        <f t="shared" ca="1" si="33"/>
        <v>12749.97230540387</v>
      </c>
    </row>
    <row r="122" spans="2:23">
      <c r="B122" s="192">
        <f t="shared" si="26"/>
        <v>102</v>
      </c>
      <c r="C122" s="184">
        <f t="shared" ca="1" si="19"/>
        <v>86312.5</v>
      </c>
      <c r="D122" s="195">
        <f t="shared" ca="1" si="22"/>
        <v>1.7614546319737518</v>
      </c>
      <c r="E122" s="184">
        <f t="shared" ca="1" si="27"/>
        <v>4554</v>
      </c>
      <c r="F122" s="196">
        <f t="shared" ca="1" si="23"/>
        <v>4.5540000000000003</v>
      </c>
      <c r="G122" s="197">
        <f ca="1">C122/Summary!C$23</f>
        <v>1.2312767475035664</v>
      </c>
      <c r="H122" s="198">
        <f ca="1">H121+('Dev Plan (Wind)'!C121/Summary!C$23)*Summary!C$27</f>
        <v>62510.519594030957</v>
      </c>
      <c r="I122" s="199">
        <f t="shared" si="28"/>
        <v>5071.099999999994</v>
      </c>
      <c r="J122" s="199">
        <f t="shared" si="29"/>
        <v>30416.91000000008</v>
      </c>
      <c r="K122" s="198">
        <f t="shared" si="20"/>
        <v>35488.010000000075</v>
      </c>
      <c r="L122" s="200">
        <f ca="1">C121*Summary!C$16*Summary!C$17*24*375*1000*C$11</f>
        <v>77213250000</v>
      </c>
      <c r="M122" s="200">
        <f t="shared" ca="1" si="24"/>
        <v>91083250000</v>
      </c>
      <c r="N122" s="184">
        <f t="shared" ca="1" si="25"/>
        <v>4034</v>
      </c>
      <c r="O122" s="201">
        <f t="shared" ca="1" si="21"/>
        <v>12.32681658693992</v>
      </c>
      <c r="P122" s="184">
        <f ca="1">C122*Summary!$C$16</f>
        <v>431562.5</v>
      </c>
      <c r="Q122" s="184">
        <f ca="1">P122*Summary!$C$17</f>
        <v>172625</v>
      </c>
      <c r="R122" s="201">
        <f ca="1">Q122/'Alberta Electricity Profile'!$C$33</f>
        <v>11.583238274172984</v>
      </c>
      <c r="S122" s="272">
        <f ca="1">P122/'Alberta Electricity Profile'!$D$49</f>
        <v>3.3059030357813133</v>
      </c>
      <c r="T122" s="273">
        <f t="shared" si="30"/>
        <v>347.92166666666662</v>
      </c>
      <c r="U122" s="273">
        <f t="shared" ca="1" si="31"/>
        <v>1093.8519990113637</v>
      </c>
      <c r="V122" s="63">
        <f t="shared" ca="1" si="32"/>
        <v>6.3749861527019478</v>
      </c>
      <c r="W122" s="63">
        <f t="shared" ca="1" si="33"/>
        <v>12749.972305403895</v>
      </c>
    </row>
  </sheetData>
  <mergeCells count="3">
    <mergeCell ref="B1:N1"/>
    <mergeCell ref="B6:C6"/>
    <mergeCell ref="V19:W19"/>
  </mergeCells>
  <hyperlinks>
    <hyperlink ref="D7" r:id="rId1"/>
  </hyperlinks>
  <pageMargins left="0.7" right="0.7" top="0.75" bottom="0.75" header="0.3" footer="0.3"/>
  <pageSetup orientation="portrait"/>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64"/>
  <sheetViews>
    <sheetView showGridLines="0" workbookViewId="0">
      <selection activeCell="C4" sqref="C4"/>
    </sheetView>
  </sheetViews>
  <sheetFormatPr baseColWidth="10" defaultColWidth="8.83203125" defaultRowHeight="14" x14ac:dyDescent="0"/>
  <cols>
    <col min="1" max="1" width="4.5" style="98" customWidth="1"/>
    <col min="2" max="2" width="8.83203125" style="98"/>
    <col min="3" max="7" width="18.5" style="98" bestFit="1" customWidth="1"/>
    <col min="8" max="8" width="4.33203125" style="98" customWidth="1"/>
    <col min="9" max="9" width="9.83203125" style="98" customWidth="1"/>
    <col min="10" max="14" width="18.5" style="98" bestFit="1" customWidth="1"/>
    <col min="15" max="16384" width="8.83203125" style="98"/>
  </cols>
  <sheetData>
    <row r="1" spans="2:18" ht="24.75" customHeight="1">
      <c r="B1" s="321" t="s">
        <v>208</v>
      </c>
      <c r="C1" s="321"/>
      <c r="D1" s="321"/>
      <c r="E1" s="321"/>
      <c r="F1" s="321"/>
      <c r="G1" s="321"/>
      <c r="H1" s="321"/>
      <c r="I1" s="321"/>
      <c r="J1" s="321"/>
      <c r="K1" s="321"/>
      <c r="L1" s="321"/>
      <c r="M1" s="321"/>
      <c r="N1" s="321"/>
      <c r="O1" s="258"/>
      <c r="P1" s="258"/>
      <c r="Q1" s="258"/>
      <c r="R1" s="258"/>
    </row>
    <row r="2" spans="2:18">
      <c r="B2" s="99"/>
    </row>
    <row r="3" spans="2:18" ht="15" thickBot="1">
      <c r="B3" s="333" t="s">
        <v>264</v>
      </c>
      <c r="C3" s="333"/>
      <c r="D3" s="333"/>
      <c r="E3" s="333"/>
      <c r="F3" s="333"/>
      <c r="G3" s="333"/>
      <c r="I3" s="333" t="s">
        <v>270</v>
      </c>
      <c r="J3" s="333"/>
      <c r="K3" s="333"/>
      <c r="L3" s="333"/>
      <c r="M3" s="333"/>
      <c r="N3" s="333"/>
    </row>
    <row r="4" spans="2:18" ht="15" thickBot="1">
      <c r="B4" s="267" t="s">
        <v>235</v>
      </c>
      <c r="C4" s="107" t="s">
        <v>265</v>
      </c>
      <c r="D4" s="107" t="s">
        <v>266</v>
      </c>
      <c r="E4" s="107" t="s">
        <v>267</v>
      </c>
      <c r="F4" s="107" t="s">
        <v>268</v>
      </c>
      <c r="G4" s="107" t="s">
        <v>269</v>
      </c>
      <c r="I4" s="267" t="s">
        <v>235</v>
      </c>
      <c r="J4" s="106" t="s">
        <v>265</v>
      </c>
      <c r="K4" s="107" t="s">
        <v>266</v>
      </c>
      <c r="L4" s="107" t="s">
        <v>267</v>
      </c>
      <c r="M4" s="107" t="s">
        <v>268</v>
      </c>
      <c r="N4" s="107" t="s">
        <v>269</v>
      </c>
    </row>
    <row r="5" spans="2:18">
      <c r="B5" s="256">
        <v>1</v>
      </c>
      <c r="C5" s="195">
        <v>0</v>
      </c>
      <c r="D5" s="195">
        <v>0</v>
      </c>
      <c r="E5" s="195">
        <v>0</v>
      </c>
      <c r="F5" s="195">
        <v>0</v>
      </c>
      <c r="G5" s="195">
        <v>0</v>
      </c>
      <c r="I5" s="256">
        <v>1</v>
      </c>
      <c r="J5" s="195">
        <v>0</v>
      </c>
      <c r="K5" s="195">
        <v>0</v>
      </c>
      <c r="L5" s="195">
        <v>0</v>
      </c>
      <c r="M5" s="195">
        <v>0</v>
      </c>
      <c r="N5" s="195">
        <v>0</v>
      </c>
    </row>
    <row r="6" spans="2:18">
      <c r="B6" s="256">
        <f>B5+1</f>
        <v>2</v>
      </c>
      <c r="C6" s="195">
        <v>6.3535176455889802E-3</v>
      </c>
      <c r="D6" s="195">
        <v>9.5302764683834716E-3</v>
      </c>
      <c r="E6" s="195">
        <v>1.270703529117796E-2</v>
      </c>
      <c r="F6" s="195">
        <v>1.5883794113972449E-2</v>
      </c>
      <c r="G6" s="195">
        <v>1.9060552936766943E-2</v>
      </c>
      <c r="I6" s="256">
        <f>I5+1</f>
        <v>2</v>
      </c>
      <c r="J6" s="195">
        <v>6.3535176455889802E-3</v>
      </c>
      <c r="K6" s="195">
        <v>9.5302764683834716E-3</v>
      </c>
      <c r="L6" s="195">
        <v>1.270703529117796E-2</v>
      </c>
      <c r="M6" s="195">
        <v>1.5883794113972449E-2</v>
      </c>
      <c r="N6" s="195">
        <v>1.9060552936766943E-2</v>
      </c>
    </row>
    <row r="7" spans="2:18">
      <c r="B7" s="256">
        <f t="shared" ref="B7:B64" si="0">B6+1</f>
        <v>3</v>
      </c>
      <c r="C7" s="195">
        <v>1.289331963454779E-2</v>
      </c>
      <c r="D7" s="195">
        <v>1.9339979451821684E-2</v>
      </c>
      <c r="E7" s="195">
        <v>2.5786639269095579E-2</v>
      </c>
      <c r="F7" s="195">
        <v>3.2233299086369474E-2</v>
      </c>
      <c r="G7" s="195">
        <v>3.8692174270421723E-2</v>
      </c>
      <c r="I7" s="256">
        <f t="shared" ref="I7:I64" si="1">I6+1</f>
        <v>3</v>
      </c>
      <c r="J7" s="195">
        <v>1.2966611835217882E-2</v>
      </c>
      <c r="K7" s="195">
        <v>1.9449917752826826E-2</v>
      </c>
      <c r="L7" s="195">
        <v>2.5945439037214114E-2</v>
      </c>
      <c r="M7" s="195">
        <v>3.2428744954823056E-2</v>
      </c>
      <c r="N7" s="195">
        <v>3.8912050872431998E-2</v>
      </c>
    </row>
    <row r="8" spans="2:18">
      <c r="B8" s="256">
        <f t="shared" si="0"/>
        <v>4</v>
      </c>
      <c r="C8" s="195">
        <v>1.9626277110689247E-2</v>
      </c>
      <c r="D8" s="195">
        <v>2.943941566603387E-2</v>
      </c>
      <c r="E8" s="195">
        <v>3.9261715746462256E-2</v>
      </c>
      <c r="F8" s="195">
        <v>4.9074854301806886E-2</v>
      </c>
      <c r="G8" s="195">
        <v>5.8906315907319033E-2</v>
      </c>
      <c r="I8" s="256">
        <f t="shared" si="1"/>
        <v>4</v>
      </c>
      <c r="J8" s="195">
        <v>1.9855315237783298E-2</v>
      </c>
      <c r="K8" s="195">
        <v>2.9787553619216828E-2</v>
      </c>
      <c r="L8" s="195">
        <v>3.9738115050817882E-2</v>
      </c>
      <c r="M8" s="195">
        <v>4.9670353432251416E-2</v>
      </c>
      <c r="N8" s="195">
        <v>5.9602591813684949E-2</v>
      </c>
    </row>
    <row r="9" spans="2:18">
      <c r="B9" s="256">
        <f t="shared" si="0"/>
        <v>5</v>
      </c>
      <c r="C9" s="195">
        <v>2.656109352284293E-2</v>
      </c>
      <c r="D9" s="195">
        <v>3.9845304894297905E-2</v>
      </c>
      <c r="E9" s="195">
        <v>5.3144174705886886E-2</v>
      </c>
      <c r="F9" s="195">
        <v>6.6428386077341861E-2</v>
      </c>
      <c r="G9" s="195">
        <v>7.9734585108997863E-2</v>
      </c>
      <c r="I9" s="256">
        <f t="shared" si="1"/>
        <v>5</v>
      </c>
      <c r="J9" s="195">
        <v>2.7037492827198552E-2</v>
      </c>
      <c r="K9" s="195">
        <v>4.0563568460864848E-2</v>
      </c>
      <c r="L9" s="195">
        <v>5.4111631754732159E-2</v>
      </c>
      <c r="M9" s="195">
        <v>6.7645036608465464E-2</v>
      </c>
      <c r="N9" s="195">
        <v>8.1171112242131749E-2</v>
      </c>
    </row>
    <row r="10" spans="2:18">
      <c r="B10" s="256">
        <f t="shared" si="0"/>
        <v>6</v>
      </c>
      <c r="C10" s="195">
        <v>3.3706777704007866E-2</v>
      </c>
      <c r="D10" s="195">
        <v>5.0569328081095564E-2</v>
      </c>
      <c r="E10" s="195">
        <v>6.7444093824961623E-2</v>
      </c>
      <c r="F10" s="195">
        <v>8.4306644202049308E-2</v>
      </c>
      <c r="G10" s="195">
        <v>0.10119362531269371</v>
      </c>
      <c r="I10" s="256">
        <f t="shared" si="1"/>
        <v>6</v>
      </c>
      <c r="J10" s="195">
        <v>3.452520727815727E-2</v>
      </c>
      <c r="K10" s="195">
        <v>5.1796972442319685E-2</v>
      </c>
      <c r="L10" s="195">
        <v>6.9099276023427955E-2</v>
      </c>
      <c r="M10" s="195">
        <v>8.6383256554368709E-2</v>
      </c>
      <c r="N10" s="195">
        <v>0.10366112940192029</v>
      </c>
    </row>
    <row r="11" spans="2:18">
      <c r="B11" s="256">
        <f t="shared" si="0"/>
        <v>7</v>
      </c>
      <c r="C11" s="195">
        <v>4.1072425739802937E-2</v>
      </c>
      <c r="D11" s="195">
        <v>6.1621726502681218E-2</v>
      </c>
      <c r="E11" s="195">
        <v>8.2181497579940935E-2</v>
      </c>
      <c r="F11" s="195">
        <v>0.1027307983428192</v>
      </c>
      <c r="G11" s="195">
        <v>0.12330627489165109</v>
      </c>
      <c r="I11" s="256">
        <f t="shared" si="1"/>
        <v>7</v>
      </c>
      <c r="J11" s="195">
        <v>4.2334098622766728E-2</v>
      </c>
      <c r="K11" s="195">
        <v>6.3511618248531548E-2</v>
      </c>
      <c r="L11" s="195">
        <v>8.4731019131822127E-2</v>
      </c>
      <c r="M11" s="195">
        <v>0.1059242442291591</v>
      </c>
      <c r="N11" s="195">
        <v>0.12711223416930537</v>
      </c>
    </row>
    <row r="12" spans="2:18">
      <c r="B12" s="256">
        <f t="shared" si="0"/>
        <v>8</v>
      </c>
      <c r="C12" s="195">
        <v>4.8662585673037585E-2</v>
      </c>
      <c r="D12" s="195">
        <v>7.3012201559723919E-2</v>
      </c>
      <c r="E12" s="195">
        <v>9.7366398208952112E-2</v>
      </c>
      <c r="F12" s="195">
        <v>0.12171601409563843</v>
      </c>
      <c r="G12" s="195">
        <v>0.14609311455757604</v>
      </c>
      <c r="I12" s="256">
        <f t="shared" si="1"/>
        <v>8</v>
      </c>
      <c r="J12" s="195">
        <v>5.0481148402164347E-2</v>
      </c>
      <c r="K12" s="195">
        <v>7.5733174509601237E-2</v>
      </c>
      <c r="L12" s="195">
        <v>0.10103558900499882</v>
      </c>
      <c r="M12" s="195">
        <v>0.12630593816260322</v>
      </c>
      <c r="N12" s="195">
        <v>0.15157170655766575</v>
      </c>
    </row>
    <row r="13" spans="2:18">
      <c r="B13" s="256">
        <f t="shared" si="0"/>
        <v>9</v>
      </c>
      <c r="C13" s="195">
        <v>5.6483855983087611E-2</v>
      </c>
      <c r="D13" s="195">
        <v>8.4750214708188124E-2</v>
      </c>
      <c r="E13" s="195">
        <v>0.11301657343328864</v>
      </c>
      <c r="F13" s="195">
        <v>0.14128293215838911</v>
      </c>
      <c r="G13" s="195">
        <v>0.16957779340597248</v>
      </c>
      <c r="I13" s="256">
        <f t="shared" si="1"/>
        <v>9</v>
      </c>
      <c r="J13" s="195">
        <v>5.8979862594796997E-2</v>
      </c>
      <c r="K13" s="195">
        <v>8.8484045153436899E-2</v>
      </c>
      <c r="L13" s="195">
        <v>0.11804523275704244</v>
      </c>
      <c r="M13" s="195">
        <v>0.14756977426031292</v>
      </c>
      <c r="N13" s="195">
        <v>0.17709024397465731</v>
      </c>
    </row>
    <row r="14" spans="2:18">
      <c r="B14" s="256">
        <f t="shared" si="0"/>
        <v>10</v>
      </c>
      <c r="C14" s="195">
        <v>6.4543860367612005E-2</v>
      </c>
      <c r="D14" s="195">
        <v>9.6848772041719558E-2</v>
      </c>
      <c r="E14" s="195">
        <v>0.1291500191057936</v>
      </c>
      <c r="F14" s="195">
        <v>0.16145126616986763</v>
      </c>
      <c r="G14" s="195">
        <v>0.19378549472424322</v>
      </c>
      <c r="I14" s="256">
        <f t="shared" si="1"/>
        <v>10</v>
      </c>
      <c r="J14" s="195">
        <v>6.7849338617833349E-2</v>
      </c>
      <c r="K14" s="195">
        <v>0.10178866636688404</v>
      </c>
      <c r="L14" s="195">
        <v>0.13579395709653783</v>
      </c>
      <c r="M14" s="195">
        <v>0.16975893711582307</v>
      </c>
      <c r="N14" s="195">
        <v>0.2037165879150413</v>
      </c>
    </row>
    <row r="15" spans="2:18">
      <c r="B15" s="256">
        <f t="shared" si="0"/>
        <v>11</v>
      </c>
      <c r="C15" s="195">
        <v>7.2854113197909215E-2</v>
      </c>
      <c r="D15" s="195">
        <v>0.10931948162903229</v>
      </c>
      <c r="E15" s="195">
        <v>0.14578151859648852</v>
      </c>
      <c r="F15" s="195">
        <v>0.18224355556394475</v>
      </c>
      <c r="G15" s="195">
        <v>0.21873890716806926</v>
      </c>
      <c r="I15" s="256">
        <f t="shared" si="1"/>
        <v>11</v>
      </c>
      <c r="J15" s="195">
        <v>7.7105060836774805E-2</v>
      </c>
      <c r="K15" s="195">
        <v>0.11567258284166289</v>
      </c>
      <c r="L15" s="195">
        <v>0.15431672851088793</v>
      </c>
      <c r="M15" s="195">
        <v>0.19291756515244424</v>
      </c>
      <c r="N15" s="195">
        <v>0.23150507593933331</v>
      </c>
    </row>
    <row r="16" spans="2:18">
      <c r="B16" s="256">
        <f t="shared" si="0"/>
        <v>12</v>
      </c>
      <c r="C16" s="195">
        <v>8.1422290721511539E-2</v>
      </c>
      <c r="D16" s="195">
        <v>0.12217618986599156</v>
      </c>
      <c r="E16" s="195">
        <v>0.16292703516877696</v>
      </c>
      <c r="F16" s="195">
        <v>0.20367788047156235</v>
      </c>
      <c r="G16" s="195">
        <v>0.24446537187468287</v>
      </c>
      <c r="I16" s="256">
        <f t="shared" si="1"/>
        <v>12</v>
      </c>
      <c r="J16" s="195">
        <v>8.6766513687039429E-2</v>
      </c>
      <c r="K16" s="195">
        <v>0.13016503973903204</v>
      </c>
      <c r="L16" s="195">
        <v>0.17365212720016776</v>
      </c>
      <c r="M16" s="195">
        <v>0.21709035319419001</v>
      </c>
      <c r="N16" s="195">
        <v>0.26051025613804474</v>
      </c>
    </row>
    <row r="17" spans="2:14">
      <c r="B17" s="256">
        <f t="shared" si="0"/>
        <v>13</v>
      </c>
      <c r="C17" s="195">
        <v>9.0256526194428671E-2</v>
      </c>
      <c r="D17" s="195">
        <v>0.13543130164976058</v>
      </c>
      <c r="E17" s="195">
        <v>0.18060607710509249</v>
      </c>
      <c r="F17" s="195">
        <v>0.22577803362962937</v>
      </c>
      <c r="G17" s="195">
        <v>0.27098945518529638</v>
      </c>
      <c r="I17" s="256">
        <f t="shared" si="1"/>
        <v>13</v>
      </c>
      <c r="J17" s="195">
        <v>9.6852824254737374E-2</v>
      </c>
      <c r="K17" s="195">
        <v>0.14529474050147853</v>
      </c>
      <c r="L17" s="195">
        <v>0.1938381382568399</v>
      </c>
      <c r="M17" s="195">
        <v>0.24232797632709616</v>
      </c>
      <c r="N17" s="195">
        <v>0.29079244402019738</v>
      </c>
    </row>
    <row r="18" spans="2:14">
      <c r="B18" s="256">
        <f t="shared" si="0"/>
        <v>14</v>
      </c>
      <c r="C18" s="195">
        <v>9.9365246663834297E-2</v>
      </c>
      <c r="D18" s="195">
        <v>0.14909891277836099</v>
      </c>
      <c r="E18" s="195">
        <v>0.19883519647148307</v>
      </c>
      <c r="F18" s="195">
        <v>0.24856624500741434</v>
      </c>
      <c r="G18" s="195">
        <v>0.29833917480087147</v>
      </c>
      <c r="I18" s="256">
        <f t="shared" si="1"/>
        <v>14</v>
      </c>
      <c r="J18" s="195">
        <v>0.10738550748001917</v>
      </c>
      <c r="K18" s="195">
        <v>0.16109527548089855</v>
      </c>
      <c r="L18" s="195">
        <v>0.2149175993613785</v>
      </c>
      <c r="M18" s="195">
        <v>0.26868233651276047</v>
      </c>
      <c r="N18" s="195">
        <v>0.32241304514240277</v>
      </c>
    </row>
    <row r="19" spans="2:14">
      <c r="B19" s="256">
        <f t="shared" si="0"/>
        <v>15</v>
      </c>
      <c r="C19" s="195">
        <v>0.10875951811103381</v>
      </c>
      <c r="D19" s="195">
        <v>0.16319424631705332</v>
      </c>
      <c r="E19" s="195">
        <v>0.21763386066978413</v>
      </c>
      <c r="F19" s="195">
        <v>0.27206614580244792</v>
      </c>
      <c r="G19" s="195">
        <v>0.32654484932886951</v>
      </c>
      <c r="I19" s="256">
        <f t="shared" si="1"/>
        <v>15</v>
      </c>
      <c r="J19" s="195">
        <v>0.11838522713237319</v>
      </c>
      <c r="K19" s="195">
        <v>0.17759860682208295</v>
      </c>
      <c r="L19" s="195">
        <v>0.23693414017957626</v>
      </c>
      <c r="M19" s="195">
        <v>0.29620615362982211</v>
      </c>
      <c r="N19" s="195">
        <v>0.35543907790637724</v>
      </c>
    </row>
    <row r="20" spans="2:14">
      <c r="B20" s="256">
        <f t="shared" si="0"/>
        <v>16</v>
      </c>
      <c r="C20" s="195">
        <v>0.11844764002200625</v>
      </c>
      <c r="D20" s="195">
        <v>0.17773100994605387</v>
      </c>
      <c r="E20" s="195">
        <v>0.23702125101391427</v>
      </c>
      <c r="F20" s="195">
        <v>0.29630233055669092</v>
      </c>
      <c r="G20" s="195">
        <v>0.35563608886869924</v>
      </c>
      <c r="I20" s="256">
        <f t="shared" si="1"/>
        <v>16</v>
      </c>
      <c r="J20" s="195">
        <v>0.12987664256399947</v>
      </c>
      <c r="K20" s="195">
        <v>0.19483786765870859</v>
      </c>
      <c r="L20" s="195">
        <v>0.25993193486713229</v>
      </c>
      <c r="M20" s="195">
        <v>0.32495729063742773</v>
      </c>
      <c r="N20" s="195">
        <v>0.38993912916357532</v>
      </c>
    </row>
    <row r="21" spans="2:14">
      <c r="B21" s="256">
        <f t="shared" si="0"/>
        <v>17</v>
      </c>
      <c r="C21" s="195">
        <v>0.12844027036842207</v>
      </c>
      <c r="D21" s="195">
        <v>0.19272615296794013</v>
      </c>
      <c r="E21" s="195">
        <v>0.25701850252634084</v>
      </c>
      <c r="F21" s="195">
        <v>0.32130222947289799</v>
      </c>
      <c r="G21" s="195">
        <v>0.38564200339643817</v>
      </c>
      <c r="I21" s="256">
        <f t="shared" si="1"/>
        <v>17</v>
      </c>
      <c r="J21" s="195">
        <v>0.14188292223250218</v>
      </c>
      <c r="K21" s="195">
        <v>0.21284917335780343</v>
      </c>
      <c r="L21" s="195">
        <v>0.28395985323148404</v>
      </c>
      <c r="M21" s="195">
        <v>0.35499508525153356</v>
      </c>
      <c r="N21" s="195">
        <v>0.42598504855940461</v>
      </c>
    </row>
    <row r="22" spans="2:14">
      <c r="B22" s="256">
        <f t="shared" si="0"/>
        <v>18</v>
      </c>
      <c r="C22" s="195">
        <v>0.13874773457826578</v>
      </c>
      <c r="D22" s="195">
        <v>0.20819489406806882</v>
      </c>
      <c r="E22" s="195">
        <v>0.27764816124126096</v>
      </c>
      <c r="F22" s="195">
        <v>0.34709124894213783</v>
      </c>
      <c r="G22" s="195">
        <v>0.41659541347690654</v>
      </c>
      <c r="I22" s="256">
        <f t="shared" si="1"/>
        <v>18</v>
      </c>
      <c r="J22" s="195">
        <v>0.15442819373274036</v>
      </c>
      <c r="K22" s="195">
        <v>0.23167079312159336</v>
      </c>
      <c r="L22" s="195">
        <v>0.30906812048963878</v>
      </c>
      <c r="M22" s="195">
        <v>0.38638401207916184</v>
      </c>
      <c r="N22" s="195">
        <v>0.46365307809603457</v>
      </c>
    </row>
    <row r="23" spans="2:14">
      <c r="B23" s="256">
        <f t="shared" si="0"/>
        <v>19</v>
      </c>
      <c r="C23" s="195">
        <v>0.14938204178945516</v>
      </c>
      <c r="D23" s="195">
        <v>0.22415310548228304</v>
      </c>
      <c r="E23" s="195">
        <v>0.29893188414360244</v>
      </c>
      <c r="F23" s="195">
        <v>0.37369716161006156</v>
      </c>
      <c r="G23" s="195">
        <v>0.44852801630869926</v>
      </c>
      <c r="I23" s="256">
        <f t="shared" si="1"/>
        <v>19</v>
      </c>
      <c r="J23" s="195">
        <v>0.16753922013441019</v>
      </c>
      <c r="K23" s="195">
        <v>0.25134258318876601</v>
      </c>
      <c r="L23" s="195">
        <v>0.33530988932356803</v>
      </c>
      <c r="M23" s="195">
        <v>0.41919040206283975</v>
      </c>
      <c r="N23" s="195">
        <v>0.50302269624903895</v>
      </c>
    </row>
    <row r="24" spans="2:14">
      <c r="B24" s="256">
        <f t="shared" si="0"/>
        <v>20</v>
      </c>
      <c r="C24" s="195">
        <v>0.1603546316173412</v>
      </c>
      <c r="D24" s="195">
        <v>0.24061898191430758</v>
      </c>
      <c r="E24" s="195">
        <v>0.3208924937363577</v>
      </c>
      <c r="F24" s="195">
        <v>0.40114768250824029</v>
      </c>
      <c r="G24" s="195">
        <v>0.48147433117577626</v>
      </c>
      <c r="I24" s="256">
        <f t="shared" si="1"/>
        <v>20</v>
      </c>
      <c r="J24" s="195">
        <v>0.18124474111333555</v>
      </c>
      <c r="K24" s="195">
        <v>0.27190559007535509</v>
      </c>
      <c r="L24" s="195">
        <v>0.36274050801396618</v>
      </c>
      <c r="M24" s="195">
        <v>0.45348381070173954</v>
      </c>
      <c r="N24" s="195">
        <v>0.54417764115406053</v>
      </c>
    </row>
    <row r="25" spans="2:14">
      <c r="B25" s="256">
        <f t="shared" si="0"/>
        <v>21</v>
      </c>
      <c r="C25" s="195">
        <v>0.17167650975531923</v>
      </c>
      <c r="D25" s="195">
        <v>0.25760899746241184</v>
      </c>
      <c r="E25" s="195">
        <v>0.34355195548388584</v>
      </c>
      <c r="F25" s="195">
        <v>0.42947222782420014</v>
      </c>
      <c r="G25" s="195">
        <v>0.51547102752237517</v>
      </c>
      <c r="I25" s="256">
        <f t="shared" si="1"/>
        <v>21</v>
      </c>
      <c r="J25" s="195">
        <v>0.19557500233096151</v>
      </c>
      <c r="K25" s="195">
        <v>0.29340525728016642</v>
      </c>
      <c r="L25" s="195">
        <v>0.39142048778344357</v>
      </c>
      <c r="M25" s="195">
        <v>0.48933799535249384</v>
      </c>
      <c r="N25" s="195">
        <v>0.58720664145443069</v>
      </c>
    </row>
    <row r="26" spans="2:14">
      <c r="B26" s="256">
        <f t="shared" si="0"/>
        <v>22</v>
      </c>
      <c r="C26" s="195">
        <v>0.18336001232528856</v>
      </c>
      <c r="D26" s="195">
        <v>0.27514162812977094</v>
      </c>
      <c r="E26" s="195">
        <v>0.36693490405708717</v>
      </c>
      <c r="F26" s="195">
        <v>0.45870152827506888</v>
      </c>
      <c r="G26" s="195">
        <v>0.55055477054838786</v>
      </c>
      <c r="I26" s="256">
        <f t="shared" si="1"/>
        <v>22</v>
      </c>
      <c r="J26" s="195">
        <v>0.20998215491982616</v>
      </c>
      <c r="K26" s="195">
        <v>0.31502070573699142</v>
      </c>
      <c r="L26" s="195">
        <v>0.42025581291049924</v>
      </c>
      <c r="M26" s="195">
        <v>0.52538597897850214</v>
      </c>
      <c r="N26" s="195">
        <v>0.63046950455516948</v>
      </c>
    </row>
    <row r="27" spans="2:14">
      <c r="B27" s="256">
        <f t="shared" si="0"/>
        <v>23</v>
      </c>
      <c r="C27" s="195">
        <v>0.19541851665406479</v>
      </c>
      <c r="D27" s="195">
        <v>0.2932369166277472</v>
      </c>
      <c r="E27" s="195">
        <v>0.39106806307111136</v>
      </c>
      <c r="F27" s="195">
        <v>0.48886734334027121</v>
      </c>
      <c r="G27" s="195">
        <v>0.58676381544075429</v>
      </c>
      <c r="I27" s="256">
        <f t="shared" si="1"/>
        <v>23</v>
      </c>
      <c r="J27" s="195">
        <v>0.22450516381347677</v>
      </c>
      <c r="K27" s="195">
        <v>0.33681191821636264</v>
      </c>
      <c r="L27" s="195">
        <v>0.44932261613415653</v>
      </c>
      <c r="M27" s="195">
        <v>0.56172496905965552</v>
      </c>
      <c r="N27" s="195">
        <v>0.67408111603255805</v>
      </c>
    </row>
    <row r="28" spans="2:14">
      <c r="B28" s="256">
        <f t="shared" si="0"/>
        <v>24</v>
      </c>
      <c r="C28" s="195">
        <v>0.20786469743484151</v>
      </c>
      <c r="D28" s="195">
        <v>0.31191461905750389</v>
      </c>
      <c r="E28" s="195">
        <v>0.41597675604694456</v>
      </c>
      <c r="F28" s="195">
        <v>0.52000377385689756</v>
      </c>
      <c r="G28" s="195">
        <v>0.62413614920531368</v>
      </c>
      <c r="I28" s="256">
        <f t="shared" si="1"/>
        <v>24</v>
      </c>
      <c r="J28" s="195">
        <v>0.23917688152008124</v>
      </c>
      <c r="K28" s="195">
        <v>0.35882716257443725</v>
      </c>
      <c r="L28" s="195">
        <v>0.47868815870571974</v>
      </c>
      <c r="M28" s="195">
        <v>0.59843616269430255</v>
      </c>
      <c r="N28" s="195">
        <v>0.71813988597831369</v>
      </c>
    </row>
    <row r="29" spans="2:14">
      <c r="B29" s="256">
        <f t="shared" si="0"/>
        <v>25</v>
      </c>
      <c r="C29" s="195">
        <v>0.22071213309792811</v>
      </c>
      <c r="D29" s="195">
        <v>0.33119426223204473</v>
      </c>
      <c r="E29" s="195">
        <v>0.44168811811826852</v>
      </c>
      <c r="F29" s="195">
        <v>0.55214386206014388</v>
      </c>
      <c r="G29" s="195">
        <v>0.66271394183506449</v>
      </c>
      <c r="I29" s="256">
        <f t="shared" si="1"/>
        <v>25</v>
      </c>
      <c r="J29" s="195">
        <v>0.25402636999051387</v>
      </c>
      <c r="K29" s="195">
        <v>0.38110844965440072</v>
      </c>
      <c r="L29" s="195">
        <v>0.50840894007628445</v>
      </c>
      <c r="M29" s="195">
        <v>0.63559069713308258</v>
      </c>
      <c r="N29" s="195">
        <v>0.76272994471349198</v>
      </c>
    </row>
    <row r="30" spans="2:14">
      <c r="B30" s="256">
        <f t="shared" si="0"/>
        <v>26</v>
      </c>
      <c r="C30" s="195">
        <v>0.23397513201515066</v>
      </c>
      <c r="D30" s="195">
        <v>0.35109800670088614</v>
      </c>
      <c r="E30" s="195">
        <v>0.4682307476444042</v>
      </c>
      <c r="F30" s="195">
        <v>0.58532402355679214</v>
      </c>
      <c r="G30" s="195">
        <v>0.70253851349336505</v>
      </c>
      <c r="I30" s="256">
        <f t="shared" si="1"/>
        <v>26</v>
      </c>
      <c r="J30" s="195">
        <v>0.26907822010628385</v>
      </c>
      <c r="K30" s="195">
        <v>0.40369273655819216</v>
      </c>
      <c r="L30" s="195">
        <v>0.53853276747370071</v>
      </c>
      <c r="M30" s="195">
        <v>0.67325017489962657</v>
      </c>
      <c r="N30" s="195">
        <v>0.80792529836362736</v>
      </c>
    </row>
    <row r="31" spans="2:14">
      <c r="B31" s="256">
        <f t="shared" si="0"/>
        <v>27</v>
      </c>
      <c r="C31" s="195">
        <v>0.24766859732549693</v>
      </c>
      <c r="D31" s="195">
        <v>0.37164744449512249</v>
      </c>
      <c r="E31" s="195">
        <v>0.49563443524260031</v>
      </c>
      <c r="F31" s="195">
        <v>0.619580708100817</v>
      </c>
      <c r="G31" s="195">
        <v>0.74365456367871841</v>
      </c>
      <c r="I31" s="256">
        <f t="shared" si="1"/>
        <v>27</v>
      </c>
      <c r="J31" s="195">
        <v>0.28435337965534335</v>
      </c>
      <c r="K31" s="195">
        <v>0.4266115052615374</v>
      </c>
      <c r="L31" s="195">
        <v>0.56910172283652005</v>
      </c>
      <c r="M31" s="195">
        <v>0.71146707221776839</v>
      </c>
      <c r="N31" s="195">
        <v>0.8537903464467802</v>
      </c>
    </row>
    <row r="32" spans="2:14">
      <c r="B32" s="256">
        <f t="shared" si="0"/>
        <v>28</v>
      </c>
      <c r="C32" s="195">
        <v>0.26180792072669457</v>
      </c>
      <c r="D32" s="195">
        <v>0.3928650094378705</v>
      </c>
      <c r="E32" s="195">
        <v>0.52392995088483241</v>
      </c>
      <c r="F32" s="195">
        <v>0.6549517022849709</v>
      </c>
      <c r="G32" s="195">
        <v>0.78610825898277048</v>
      </c>
      <c r="I32" s="256">
        <f t="shared" si="1"/>
        <v>28</v>
      </c>
      <c r="J32" s="195">
        <v>0.29986980388450857</v>
      </c>
      <c r="K32" s="195">
        <v>0.44989174031505869</v>
      </c>
      <c r="L32" s="195">
        <v>0.60015449397638188</v>
      </c>
      <c r="M32" s="195">
        <v>0.75028898628653229</v>
      </c>
      <c r="N32" s="195">
        <v>0.90038159733915712</v>
      </c>
    </row>
    <row r="33" spans="2:14">
      <c r="B33" s="256">
        <f t="shared" si="0"/>
        <v>29</v>
      </c>
      <c r="C33" s="195">
        <v>0.27640889824094583</v>
      </c>
      <c r="D33" s="195">
        <v>0.41477509566634596</v>
      </c>
      <c r="E33" s="195">
        <v>0.55314887504353938</v>
      </c>
      <c r="F33" s="195">
        <v>0.69147589905133988</v>
      </c>
      <c r="G33" s="195">
        <v>0.829946980143216</v>
      </c>
      <c r="I33" s="256">
        <f t="shared" si="1"/>
        <v>29</v>
      </c>
      <c r="J33" s="195">
        <v>0.31564423511346024</v>
      </c>
      <c r="K33" s="195">
        <v>0.47355923157966029</v>
      </c>
      <c r="L33" s="195">
        <v>0.63172316879641199</v>
      </c>
      <c r="M33" s="195">
        <v>0.78975568551541042</v>
      </c>
      <c r="N33" s="195">
        <v>0.9477465014995452</v>
      </c>
    </row>
    <row r="34" spans="2:14">
      <c r="B34" s="256">
        <f t="shared" si="0"/>
        <v>30</v>
      </c>
      <c r="C34" s="195">
        <v>0.29148766282751493</v>
      </c>
      <c r="D34" s="195">
        <v>0.4374012878394915</v>
      </c>
      <c r="E34" s="195">
        <v>0.58332346360821286</v>
      </c>
      <c r="F34" s="195">
        <v>0.72919433483646512</v>
      </c>
      <c r="G34" s="195">
        <v>0.87521911968612454</v>
      </c>
      <c r="I34" s="256">
        <f t="shared" si="1"/>
        <v>30</v>
      </c>
      <c r="J34" s="195">
        <v>0.33168996181591037</v>
      </c>
      <c r="K34" s="195">
        <v>0.49763510873144806</v>
      </c>
      <c r="L34" s="195">
        <v>0.66383677834933097</v>
      </c>
      <c r="M34" s="195">
        <v>0.82990285739597414</v>
      </c>
      <c r="N34" s="195">
        <v>0.99592862573224905</v>
      </c>
    </row>
    <row r="35" spans="2:14">
      <c r="B35" s="256">
        <f t="shared" si="0"/>
        <v>31</v>
      </c>
      <c r="C35" s="195">
        <v>0.30706063003804074</v>
      </c>
      <c r="D35" s="195">
        <v>0.46076885596352646</v>
      </c>
      <c r="E35" s="195">
        <v>0.61448772107943184</v>
      </c>
      <c r="F35" s="195">
        <v>0.76814984384643159</v>
      </c>
      <c r="G35" s="195">
        <v>0.92197628299880441</v>
      </c>
      <c r="I35" s="256">
        <f t="shared" si="1"/>
        <v>31</v>
      </c>
      <c r="J35" s="195">
        <v>0.34801973995607055</v>
      </c>
      <c r="K35" s="195">
        <v>0.52213777503670777</v>
      </c>
      <c r="L35" s="195">
        <v>0.69651942561330338</v>
      </c>
      <c r="M35" s="195">
        <v>0.87076158458217201</v>
      </c>
      <c r="N35" s="195">
        <v>1.044964733186168</v>
      </c>
    </row>
    <row r="36" spans="2:14">
      <c r="B36" s="256">
        <f t="shared" si="0"/>
        <v>32</v>
      </c>
      <c r="C36" s="195">
        <v>0.32314559905211354</v>
      </c>
      <c r="D36" s="195">
        <v>0.48490449205643432</v>
      </c>
      <c r="E36" s="195">
        <v>0.64667712734838056</v>
      </c>
      <c r="F36" s="195">
        <v>0.80838677715537599</v>
      </c>
      <c r="G36" s="195">
        <v>0.97027049593896286</v>
      </c>
      <c r="I36" s="256">
        <f t="shared" si="1"/>
        <v>32</v>
      </c>
      <c r="J36" s="195">
        <v>0.36464473100262607</v>
      </c>
      <c r="K36" s="195">
        <v>0.54708333335343939</v>
      </c>
      <c r="L36" s="195">
        <v>0.72979220069422357</v>
      </c>
      <c r="M36" s="195">
        <v>0.9123590643962094</v>
      </c>
      <c r="N36" s="195">
        <v>1.0948869916165895</v>
      </c>
    </row>
    <row r="37" spans="2:14">
      <c r="B37" s="256">
        <f t="shared" si="0"/>
        <v>33</v>
      </c>
      <c r="C37" s="195">
        <v>0.33976043254878768</v>
      </c>
      <c r="D37" s="195">
        <v>0.50983609469163527</v>
      </c>
      <c r="E37" s="195">
        <v>0.67992730366492782</v>
      </c>
      <c r="F37" s="195">
        <v>0.84995077287699494</v>
      </c>
      <c r="G37" s="195">
        <v>1.0201574725907374</v>
      </c>
      <c r="I37" s="256">
        <f t="shared" si="1"/>
        <v>33</v>
      </c>
      <c r="J37" s="195">
        <v>0.38157363303107794</v>
      </c>
      <c r="K37" s="195">
        <v>0.5724859346780673</v>
      </c>
      <c r="L37" s="195">
        <v>0.76367363732151394</v>
      </c>
      <c r="M37" s="195">
        <v>0.95471697653939813</v>
      </c>
      <c r="N37" s="195">
        <v>1.1457225591690585</v>
      </c>
    </row>
    <row r="38" spans="2:14">
      <c r="B38" s="256">
        <f t="shared" si="0"/>
        <v>34</v>
      </c>
      <c r="C38" s="195">
        <v>0.35692412519490541</v>
      </c>
      <c r="D38" s="195">
        <v>0.53559151373688252</v>
      </c>
      <c r="E38" s="195">
        <v>0.71427614750254664</v>
      </c>
      <c r="F38" s="195">
        <v>0.89288856689402085</v>
      </c>
      <c r="G38" s="195">
        <v>1.0716939172254945</v>
      </c>
      <c r="I38" s="256">
        <f t="shared" si="1"/>
        <v>34</v>
      </c>
      <c r="J38" s="195">
        <v>0.39881412081392725</v>
      </c>
      <c r="K38" s="195">
        <v>0.59835483170446579</v>
      </c>
      <c r="L38" s="195">
        <v>0.79817793313288032</v>
      </c>
      <c r="M38" s="195">
        <v>0.99785337233347404</v>
      </c>
      <c r="N38" s="195">
        <v>1.1974932432602132</v>
      </c>
    </row>
    <row r="39" spans="2:14">
      <c r="B39" s="256">
        <f t="shared" si="0"/>
        <v>35</v>
      </c>
      <c r="C39" s="195">
        <v>0.37465664193255555</v>
      </c>
      <c r="D39" s="195">
        <v>0.56220065137509123</v>
      </c>
      <c r="E39" s="195">
        <v>0.74976350738351327</v>
      </c>
      <c r="F39" s="195">
        <v>0.93724993009695057</v>
      </c>
      <c r="G39" s="195">
        <v>1.1249384298779499</v>
      </c>
      <c r="I39" s="256">
        <f t="shared" si="1"/>
        <v>35</v>
      </c>
      <c r="J39" s="195">
        <v>0.41637194497537938</v>
      </c>
      <c r="K39" s="195">
        <v>0.62469926670721865</v>
      </c>
      <c r="L39" s="195">
        <v>0.83331661614742381</v>
      </c>
      <c r="M39" s="195">
        <v>1.0417831930605359</v>
      </c>
      <c r="N39" s="195">
        <v>1.2502152179361896</v>
      </c>
    </row>
    <row r="40" spans="2:14">
      <c r="B40" s="256">
        <f t="shared" si="0"/>
        <v>36</v>
      </c>
      <c r="C40" s="195">
        <v>0.39297878321862284</v>
      </c>
      <c r="D40" s="195">
        <v>0.589694159113334</v>
      </c>
      <c r="E40" s="195">
        <v>0.78642989395267549</v>
      </c>
      <c r="F40" s="195">
        <v>0.98308521096072587</v>
      </c>
      <c r="G40" s="195">
        <v>1.1799522609929347</v>
      </c>
      <c r="I40" s="256">
        <f t="shared" si="1"/>
        <v>36</v>
      </c>
      <c r="J40" s="195">
        <v>0.43425018128693188</v>
      </c>
      <c r="K40" s="195">
        <v>0.65152541914704842</v>
      </c>
      <c r="L40" s="195">
        <v>0.86909789759877143</v>
      </c>
      <c r="M40" s="195">
        <v>1.0865166660185335</v>
      </c>
      <c r="N40" s="195">
        <v>1.3039018421796549</v>
      </c>
    </row>
    <row r="41" spans="2:14">
      <c r="B41" s="256">
        <f t="shared" si="0"/>
        <v>37</v>
      </c>
      <c r="C41" s="195">
        <v>0.41191108168223894</v>
      </c>
      <c r="D41" s="195">
        <v>0.61810333652282023</v>
      </c>
      <c r="E41" s="195">
        <v>0.8243183713717176</v>
      </c>
      <c r="F41" s="195">
        <v>1.0304482287982144</v>
      </c>
      <c r="G41" s="195">
        <v>1.236798953261866</v>
      </c>
      <c r="I41" s="256">
        <f t="shared" si="1"/>
        <v>37</v>
      </c>
      <c r="J41" s="195">
        <v>0.45245256343938872</v>
      </c>
      <c r="K41" s="195">
        <v>0.67883780999972565</v>
      </c>
      <c r="L41" s="195">
        <v>0.90552712014932912</v>
      </c>
      <c r="M41" s="195">
        <v>1.1320609319812946</v>
      </c>
      <c r="N41" s="195">
        <v>1.3585610690183576</v>
      </c>
    </row>
    <row r="42" spans="2:14">
      <c r="B42" s="256">
        <f t="shared" si="0"/>
        <v>38</v>
      </c>
      <c r="C42" s="195">
        <v>0.43147576610739885</v>
      </c>
      <c r="D42" s="195">
        <v>0.64746197470942146</v>
      </c>
      <c r="E42" s="195">
        <v>0.86347229258798019</v>
      </c>
      <c r="F42" s="195">
        <v>1.0793929239578239</v>
      </c>
      <c r="G42" s="195">
        <v>1.2955440400113543</v>
      </c>
      <c r="I42" s="256">
        <f t="shared" si="1"/>
        <v>38</v>
      </c>
      <c r="J42" s="195">
        <v>0.47098050336134661</v>
      </c>
      <c r="K42" s="195">
        <v>0.70663759123565051</v>
      </c>
      <c r="L42" s="195">
        <v>0.9426061709628023</v>
      </c>
      <c r="M42" s="195">
        <v>1.1784175582069381</v>
      </c>
      <c r="N42" s="195">
        <v>1.4141951924639229</v>
      </c>
    </row>
    <row r="43" spans="2:14">
      <c r="B43" s="256">
        <f t="shared" si="0"/>
        <v>39</v>
      </c>
      <c r="C43" s="195">
        <v>0.45169560433361106</v>
      </c>
      <c r="D43" s="195">
        <v>0.67780415759895463</v>
      </c>
      <c r="E43" s="195">
        <v>0.90393714159785465</v>
      </c>
      <c r="F43" s="195">
        <v>1.1299771008805193</v>
      </c>
      <c r="G43" s="195">
        <v>1.3562566692807596</v>
      </c>
      <c r="I43" s="256">
        <f t="shared" si="1"/>
        <v>39</v>
      </c>
      <c r="J43" s="195">
        <v>0.48983244923741748</v>
      </c>
      <c r="K43" s="195">
        <v>0.73492391738721563</v>
      </c>
      <c r="L43" s="195">
        <v>0.98033392471684921</v>
      </c>
      <c r="M43" s="195">
        <v>1.225585132278364</v>
      </c>
      <c r="N43" s="195">
        <v>1.470802512670339</v>
      </c>
    </row>
    <row r="44" spans="2:14">
      <c r="B44" s="256">
        <f t="shared" si="0"/>
        <v>40</v>
      </c>
      <c r="C44" s="195">
        <v>0.47259383587395837</v>
      </c>
      <c r="D44" s="195">
        <v>0.70916514148719634</v>
      </c>
      <c r="E44" s="195">
        <v>0.94576026706565208</v>
      </c>
      <c r="F44" s="195">
        <v>1.1822591966307279</v>
      </c>
      <c r="G44" s="195">
        <v>1.4190073196780824</v>
      </c>
      <c r="I44" s="256">
        <f t="shared" si="1"/>
        <v>40</v>
      </c>
      <c r="J44" s="195">
        <v>0.50900608828124394</v>
      </c>
      <c r="K44" s="195">
        <v>0.76369327907604945</v>
      </c>
      <c r="L44" s="195">
        <v>1.0187057040113288</v>
      </c>
      <c r="M44" s="195">
        <v>1.2735578022576417</v>
      </c>
      <c r="N44" s="195">
        <v>1.528375086708637</v>
      </c>
    </row>
    <row r="45" spans="2:14">
      <c r="B45" s="256">
        <f t="shared" si="0"/>
        <v>41</v>
      </c>
      <c r="C45" s="195">
        <v>0.49419500820125545</v>
      </c>
      <c r="D45" s="195">
        <v>0.74158121206793748</v>
      </c>
      <c r="E45" s="195">
        <v>0.98899065492507587</v>
      </c>
      <c r="F45" s="195">
        <v>1.2363008851691117</v>
      </c>
      <c r="G45" s="195">
        <v>1.4838694257301435</v>
      </c>
      <c r="I45" s="256">
        <f t="shared" si="1"/>
        <v>41</v>
      </c>
      <c r="J45" s="195">
        <v>0.52849665192218631</v>
      </c>
      <c r="K45" s="195">
        <v>0.79293804026553227</v>
      </c>
      <c r="L45" s="195">
        <v>1.0577119249338698</v>
      </c>
      <c r="M45" s="195">
        <v>1.3223240304763373</v>
      </c>
      <c r="N45" s="195">
        <v>1.5868994899184703</v>
      </c>
    </row>
    <row r="46" spans="2:14">
      <c r="B46" s="256">
        <f t="shared" si="0"/>
        <v>42</v>
      </c>
      <c r="C46" s="195">
        <v>0.51652482103855724</v>
      </c>
      <c r="D46" s="195">
        <v>0.77509043441179848</v>
      </c>
      <c r="E46" s="195">
        <v>1.0336796059923981</v>
      </c>
      <c r="F46" s="195">
        <v>1.2921658194815797</v>
      </c>
      <c r="G46" s="195">
        <v>1.5509198985136867</v>
      </c>
      <c r="I46" s="256">
        <f t="shared" si="1"/>
        <v>42</v>
      </c>
      <c r="J46" s="195">
        <v>0.54829808068679253</v>
      </c>
      <c r="K46" s="195">
        <v>0.82264954710823002</v>
      </c>
      <c r="L46" s="195">
        <v>1.0973404262208661</v>
      </c>
      <c r="M46" s="195">
        <v>1.3718681429343909</v>
      </c>
      <c r="N46" s="195">
        <v>1.6463565959689859</v>
      </c>
    </row>
    <row r="47" spans="2:14">
      <c r="B47" s="256">
        <f t="shared" si="0"/>
        <v>43</v>
      </c>
      <c r="C47" s="195">
        <v>0.53960999237657226</v>
      </c>
      <c r="D47" s="195">
        <v>0.80973244606194694</v>
      </c>
      <c r="E47" s="195">
        <v>1.0798796145591756</v>
      </c>
      <c r="F47" s="195">
        <v>1.3499202536949648</v>
      </c>
      <c r="G47" s="195">
        <v>1.6202378691704957</v>
      </c>
      <c r="I47" s="256">
        <f t="shared" si="1"/>
        <v>43</v>
      </c>
      <c r="J47" s="195">
        <v>0.56842107123649843</v>
      </c>
      <c r="K47" s="195">
        <v>0.85284210887295131</v>
      </c>
      <c r="L47" s="195">
        <v>1.1376117105800332</v>
      </c>
      <c r="M47" s="195">
        <v>1.4222151264832694</v>
      </c>
      <c r="N47" s="195">
        <v>1.7067776351117139</v>
      </c>
    </row>
    <row r="48" spans="2:14">
      <c r="B48" s="256">
        <f t="shared" si="0"/>
        <v>44</v>
      </c>
      <c r="C48" s="195">
        <v>0.56347730989551326</v>
      </c>
      <c r="D48" s="195">
        <v>0.84554911120995213</v>
      </c>
      <c r="E48" s="195">
        <v>1.1276458985018922</v>
      </c>
      <c r="F48" s="195">
        <v>1.409632747492827</v>
      </c>
      <c r="G48" s="195">
        <v>1.6919052694931918</v>
      </c>
      <c r="I48" s="256">
        <f t="shared" si="1"/>
        <v>44</v>
      </c>
      <c r="J48" s="195">
        <v>0.58887451494305632</v>
      </c>
      <c r="K48" s="195">
        <v>0.88353039971771974</v>
      </c>
      <c r="L48" s="195">
        <v>1.1785435839706502</v>
      </c>
      <c r="M48" s="195">
        <v>1.4733893621743219</v>
      </c>
      <c r="N48" s="195">
        <v>1.7681909984844093</v>
      </c>
    </row>
    <row r="49" spans="2:14">
      <c r="B49" s="256">
        <f t="shared" si="0"/>
        <v>45</v>
      </c>
      <c r="C49" s="195">
        <v>0.58815525193738882</v>
      </c>
      <c r="D49" s="195">
        <v>0.88258264457483682</v>
      </c>
      <c r="E49" s="195">
        <v>1.1770352823036263</v>
      </c>
      <c r="F49" s="195">
        <v>1.4713739099424847</v>
      </c>
      <c r="G49" s="195">
        <v>1.7660081494573792</v>
      </c>
      <c r="I49" s="256">
        <f t="shared" si="1"/>
        <v>45</v>
      </c>
      <c r="J49" s="195">
        <v>0.60966732719184791</v>
      </c>
      <c r="K49" s="195">
        <v>0.91472778943095656</v>
      </c>
      <c r="L49" s="195">
        <v>1.220154712673416</v>
      </c>
      <c r="M49" s="195">
        <v>1.5254122494965481</v>
      </c>
      <c r="N49" s="195">
        <v>1.8306233679259236</v>
      </c>
    </row>
    <row r="50" spans="2:14">
      <c r="B50" s="256">
        <f t="shared" si="0"/>
        <v>46</v>
      </c>
      <c r="C50" s="195">
        <v>0.61367380373841729</v>
      </c>
      <c r="D50" s="195">
        <v>0.92087716661097663</v>
      </c>
      <c r="E50" s="195">
        <v>1.2281068190772542</v>
      </c>
      <c r="F50" s="195">
        <v>1.5352177700446208</v>
      </c>
      <c r="G50" s="195">
        <v>1.8426346362843491</v>
      </c>
      <c r="I50" s="256">
        <f t="shared" si="1"/>
        <v>46</v>
      </c>
      <c r="J50" s="195">
        <v>0.63080764811735202</v>
      </c>
      <c r="K50" s="195">
        <v>0.94644728186514038</v>
      </c>
      <c r="L50" s="195">
        <v>1.262462139814186</v>
      </c>
      <c r="M50" s="195">
        <v>1.5783057170768819</v>
      </c>
      <c r="N50" s="195">
        <v>1.8940999017695623</v>
      </c>
    </row>
    <row r="51" spans="2:14">
      <c r="B51" s="256">
        <f t="shared" si="0"/>
        <v>47</v>
      </c>
      <c r="C51" s="195">
        <v>0.64006351741686951</v>
      </c>
      <c r="D51" s="195">
        <v>0.96047928047455999</v>
      </c>
      <c r="E51" s="195">
        <v>1.2809215534771736</v>
      </c>
      <c r="F51" s="195">
        <v>1.6012406332063205</v>
      </c>
      <c r="G51" s="195">
        <v>1.9218770525702831</v>
      </c>
      <c r="I51" s="256">
        <f t="shared" si="1"/>
        <v>47</v>
      </c>
      <c r="J51" s="195">
        <v>0.65230370478090749</v>
      </c>
      <c r="K51" s="195">
        <v>0.97870155386616342</v>
      </c>
      <c r="L51" s="195">
        <v>1.3054822377442818</v>
      </c>
      <c r="M51" s="195">
        <v>1.6320906069803984</v>
      </c>
      <c r="N51" s="195">
        <v>1.9586459563266692</v>
      </c>
    </row>
    <row r="52" spans="2:14">
      <c r="B52" s="256">
        <f t="shared" si="0"/>
        <v>48</v>
      </c>
      <c r="C52" s="195">
        <v>0.66735621638327869</v>
      </c>
      <c r="D52" s="195">
        <v>1.0014362864879682</v>
      </c>
      <c r="E52" s="195">
        <v>1.335543077707485</v>
      </c>
      <c r="F52" s="195">
        <v>1.6695223710362532</v>
      </c>
      <c r="G52" s="195">
        <v>2.0038307158076125</v>
      </c>
      <c r="I52" s="256">
        <f t="shared" si="1"/>
        <v>48</v>
      </c>
      <c r="J52" s="195">
        <v>0.67416380211583227</v>
      </c>
      <c r="K52" s="195">
        <v>1.0115022258760937</v>
      </c>
      <c r="L52" s="195">
        <v>1.3492300144524154</v>
      </c>
      <c r="M52" s="195">
        <v>1.6867860244334159</v>
      </c>
      <c r="N52" s="195">
        <v>2.0242840114222198</v>
      </c>
    </row>
    <row r="53" spans="2:14">
      <c r="B53" s="256">
        <f t="shared" si="0"/>
        <v>49</v>
      </c>
      <c r="C53" s="195">
        <v>0.69558486561673971</v>
      </c>
      <c r="D53" s="195">
        <v>1.0437976067595647</v>
      </c>
      <c r="E53" s="195">
        <v>1.3920372715679419</v>
      </c>
      <c r="F53" s="195">
        <v>1.7401453095669526</v>
      </c>
      <c r="G53" s="195">
        <v>2.0885943806629585</v>
      </c>
      <c r="I53" s="256">
        <f t="shared" si="1"/>
        <v>49</v>
      </c>
      <c r="J53" s="195">
        <v>0.69639556710170347</v>
      </c>
      <c r="K53" s="195">
        <v>1.0448599697294825</v>
      </c>
      <c r="L53" s="195">
        <v>1.3937207485445595</v>
      </c>
      <c r="M53" s="195">
        <v>1.7424110108111379</v>
      </c>
      <c r="N53" s="195">
        <v>2.091036955432231</v>
      </c>
    </row>
    <row r="54" spans="2:14">
      <c r="B54" s="256">
        <f t="shared" si="0"/>
        <v>50</v>
      </c>
      <c r="C54" s="195">
        <v>0.72478345750805406</v>
      </c>
      <c r="D54" s="195">
        <v>1.0876145730050983</v>
      </c>
      <c r="E54" s="195">
        <v>1.4504728066163906</v>
      </c>
      <c r="F54" s="195">
        <v>1.8131954496564431</v>
      </c>
      <c r="G54" s="195">
        <v>2.176271361103725</v>
      </c>
      <c r="I54" s="256">
        <f t="shared" si="1"/>
        <v>50</v>
      </c>
      <c r="J54" s="195">
        <v>0.71900601655973262</v>
      </c>
      <c r="K54" s="195">
        <v>1.0787860693581317</v>
      </c>
      <c r="L54" s="195">
        <v>1.4389684963382101</v>
      </c>
      <c r="M54" s="195">
        <v>1.7989830841787533</v>
      </c>
      <c r="N54" s="195">
        <v>2.1589265785846474</v>
      </c>
    </row>
    <row r="55" spans="2:14">
      <c r="B55" s="256">
        <f t="shared" si="0"/>
        <v>51</v>
      </c>
      <c r="C55" s="195">
        <v>0.75498762968407751</v>
      </c>
      <c r="D55" s="195">
        <v>1.1329409578822782</v>
      </c>
      <c r="E55" s="195">
        <v>1.5109208724669967</v>
      </c>
      <c r="F55" s="195">
        <v>1.8887613881602447</v>
      </c>
      <c r="G55" s="195">
        <v>2.2669683648568428</v>
      </c>
      <c r="I55" s="256">
        <f t="shared" si="1"/>
        <v>51</v>
      </c>
      <c r="J55" s="195">
        <v>0.74200233552319916</v>
      </c>
      <c r="K55" s="195">
        <v>1.1132909236795834</v>
      </c>
      <c r="L55" s="195">
        <v>1.4849876487965623</v>
      </c>
      <c r="M55" s="195">
        <v>1.8565198257375262</v>
      </c>
      <c r="N55" s="195">
        <v>2.2279736806209121</v>
      </c>
    </row>
    <row r="56" spans="2:14">
      <c r="B56" s="256">
        <f t="shared" si="0"/>
        <v>52</v>
      </c>
      <c r="C56" s="195">
        <v>0.78623450681194684</v>
      </c>
      <c r="D56" s="195">
        <v>1.179832035552119</v>
      </c>
      <c r="E56" s="195">
        <v>1.5734556394021451</v>
      </c>
      <c r="F56" s="195">
        <v>1.9669354777816261</v>
      </c>
      <c r="G56" s="195">
        <v>2.3607958718184321</v>
      </c>
      <c r="I56" s="256">
        <f t="shared" si="1"/>
        <v>52</v>
      </c>
      <c r="J56" s="195">
        <v>0.76539115633051524</v>
      </c>
      <c r="K56" s="195">
        <v>1.1483841316946455</v>
      </c>
      <c r="L56" s="195">
        <v>1.5317921946183408</v>
      </c>
      <c r="M56" s="195">
        <v>1.9150381690213225</v>
      </c>
      <c r="N56" s="195">
        <v>2.2981988707677559</v>
      </c>
    </row>
    <row r="57" spans="2:14">
      <c r="B57" s="256">
        <f t="shared" si="0"/>
        <v>53</v>
      </c>
      <c r="C57" s="195">
        <v>0.81856256031226016</v>
      </c>
      <c r="D57" s="195">
        <v>1.2283451314635396</v>
      </c>
      <c r="E57" s="195">
        <v>1.638153285741468</v>
      </c>
      <c r="F57" s="195">
        <v>2.0478134727463457</v>
      </c>
      <c r="G57" s="195">
        <v>2.4578691610604988</v>
      </c>
      <c r="I57" s="256">
        <f t="shared" si="1"/>
        <v>53</v>
      </c>
      <c r="J57" s="195">
        <v>0.78917930220210586</v>
      </c>
      <c r="K57" s="195">
        <v>1.1840759508229466</v>
      </c>
      <c r="L57" s="195">
        <v>1.5793950667514238</v>
      </c>
      <c r="M57" s="195">
        <v>1.9745544609973082</v>
      </c>
      <c r="N57" s="195">
        <v>2.3696218942744278</v>
      </c>
    </row>
    <row r="58" spans="2:14">
      <c r="B58" s="256">
        <f t="shared" si="0"/>
        <v>54</v>
      </c>
      <c r="C58" s="195">
        <v>0.85201148365968271</v>
      </c>
      <c r="D58" s="195">
        <v>1.2785401110507864</v>
      </c>
      <c r="E58" s="195">
        <v>1.7050938478069344</v>
      </c>
      <c r="F58" s="195">
        <v>2.131494892478353</v>
      </c>
      <c r="G58" s="195">
        <v>2.5583071878313093</v>
      </c>
      <c r="I58" s="256">
        <f t="shared" si="1"/>
        <v>54</v>
      </c>
      <c r="J58" s="195">
        <v>0.81337309093466059</v>
      </c>
      <c r="K58" s="195">
        <v>1.2203765573067402</v>
      </c>
      <c r="L58" s="195">
        <v>1.6278095974105253</v>
      </c>
      <c r="M58" s="195">
        <v>2.0350851950091671</v>
      </c>
      <c r="N58" s="195">
        <v>2.4422623910420942</v>
      </c>
    </row>
    <row r="59" spans="2:14">
      <c r="B59" s="256">
        <f t="shared" si="0"/>
        <v>55</v>
      </c>
      <c r="C59" s="195">
        <v>0.88662208128712239</v>
      </c>
      <c r="D59" s="195">
        <v>1.3304784825329428</v>
      </c>
      <c r="E59" s="195">
        <v>1.7743595366098974</v>
      </c>
      <c r="F59" s="195">
        <v>2.2180833456017779</v>
      </c>
      <c r="G59" s="195">
        <v>2.6622342482357451</v>
      </c>
      <c r="I59" s="256">
        <f t="shared" si="1"/>
        <v>55</v>
      </c>
      <c r="J59" s="195">
        <v>0.83797904714147997</v>
      </c>
      <c r="K59" s="195">
        <v>1.2572953872979353</v>
      </c>
      <c r="L59" s="195">
        <v>1.6770488154874779</v>
      </c>
      <c r="M59" s="195">
        <v>2.0966469974701458</v>
      </c>
      <c r="N59" s="195">
        <v>2.5161405714936764</v>
      </c>
    </row>
    <row r="60" spans="2:14">
      <c r="B60" s="256">
        <f t="shared" si="0"/>
        <v>56</v>
      </c>
      <c r="C60" s="195">
        <v>0.92243747818232735</v>
      </c>
      <c r="D60" s="195">
        <v>1.3842245590260089</v>
      </c>
      <c r="E60" s="195">
        <v>1.8460365068663465</v>
      </c>
      <c r="F60" s="195">
        <v>2.3076861648337714</v>
      </c>
      <c r="G60" s="195">
        <v>2.7697788479784609</v>
      </c>
      <c r="I60" s="256">
        <f t="shared" si="1"/>
        <v>56</v>
      </c>
      <c r="J60" s="195">
        <v>0.86300388378670578</v>
      </c>
      <c r="K60" s="195">
        <v>1.2948425117268867</v>
      </c>
      <c r="L60" s="195">
        <v>1.7271261280282793</v>
      </c>
      <c r="M60" s="195">
        <v>2.1592566159818425</v>
      </c>
      <c r="N60" s="195">
        <v>2.5912758568451042</v>
      </c>
    </row>
    <row r="61" spans="2:14">
      <c r="B61" s="256">
        <f t="shared" si="0"/>
        <v>57</v>
      </c>
      <c r="C61" s="195">
        <v>0.9595022734164026</v>
      </c>
      <c r="D61" s="195">
        <v>1.4398452124993131</v>
      </c>
      <c r="E61" s="195">
        <v>1.9202138681438621</v>
      </c>
      <c r="F61" s="195">
        <v>2.4004147232237192</v>
      </c>
      <c r="G61" s="195">
        <v>2.8810746189288254</v>
      </c>
      <c r="I61" s="256">
        <f t="shared" si="1"/>
        <v>57</v>
      </c>
      <c r="J61" s="195">
        <v>0.88845384274927697</v>
      </c>
      <c r="K61" s="195">
        <v>1.3330279377060366</v>
      </c>
      <c r="L61" s="195">
        <v>1.7780546441476368</v>
      </c>
      <c r="M61" s="195">
        <v>2.2229302657896088</v>
      </c>
      <c r="N61" s="195">
        <v>2.6676882341620858</v>
      </c>
    </row>
    <row r="62" spans="2:14">
      <c r="B62" s="256">
        <f t="shared" si="0"/>
        <v>58</v>
      </c>
      <c r="C62" s="195">
        <v>0.99786241306765888</v>
      </c>
      <c r="D62" s="195">
        <v>1.4974102850140232</v>
      </c>
      <c r="E62" s="195">
        <v>1.9969840619623482</v>
      </c>
      <c r="F62" s="195">
        <v>2.4963847176780565</v>
      </c>
      <c r="G62" s="195">
        <v>2.9962605090394869</v>
      </c>
      <c r="I62" s="256">
        <f t="shared" si="1"/>
        <v>58</v>
      </c>
      <c r="J62" s="195">
        <v>0.91433599909235508</v>
      </c>
      <c r="K62" s="195">
        <v>1.3718616140314575</v>
      </c>
      <c r="L62" s="195">
        <v>1.8298484643713289</v>
      </c>
      <c r="M62" s="195">
        <v>2.2876855711632782</v>
      </c>
      <c r="N62" s="195">
        <v>2.745398207579953</v>
      </c>
    </row>
    <row r="63" spans="2:14">
      <c r="B63" s="256">
        <f t="shared" si="0"/>
        <v>59</v>
      </c>
      <c r="C63" s="195">
        <v>1.0375663183091488</v>
      </c>
      <c r="D63" s="195">
        <v>1.5569917159001039</v>
      </c>
      <c r="E63" s="195">
        <v>2.0764432005455342</v>
      </c>
      <c r="F63" s="195">
        <v>2.5957158025317031</v>
      </c>
      <c r="G63" s="195">
        <v>3.1154803318308426</v>
      </c>
      <c r="I63" s="256">
        <f t="shared" si="1"/>
        <v>59</v>
      </c>
      <c r="J63" s="195">
        <v>0.94065756933414779</v>
      </c>
      <c r="K63" s="195">
        <v>1.4113540572452614</v>
      </c>
      <c r="L63" s="195">
        <v>1.8825213543776291</v>
      </c>
      <c r="M63" s="195">
        <v>2.3535402037476212</v>
      </c>
      <c r="N63" s="195">
        <v>2.8244267544842021</v>
      </c>
    </row>
    <row r="64" spans="2:14" ht="15" thickBot="1">
      <c r="B64" s="257">
        <f t="shared" si="0"/>
        <v>60</v>
      </c>
      <c r="C64" s="202">
        <v>1.0786634576140941</v>
      </c>
      <c r="D64" s="202">
        <v>1.6186639777522562</v>
      </c>
      <c r="E64" s="202">
        <v>2.1586907609289909</v>
      </c>
      <c r="F64" s="202">
        <v>2.698532481299035</v>
      </c>
      <c r="G64" s="202">
        <v>3.238883582463735</v>
      </c>
      <c r="I64" s="257">
        <f t="shared" si="1"/>
        <v>60</v>
      </c>
      <c r="J64" s="202">
        <v>0.96742589965998715</v>
      </c>
      <c r="K64" s="202">
        <v>1.4515169150917706</v>
      </c>
      <c r="L64" s="202">
        <v>1.9360879944379434</v>
      </c>
      <c r="M64" s="202">
        <v>2.4205124893827747</v>
      </c>
      <c r="N64" s="202">
        <v>2.9047965076096571</v>
      </c>
    </row>
  </sheetData>
  <mergeCells count="3">
    <mergeCell ref="B3:G3"/>
    <mergeCell ref="I3:N3"/>
    <mergeCell ref="B1:N1"/>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Forests</vt:lpstr>
      <vt:lpstr>wind</vt:lpstr>
      <vt:lpstr>Summary</vt:lpstr>
      <vt:lpstr>CO2 amounts</vt:lpstr>
      <vt:lpstr>Solar</vt:lpstr>
      <vt:lpstr>edit history</vt:lpstr>
      <vt:lpstr>development plan (Wind)</vt:lpstr>
      <vt:lpstr>Dev Plan (Wind)</vt:lpstr>
      <vt:lpstr>Wind Graphs</vt:lpstr>
      <vt:lpstr>Development Plan (Solar)</vt:lpstr>
      <vt:lpstr>Solar Graphs</vt:lpstr>
      <vt:lpstr>Alberta Electricity Profile</vt:lpstr>
      <vt:lpstr>PV Output</vt:lpstr>
    </vt:vector>
  </TitlesOfParts>
  <Company>EOP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Slocum, Alexander</dc:creator>
  <cp:lastModifiedBy>Alexander Slocum</cp:lastModifiedBy>
  <dcterms:created xsi:type="dcterms:W3CDTF">2013-06-26T17:52:29Z</dcterms:created>
  <dcterms:modified xsi:type="dcterms:W3CDTF">2014-04-07T12:29:48Z</dcterms:modified>
</cp:coreProperties>
</file>