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firstSheet="7" activeTab="10"/>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Wind Graphs" sheetId="9" r:id="rId8"/>
    <sheet name="Development Plan (Solar)" sheetId="10" r:id="rId9"/>
    <sheet name="Solar Graphs" sheetId="11" r:id="rId10"/>
    <sheet name="CarbonFootprint" sheetId="14" r:id="rId11"/>
    <sheet name="Alberta Electricity Profile" sheetId="12" r:id="rId12"/>
    <sheet name="PV Output" sheetId="13" r:id="rId13"/>
    <sheet name="Edit History" sheetId="6" r:id="rId14"/>
  </sheets>
  <calcPr calcId="152511"/>
</workbook>
</file>

<file path=xl/calcChain.xml><?xml version="1.0" encoding="utf-8"?>
<calcChain xmlns="http://schemas.openxmlformats.org/spreadsheetml/2006/main">
  <c r="L5" i="14" l="1"/>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4" i="14"/>
  <c r="R30" i="14"/>
  <c r="M22" i="8"/>
  <c r="Q16" i="14"/>
  <c r="Q13" i="14"/>
  <c r="Q12" i="14"/>
  <c r="Q14" i="14"/>
  <c r="Q15" i="14"/>
  <c r="Q11" i="14"/>
  <c r="C10" i="8"/>
  <c r="C16" i="8"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H62" i="14" l="1"/>
  <c r="G62" i="14"/>
  <c r="I62" i="14"/>
  <c r="H50" i="14"/>
  <c r="G50" i="14"/>
  <c r="I50" i="14"/>
  <c r="H38" i="14"/>
  <c r="I38" i="14"/>
  <c r="G38" i="14"/>
  <c r="G30" i="14"/>
  <c r="I30" i="14"/>
  <c r="H30" i="14"/>
  <c r="G18" i="14"/>
  <c r="I18" i="14"/>
  <c r="H18" i="14"/>
  <c r="I4" i="14"/>
  <c r="H4" i="14"/>
  <c r="G4" i="14"/>
  <c r="H10" i="14"/>
  <c r="G10" i="14"/>
  <c r="I10" i="14"/>
  <c r="H6" i="14"/>
  <c r="I6" i="14"/>
  <c r="G6" i="14"/>
  <c r="I61" i="14"/>
  <c r="H61" i="14"/>
  <c r="G61" i="14"/>
  <c r="I57" i="14"/>
  <c r="H57" i="14"/>
  <c r="G57" i="14"/>
  <c r="I53" i="14"/>
  <c r="H53" i="14"/>
  <c r="G53" i="14"/>
  <c r="I49" i="14"/>
  <c r="H49" i="14"/>
  <c r="G49" i="14"/>
  <c r="I45" i="14"/>
  <c r="H45" i="14"/>
  <c r="G45" i="14"/>
  <c r="I41" i="14"/>
  <c r="H41" i="14"/>
  <c r="G41" i="14"/>
  <c r="I37" i="14"/>
  <c r="H37" i="14"/>
  <c r="G37" i="14"/>
  <c r="I33" i="14"/>
  <c r="H33" i="14"/>
  <c r="G33" i="14"/>
  <c r="I29" i="14"/>
  <c r="H29" i="14"/>
  <c r="G29" i="14"/>
  <c r="I25" i="14"/>
  <c r="H25" i="14"/>
  <c r="G25" i="14"/>
  <c r="I21" i="14"/>
  <c r="H21" i="14"/>
  <c r="G21" i="14"/>
  <c r="I17" i="14"/>
  <c r="H17" i="14"/>
  <c r="G17" i="14"/>
  <c r="I7" i="14"/>
  <c r="G7" i="14"/>
  <c r="H7" i="14"/>
  <c r="I54" i="14"/>
  <c r="H54" i="14"/>
  <c r="G54" i="14"/>
  <c r="G42" i="14"/>
  <c r="I42" i="14"/>
  <c r="H42" i="14"/>
  <c r="H26" i="14"/>
  <c r="I26" i="14"/>
  <c r="G26" i="14"/>
  <c r="H14" i="14"/>
  <c r="I14" i="14"/>
  <c r="G14" i="14"/>
  <c r="I13" i="14"/>
  <c r="H13" i="14"/>
  <c r="G13" i="14"/>
  <c r="I9" i="14"/>
  <c r="H9" i="14"/>
  <c r="G9" i="14"/>
  <c r="I5" i="14"/>
  <c r="H5" i="14"/>
  <c r="G5" i="14"/>
  <c r="I60" i="14"/>
  <c r="H60" i="14"/>
  <c r="G60" i="14"/>
  <c r="I56" i="14"/>
  <c r="H56" i="14"/>
  <c r="G56" i="14"/>
  <c r="I52" i="14"/>
  <c r="H52" i="14"/>
  <c r="G52" i="14"/>
  <c r="I48" i="14"/>
  <c r="H48" i="14"/>
  <c r="G48" i="14"/>
  <c r="I44" i="14"/>
  <c r="H44" i="14"/>
  <c r="G44" i="14"/>
  <c r="I40" i="14"/>
  <c r="H40" i="14"/>
  <c r="G40" i="14"/>
  <c r="I36" i="14"/>
  <c r="H36" i="14"/>
  <c r="G36" i="14"/>
  <c r="I32" i="14"/>
  <c r="H32" i="14"/>
  <c r="G32" i="14"/>
  <c r="I28" i="14"/>
  <c r="H28" i="14"/>
  <c r="G28" i="14"/>
  <c r="I24" i="14"/>
  <c r="H24" i="14"/>
  <c r="G24" i="14"/>
  <c r="I20" i="14"/>
  <c r="H20" i="14"/>
  <c r="G20" i="14"/>
  <c r="I16" i="14"/>
  <c r="H16" i="14"/>
  <c r="G16" i="14"/>
  <c r="H11" i="14"/>
  <c r="I11" i="14"/>
  <c r="G11" i="14"/>
  <c r="I58" i="14"/>
  <c r="G58" i="14"/>
  <c r="H58" i="14"/>
  <c r="G46" i="14"/>
  <c r="I46" i="14"/>
  <c r="H46" i="14"/>
  <c r="I34" i="14"/>
  <c r="G34" i="14"/>
  <c r="H34" i="14"/>
  <c r="H22" i="14"/>
  <c r="G22" i="14"/>
  <c r="I22" i="14"/>
  <c r="I12" i="14"/>
  <c r="H12" i="14"/>
  <c r="G12" i="14"/>
  <c r="I8" i="14"/>
  <c r="H8" i="14"/>
  <c r="G8" i="14"/>
  <c r="G63" i="14"/>
  <c r="I63" i="14"/>
  <c r="H63" i="14"/>
  <c r="H59" i="14"/>
  <c r="I59" i="14"/>
  <c r="G59" i="14"/>
  <c r="I55" i="14"/>
  <c r="G55" i="14"/>
  <c r="H55" i="14"/>
  <c r="G51" i="14"/>
  <c r="H51" i="14"/>
  <c r="I51" i="14"/>
  <c r="G47" i="14"/>
  <c r="I47" i="14"/>
  <c r="H47" i="14"/>
  <c r="H43" i="14"/>
  <c r="G43" i="14"/>
  <c r="I43" i="14"/>
  <c r="I39" i="14"/>
  <c r="G39" i="14"/>
  <c r="H39" i="14"/>
  <c r="H35" i="14"/>
  <c r="G35" i="14"/>
  <c r="I35" i="14"/>
  <c r="G31" i="14"/>
  <c r="H31" i="14"/>
  <c r="I31" i="14"/>
  <c r="H27" i="14"/>
  <c r="I27" i="14"/>
  <c r="G27" i="14"/>
  <c r="I23" i="14"/>
  <c r="G23" i="14"/>
  <c r="H23" i="14"/>
  <c r="G19" i="14"/>
  <c r="H19" i="14"/>
  <c r="I19" i="14"/>
  <c r="G15" i="14"/>
  <c r="I15" i="14"/>
  <c r="H15" i="14"/>
  <c r="T119" i="8"/>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S13" i="14" l="1"/>
  <c r="S16" i="14"/>
  <c r="S12" i="14"/>
  <c r="S11" i="14"/>
  <c r="S15" i="14"/>
  <c r="S14" i="14"/>
  <c r="R13" i="14"/>
  <c r="R16" i="14"/>
  <c r="R15" i="14"/>
  <c r="R14" i="14"/>
  <c r="R11" i="14"/>
  <c r="R12" i="14"/>
  <c r="K73" i="8"/>
  <c r="I74" i="8"/>
  <c r="I60" i="8"/>
  <c r="K59" i="8"/>
  <c r="I10" i="13"/>
  <c r="C58" i="3"/>
  <c r="C29" i="3"/>
  <c r="C25" i="3"/>
  <c r="C27" i="3" s="1"/>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C71" i="3"/>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E22" i="8" s="1"/>
  <c r="F22" i="8" s="1"/>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K77" i="8" l="1"/>
  <c r="I78" i="8"/>
  <c r="I64" i="8"/>
  <c r="K63" i="8"/>
  <c r="U22" i="8"/>
  <c r="D22" i="8"/>
  <c r="W22" i="8"/>
  <c r="O22" i="8"/>
  <c r="B15" i="7"/>
  <c r="I23" i="10"/>
  <c r="O22" i="10"/>
  <c r="N27" i="8"/>
  <c r="B28" i="8"/>
  <c r="K24" i="8"/>
  <c r="C15" i="7"/>
  <c r="G16" i="7"/>
  <c r="C22" i="8"/>
  <c r="B28" i="10"/>
  <c r="L27" i="10"/>
  <c r="M23" i="10"/>
  <c r="G22" i="10"/>
  <c r="J23" i="10"/>
  <c r="K23" i="10" s="1"/>
  <c r="E23" i="10" s="1"/>
  <c r="F23" i="10" s="1"/>
  <c r="R22" i="10"/>
  <c r="N22" i="10"/>
  <c r="H22" i="10"/>
  <c r="Q21" i="8"/>
  <c r="S21" i="8"/>
  <c r="K78" i="8" l="1"/>
  <c r="I79" i="8"/>
  <c r="I65" i="8"/>
  <c r="K64" i="8"/>
  <c r="V21" i="8"/>
  <c r="R21" i="8"/>
  <c r="H23" i="10"/>
  <c r="D22" i="10"/>
  <c r="P22" i="10"/>
  <c r="C23" i="10"/>
  <c r="B29" i="10"/>
  <c r="L28" i="10"/>
  <c r="P22" i="8"/>
  <c r="G22" i="8"/>
  <c r="L23" i="8"/>
  <c r="M23" i="8" s="1"/>
  <c r="E23" i="8" s="1"/>
  <c r="F23" i="8" s="1"/>
  <c r="I26" i="8"/>
  <c r="K25" i="8"/>
  <c r="I24" i="10"/>
  <c r="O23" i="10"/>
  <c r="R23" i="10"/>
  <c r="N23" i="10"/>
  <c r="C16" i="7"/>
  <c r="B29" i="8"/>
  <c r="N28" i="8"/>
  <c r="I16" i="7"/>
  <c r="J16" i="7" s="1"/>
  <c r="D16" i="7" s="1"/>
  <c r="E16" i="7" s="1"/>
  <c r="F15" i="7"/>
  <c r="H23" i="8"/>
  <c r="V22" i="8"/>
  <c r="K79" i="8" l="1"/>
  <c r="I80" i="8"/>
  <c r="K65" i="8"/>
  <c r="I66" i="8"/>
  <c r="B16" i="7"/>
  <c r="I25" i="10"/>
  <c r="O24" i="10"/>
  <c r="B30" i="10"/>
  <c r="L29" i="10"/>
  <c r="P23" i="10"/>
  <c r="D23" i="10"/>
  <c r="W23" i="8"/>
  <c r="O23" i="8"/>
  <c r="U23" i="8"/>
  <c r="D23" i="8"/>
  <c r="Q22" i="8"/>
  <c r="R22" i="8" s="1"/>
  <c r="S22" i="8"/>
  <c r="J24" i="10"/>
  <c r="K24" i="10" s="1"/>
  <c r="E24" i="10" s="1"/>
  <c r="F24" i="10" s="1"/>
  <c r="M24" i="10"/>
  <c r="H24" i="10" s="1"/>
  <c r="G23" i="10"/>
  <c r="N29" i="8"/>
  <c r="B30" i="8"/>
  <c r="I27" i="8"/>
  <c r="K26" i="8"/>
  <c r="C23" i="8"/>
  <c r="S22" i="10"/>
  <c r="Q22" i="10"/>
  <c r="K80" i="8" l="1"/>
  <c r="I81" i="8"/>
  <c r="I67" i="8"/>
  <c r="K66" i="8"/>
  <c r="P24" i="10"/>
  <c r="D24" i="10"/>
  <c r="B31" i="8"/>
  <c r="N30" i="8"/>
  <c r="C24" i="10"/>
  <c r="V23" i="8"/>
  <c r="B31" i="10"/>
  <c r="L30" i="10"/>
  <c r="G23" i="8"/>
  <c r="L24" i="8"/>
  <c r="M24" i="8" s="1"/>
  <c r="E24" i="8" s="1"/>
  <c r="F24" i="8" s="1"/>
  <c r="P23" i="8"/>
  <c r="H24" i="8"/>
  <c r="I28" i="8"/>
  <c r="K27" i="8"/>
  <c r="R24" i="10"/>
  <c r="N24" i="10"/>
  <c r="Q23" i="10"/>
  <c r="S23" i="10"/>
  <c r="I26" i="10"/>
  <c r="O25" i="10"/>
  <c r="F16" i="7"/>
  <c r="I17" i="7"/>
  <c r="J17" i="7" s="1"/>
  <c r="D17" i="7" s="1"/>
  <c r="E17" i="7" s="1"/>
  <c r="G17" i="7"/>
  <c r="K81" i="8" l="1"/>
  <c r="I82" i="8"/>
  <c r="I68" i="8"/>
  <c r="K67" i="8"/>
  <c r="I29" i="8"/>
  <c r="K28" i="8"/>
  <c r="I27" i="10"/>
  <c r="O26" i="10"/>
  <c r="B17" i="7"/>
  <c r="C24" i="8"/>
  <c r="H25" i="8" s="1"/>
  <c r="B32" i="10"/>
  <c r="L31" i="10"/>
  <c r="N31" i="8"/>
  <c r="B32" i="8"/>
  <c r="C17" i="7"/>
  <c r="G18" i="7"/>
  <c r="U24" i="8"/>
  <c r="D24" i="8"/>
  <c r="W24" i="8"/>
  <c r="O24" i="8"/>
  <c r="M25" i="10"/>
  <c r="G24" i="10"/>
  <c r="J25" i="10"/>
  <c r="K25" i="10" s="1"/>
  <c r="E25" i="10" s="1"/>
  <c r="F25" i="10" s="1"/>
  <c r="S24" i="10"/>
  <c r="Q24" i="10"/>
  <c r="S23" i="8"/>
  <c r="Q23" i="8"/>
  <c r="R23" i="8" s="1"/>
  <c r="K82" i="8" l="1"/>
  <c r="I83" i="8"/>
  <c r="I69" i="8"/>
  <c r="K68" i="8"/>
  <c r="C18" i="7"/>
  <c r="L32" i="10"/>
  <c r="B33" i="10"/>
  <c r="I28" i="10"/>
  <c r="O27" i="10"/>
  <c r="C25" i="10"/>
  <c r="N25" i="10"/>
  <c r="R25" i="10"/>
  <c r="H25" i="10"/>
  <c r="B33" i="8"/>
  <c r="N32" i="8"/>
  <c r="P24" i="8"/>
  <c r="G24" i="8"/>
  <c r="L25" i="8"/>
  <c r="M25" i="8" s="1"/>
  <c r="E25" i="8" s="1"/>
  <c r="F25" i="8" s="1"/>
  <c r="W25" i="8"/>
  <c r="O25" i="8"/>
  <c r="U25" i="8"/>
  <c r="D25" i="8"/>
  <c r="V24" i="8"/>
  <c r="I18" i="7"/>
  <c r="J18" i="7" s="1"/>
  <c r="D18" i="7" s="1"/>
  <c r="E18" i="7" s="1"/>
  <c r="F17" i="7"/>
  <c r="I30" i="8"/>
  <c r="K29" i="8"/>
  <c r="K83" i="8" l="1"/>
  <c r="I84" i="8"/>
  <c r="K69" i="8"/>
  <c r="I70" i="8"/>
  <c r="B34" i="10"/>
  <c r="L33" i="10"/>
  <c r="B18" i="7"/>
  <c r="N33" i="8"/>
  <c r="B34" i="8"/>
  <c r="J26" i="10"/>
  <c r="K26" i="10" s="1"/>
  <c r="E26" i="10" s="1"/>
  <c r="F26" i="10" s="1"/>
  <c r="M26" i="10"/>
  <c r="H26" i="10" s="1"/>
  <c r="G25" i="10"/>
  <c r="Q24" i="8"/>
  <c r="R24" i="8" s="1"/>
  <c r="S24" i="8"/>
  <c r="P25" i="10"/>
  <c r="D25" i="10"/>
  <c r="I31" i="8"/>
  <c r="K30" i="8"/>
  <c r="C25" i="8"/>
  <c r="I29" i="10"/>
  <c r="O28" i="10"/>
  <c r="K84" i="8" l="1"/>
  <c r="I85" i="8"/>
  <c r="K70" i="8"/>
  <c r="I30" i="10"/>
  <c r="O29" i="10"/>
  <c r="I32" i="8"/>
  <c r="K31" i="8"/>
  <c r="R26" i="10"/>
  <c r="N26" i="10"/>
  <c r="F18" i="7"/>
  <c r="I19" i="7"/>
  <c r="J19" i="7" s="1"/>
  <c r="D19" i="7" s="1"/>
  <c r="E19" i="7" s="1"/>
  <c r="G19" i="7"/>
  <c r="D26" i="10"/>
  <c r="P26" i="10"/>
  <c r="G25" i="8"/>
  <c r="L26" i="8"/>
  <c r="M26" i="8" s="1"/>
  <c r="E26" i="8" s="1"/>
  <c r="F26" i="8" s="1"/>
  <c r="P25" i="8"/>
  <c r="H26" i="8"/>
  <c r="V25" i="8"/>
  <c r="C26" i="10"/>
  <c r="Q25" i="10"/>
  <c r="S25" i="10"/>
  <c r="B35" i="8"/>
  <c r="N34" i="8"/>
  <c r="B35" i="10"/>
  <c r="L34" i="10"/>
  <c r="K85" i="8" l="1"/>
  <c r="I86" i="8"/>
  <c r="N35" i="8"/>
  <c r="B36" i="8"/>
  <c r="S26" i="10"/>
  <c r="Q26" i="10"/>
  <c r="M27" i="10"/>
  <c r="G26" i="10"/>
  <c r="J27" i="10"/>
  <c r="K27" i="10" s="1"/>
  <c r="E27" i="10" s="1"/>
  <c r="F27" i="10" s="1"/>
  <c r="C26" i="8"/>
  <c r="H27" i="8" s="1"/>
  <c r="B19" i="7"/>
  <c r="I33" i="8"/>
  <c r="K32" i="8"/>
  <c r="U26" i="8"/>
  <c r="D26" i="8"/>
  <c r="W26" i="8"/>
  <c r="O26" i="8"/>
  <c r="C19" i="7"/>
  <c r="G20" i="7"/>
  <c r="B36" i="10"/>
  <c r="L35" i="10"/>
  <c r="S25" i="8"/>
  <c r="Q25" i="8"/>
  <c r="R25" i="8" s="1"/>
  <c r="I31" i="10"/>
  <c r="O30" i="10"/>
  <c r="K86" i="8" l="1"/>
  <c r="I87" i="8"/>
  <c r="I32" i="10"/>
  <c r="O31" i="10"/>
  <c r="C20" i="7"/>
  <c r="I34" i="8"/>
  <c r="K33" i="8"/>
  <c r="C27" i="10"/>
  <c r="B37" i="10"/>
  <c r="L36" i="10"/>
  <c r="I20" i="7"/>
  <c r="J20" i="7" s="1"/>
  <c r="D20" i="7" s="1"/>
  <c r="E20" i="7" s="1"/>
  <c r="F19" i="7"/>
  <c r="B37" i="8"/>
  <c r="N36" i="8"/>
  <c r="W27" i="8"/>
  <c r="O27" i="8"/>
  <c r="U27" i="8"/>
  <c r="D27" i="8"/>
  <c r="V26" i="8"/>
  <c r="P26" i="8"/>
  <c r="G26" i="8"/>
  <c r="L27" i="8"/>
  <c r="M27" i="8" s="1"/>
  <c r="E27" i="8" s="1"/>
  <c r="F27" i="8" s="1"/>
  <c r="R27" i="10"/>
  <c r="N27" i="10"/>
  <c r="H27" i="10"/>
  <c r="K87" i="8" l="1"/>
  <c r="I88" i="8"/>
  <c r="B38" i="10"/>
  <c r="L37" i="10"/>
  <c r="J28" i="10"/>
  <c r="K28" i="10" s="1"/>
  <c r="E28" i="10" s="1"/>
  <c r="F28" i="10" s="1"/>
  <c r="M28" i="10"/>
  <c r="H28" i="10" s="1"/>
  <c r="G27" i="10"/>
  <c r="Q26" i="8"/>
  <c r="R26" i="8" s="1"/>
  <c r="S26" i="8"/>
  <c r="B20" i="7"/>
  <c r="P27" i="10"/>
  <c r="D27" i="10"/>
  <c r="C27" i="8"/>
  <c r="N37" i="8"/>
  <c r="B38" i="8"/>
  <c r="I35" i="8"/>
  <c r="K34" i="8"/>
  <c r="I33" i="10"/>
  <c r="O32" i="10"/>
  <c r="K88" i="8" l="1"/>
  <c r="I89" i="8"/>
  <c r="Q27" i="10"/>
  <c r="S27" i="10"/>
  <c r="C28" i="10"/>
  <c r="B39" i="8"/>
  <c r="N38" i="8"/>
  <c r="F20" i="7"/>
  <c r="I21" i="7"/>
  <c r="J21" i="7" s="1"/>
  <c r="D21" i="7" s="1"/>
  <c r="E21" i="7" s="1"/>
  <c r="G21" i="7"/>
  <c r="I34" i="10"/>
  <c r="O33" i="10"/>
  <c r="G27" i="8"/>
  <c r="L28" i="8"/>
  <c r="M28" i="8" s="1"/>
  <c r="E28" i="8" s="1"/>
  <c r="F28" i="8" s="1"/>
  <c r="P27" i="8"/>
  <c r="H28" i="8"/>
  <c r="I36" i="8"/>
  <c r="K35" i="8"/>
  <c r="D28" i="10"/>
  <c r="P28" i="10"/>
  <c r="V27" i="8"/>
  <c r="R28" i="10"/>
  <c r="N28" i="10"/>
  <c r="B39" i="10"/>
  <c r="L38" i="10"/>
  <c r="K89" i="8" l="1"/>
  <c r="I90" i="8"/>
  <c r="S28" i="10"/>
  <c r="Q28" i="10"/>
  <c r="W28" i="8"/>
  <c r="U28" i="8"/>
  <c r="D28" i="8"/>
  <c r="O28" i="8"/>
  <c r="N39" i="8"/>
  <c r="B40" i="8"/>
  <c r="S27" i="8"/>
  <c r="Q27" i="8"/>
  <c r="R27" i="8" s="1"/>
  <c r="B21" i="7"/>
  <c r="M29" i="10"/>
  <c r="G28" i="10"/>
  <c r="J29" i="10"/>
  <c r="K29" i="10" s="1"/>
  <c r="E29" i="10" s="1"/>
  <c r="F29" i="10" s="1"/>
  <c r="C28" i="8"/>
  <c r="H29" i="8" s="1"/>
  <c r="I35" i="10"/>
  <c r="O34" i="10"/>
  <c r="B40" i="10"/>
  <c r="L39" i="10"/>
  <c r="I37" i="8"/>
  <c r="K36" i="8"/>
  <c r="C21" i="7"/>
  <c r="G22" i="7"/>
  <c r="K90" i="8" l="1"/>
  <c r="I91" i="8"/>
  <c r="U29" i="8"/>
  <c r="D29" i="8"/>
  <c r="W29" i="8"/>
  <c r="O29" i="8"/>
  <c r="I22" i="7"/>
  <c r="J22" i="7" s="1"/>
  <c r="D22" i="7" s="1"/>
  <c r="E22" i="7" s="1"/>
  <c r="F21" i="7"/>
  <c r="B41" i="10"/>
  <c r="L40" i="10"/>
  <c r="C29" i="10"/>
  <c r="I38" i="8"/>
  <c r="K37" i="8"/>
  <c r="I36" i="10"/>
  <c r="O35" i="10"/>
  <c r="C22" i="7"/>
  <c r="L29" i="8"/>
  <c r="M29" i="8" s="1"/>
  <c r="E29" i="8" s="1"/>
  <c r="F29" i="8" s="1"/>
  <c r="P28" i="8"/>
  <c r="G28" i="8"/>
  <c r="R29" i="10"/>
  <c r="N29" i="10"/>
  <c r="H29" i="10"/>
  <c r="B41" i="8"/>
  <c r="N40" i="8"/>
  <c r="V28" i="8"/>
  <c r="K91" i="8" l="1"/>
  <c r="I92" i="8"/>
  <c r="C29" i="8"/>
  <c r="P29" i="10"/>
  <c r="D29" i="10"/>
  <c r="Q28" i="8"/>
  <c r="R28" i="8" s="1"/>
  <c r="S28" i="8"/>
  <c r="I39" i="8"/>
  <c r="K38" i="8"/>
  <c r="J30" i="10"/>
  <c r="K30" i="10" s="1"/>
  <c r="E30" i="10" s="1"/>
  <c r="F30" i="10" s="1"/>
  <c r="M30" i="10"/>
  <c r="H30" i="10" s="1"/>
  <c r="G29" i="10"/>
  <c r="I37" i="10"/>
  <c r="O36" i="10"/>
  <c r="B22" i="7"/>
  <c r="N41" i="8"/>
  <c r="B42" i="8"/>
  <c r="B42" i="10"/>
  <c r="L41" i="10"/>
  <c r="K92" i="8" l="1"/>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P29" i="8"/>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V42" i="8" s="1"/>
  <c r="I116" i="8"/>
  <c r="K115" i="8"/>
  <c r="F42" i="8"/>
  <c r="N62" i="8"/>
  <c r="L43" i="8"/>
  <c r="M43" i="8" s="1"/>
  <c r="E43" i="8" s="1"/>
  <c r="F43" i="8" s="1"/>
  <c r="G42" i="8"/>
  <c r="H43" i="8"/>
  <c r="D43" i="8" s="1"/>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F97" i="8" l="1"/>
  <c r="N117" i="8"/>
  <c r="Q96" i="8"/>
  <c r="R96" i="8" s="1"/>
  <c r="S96" i="8"/>
  <c r="C97" i="8"/>
  <c r="H98" i="8" s="1"/>
  <c r="O97" i="8"/>
  <c r="D97" i="8"/>
  <c r="W97" i="8"/>
  <c r="U97" i="8"/>
  <c r="J96" i="10"/>
  <c r="K96" i="10" s="1"/>
  <c r="E96" i="10" s="1"/>
  <c r="F96" i="10" s="1"/>
  <c r="G95" i="10"/>
  <c r="M96" i="10"/>
  <c r="P94" i="10"/>
  <c r="D94" i="10"/>
  <c r="H95"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<sst xmlns="http://schemas.openxmlformats.org/spreadsheetml/2006/main" count="546" uniqueCount="387">
  <si>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</si>
  <si>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</si>
  <si>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</si>
  <si>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</si>
  <si>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</si>
  <si>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</si>
  <si>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</si>
  <si>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</si>
  <si>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</si>
  <si>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</si>
  <si>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</si>
  <si>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</si>
  <si>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</si>
  <si>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</si>
  <si>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</si>
  <si>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</si>
  <si>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</si>
  <si>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</si>
  <si>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</si>
  <si>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</si>
  <si>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</si>
  <si>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</si>
  <si>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</si>
  <si>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</si>
  <si>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</si>
  <si>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</si>
  <si>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</si>
  <si>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</si>
  <si>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</si>
  <si>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</si>
  <si>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</si>
  <si>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</si>
  <si>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</si>
  <si>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</si>
  <si>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</si>
  <si>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</si>
  <si>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</si>
  <si>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</si>
  <si>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</si>
  <si>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</si>
  <si>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</si>
  <si>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</si>
  <si>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</si>
  <si>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</si>
  <si>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</si>
  <si>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</si>
  <si>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</si>
  <si>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</si>
  <si>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</si>
  <si>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</si>
  <si>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</si>
  <si>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</si>
  <si>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</si>
  <si>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</si>
  <si>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</si>
  <si>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</si>
  <si>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</si>
  <si>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</si>
  <si>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</si>
  <si>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</si>
  <si>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</si>
  <si>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</si>
  <si>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</si>
  <si>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</si>
  <si>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</si>
  <si>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</si>
  <si>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</si>
  <si>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</si>
  <si>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</si>
  <si>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</si>
  <si>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</si>
  <si>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</si>
  <si>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</si>
  <si>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</si>
  <si>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</si>
  <si>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</si>
  <si>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</si>
  <si>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</si>
  <si>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</si>
  <si>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</si>
  <si>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</si>
  <si>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</si>
  <si>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</si>
  <si>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</si>
  <si>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</si>
  <si>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</si>
  <si>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</si>
  <si>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</si>
  <si>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</si>
  <si>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</si>
  <si>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</si>
  <si>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</si>
  <si>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</si>
  <si>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</si>
  <si>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</si>
  <si>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</si>
  <si>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</si>
  <si>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</si>
  <si>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</si>
  <si>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</si>
  <si>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</si>
  <si>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</si>
  <si>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</si>
  <si>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</si>
  <si>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</si>
  <si>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</si>
  <si>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</si>
  <si>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</si>
  <si>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</si>
  <si>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</si>
  <si>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</si>
  <si>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</si>
  <si>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</si>
  <si>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</si>
  <si>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</si>
  <si>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</si>
  <si>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</si>
  <si>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</si>
  <si>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</si>
  <si>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</si>
  <si>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</si>
  <si>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</si>
  <si>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</si>
  <si>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</si>
  <si>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</si>
  <si>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</si>
  <si>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</si>
  <si>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</si>
  <si>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</si>
  <si>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</si>
  <si>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</si>
  <si>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</si>
  <si>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</si>
  <si>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</si>
  <si>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</si>
  <si>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</si>
  <si>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</si>
  <si>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</si>
  <si>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</si>
  <si>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</si>
  <si>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</si>
  <si>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</si>
  <si>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</si>
  <si>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</si>
  <si>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</si>
  <si>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</si>
  <si>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</si>
  <si>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</si>
  <si>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</si>
  <si>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</si>
  <si>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</si>
  <si>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</si>
  <si>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</si>
  <si>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</si>
  <si>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</si>
  <si>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</si>
  <si>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</si>
  <si>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</si>
  <si>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</si>
  <si>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</si>
  <si>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</si>
  <si>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</si>
  <si>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</si>
  <si>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</si>
  <si>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</si>
  <si>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</si>
  <si>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</si>
  <si>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</si>
  <si>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</si>
  <si>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</si>
  <si>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</si>
  <si>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</si>
  <si>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</si>
  <si>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</si>
  <si>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</si>
  <si>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</si>
  <si>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</si>
  <si>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</si>
  <si>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</si>
  <si>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</si>
  <si>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</si>
  <si>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</si>
  <si>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</si>
  <si>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</si>
  <si>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</si>
  <si>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</si>
  <si>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</si>
  <si>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</si>
  <si>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</si>
  <si>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</si>
  <si>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</si>
  <si>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</si>
  <si>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</si>
  <si>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</si>
  <si>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</si>
  <si>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</si>
  <si>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</si>
  <si>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</si>
  <si>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</si>
  <si>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</si>
  <si>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</si>
  <si>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</si>
  <si>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</si>
  <si>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</si>
  <si>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</si>
  <si>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</si>
  <si>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</si>
  <si>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</si>
  <si>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</si>
  <si>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</si>
  <si>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</si>
  <si>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</si>
  <si>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</si>
  <si>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</si>
  <si>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</si>
  <si>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</si>
  <si>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</si>
  <si>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</si>
  <si>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</si>
  <si>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</si>
  <si>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</si>
  <si>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</si>
  <si>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</si>
  <si>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</si>
  <si>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</si>
  <si>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</si>
  <si>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</si>
  <si>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</si>
  <si>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</si>
  <si>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</si>
  <si>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</si>
  <si>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</si>
  <si>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</si>
  <si>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</si>
  <si>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</si>
  <si>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</si>
  <si>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</si>
  <si>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</si>
  <si>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</si>
  <si>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</si>
  <si>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</si>
  <si>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</si>
  <si>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</si>
  <si>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</si>
  <si>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</si>
  <si>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</si>
  <si>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</si>
  <si>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</si>
  <si>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</si>
  <si>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</si>
  <si>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</si>
  <si>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</si>
  <si>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</si>
  <si>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</si>
  <si>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</si>
  <si>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</si>
  <si>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</si>
  <si>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</si>
  <si>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</si>
  <si>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</si>
  <si>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</si>
  <si>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</si>
  <si>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</si>
  <si>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</si>
  <si>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</si>
  <si>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</si>
  <si>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</si>
  <si>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</si>
  <si>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</si>
  <si>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</si>
  <si>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</si>
  <si>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</si>
  <si>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</si>
  <si>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</si>
  <si>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</si>
  <si>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</si>
  <si>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</si>
  <si>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</si>
  <si>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</si>
  <si>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</si>
  <si>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</si>
  <si>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</si>
  <si>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</si>
  <si>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</si>
  <si>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</si>
  <si>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</si>
  <si>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</si>
  <si>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</si>
  <si>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</si>
  <si>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</si>
  <si>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</si>
  <si>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</si>
  <si>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</si>
  <si>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</si>
  <si>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</si>
  <si>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</si>
  <si>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</si>
  <si>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</si>
  <si>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</si>
  <si>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</si>
  <si>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</si>
  <si>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</si>
  <si>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</si>
  <si>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</si>
  <si>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</si>
  <si>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</si>
  <si>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</si>
  <si>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</si>
  <si>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</si>
  <si>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</si>
  <si>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</si>
  <si>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</si>
  <si>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</si>
  <si>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</si>
  <si>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</si>
  <si>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</si>
  <si>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</si>
  <si>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</si>
  <si>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</si>
  <si>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</si>
  <si>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</si>
  <si>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</si>
  <si>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</si>
  <si>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</si>
  <si>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</si>
  <si>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</si>
  <si>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</si>
  <si>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</si>
  <si>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</si>
  <si>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</si>
  <si>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</si>
  <si>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</si>
  <si>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</si>
  <si>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</si>
  <si>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</si>
  <si>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</si>
  <si>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</si>
  <si>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</si>
  <si>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</si>
  <si>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</si>
  <si>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</si>
  <si>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</si>
  <si>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</si>
  <si>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</si>
  <si>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</si>
  <si>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</si>
  <si>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</si>
  <si>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</si>
  <si>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</si>
  <si>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</si>
  <si>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</si>
  <si>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</si>
  <si>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</si>
  <si>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</si>
  <si>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</si>
  <si>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These are the numbers we had before and they dio NOT jive with the plots in the workbook tab "Solar", so I instead used the more conservative values from the plot</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</si>
  <si>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</si>
  <si>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</si>
  <si>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</si>
  <si>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</si>
  <si>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</si>
  <si>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</si>
  <si>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</si>
  <si>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</si>
  <si>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</si>
  <si>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</si>
  <si>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</si>
  <si>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</si>
  <si>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</si>
  <si>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</si>
  <si>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</si>
  <si>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</si>
  <si>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</si>
  <si>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</si>
  <si>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</si>
  <si>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</si>
  <si>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</si>
  <si>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</si>
  <si>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</si>
  <si>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</si>
  <si>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</si>
  <si>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</si>
  <si>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</si>
  <si>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</si>
  <si>
    <t xml:space="preserve">Annual Amount to be invested </t>
  </si>
  <si>
    <t>2015.07.24</t>
  </si>
  <si>
    <t>Updated CarbonFootprint 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</si>
</sst>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40">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
      <b/>
      <sz val="11"/>
      <name val="Calibri"/>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44" fontId="34" fillId="0" borderId="0" applyFont="0" applyFill="0" applyBorder="0" applyAlignment="0" applyProtection="0"/>
    <xf numFmtId="9" fontId="34" fillId="0" borderId="0" applyFont="0" applyFill="0" applyBorder="0" applyAlignment="0" applyProtection="0"/>
  </cellStyleXfs>
  <cellXfs count="401">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0" fillId="0" borderId="0" xfId="0"/>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xf numFmtId="44" fontId="38" fillId="0" borderId="3" xfId="1" applyFont="1" applyBorder="1"/>
    <xf numFmtId="0" fontId="38" fillId="0" borderId="0" xfId="0" applyFont="1"/>
    <xf numFmtId="9" fontId="0" fillId="0" borderId="0" xfId="2" applyFont="1"/>
    <xf numFmtId="44" fontId="37" fillId="0" borderId="0" xfId="1" applyFont="1"/>
    <xf numFmtId="0" fontId="35" fillId="0" borderId="0" xfId="0" applyFont="1"/>
    <xf numFmtId="44" fontId="35" fillId="0" borderId="0" xfId="1" applyFont="1"/>
    <xf numFmtId="9" fontId="35" fillId="0" borderId="0" xfId="2" applyFont="1"/>
    <xf numFmtId="9" fontId="29" fillId="4" borderId="4" xfId="2" applyFont="1" applyFill="1" applyBorder="1" applyAlignment="1">
      <alignment horizontal="center" vertical="center" wrapText="1"/>
    </xf>
    <xf numFmtId="9" fontId="37" fillId="0" borderId="0" xfId="2" applyFont="1"/>
    <xf numFmtId="44" fontId="38" fillId="0" borderId="0" xfId="0" applyNumberFormat="1" applyFont="1"/>
    <xf numFmtId="0" fontId="39" fillId="4" borderId="4" xfId="0" applyFont="1" applyFill="1" applyBorder="1" applyAlignment="1">
      <alignment horizontal="center" vertical="center" wrapText="1"/>
    </xf>
    <xf numFmtId="44" fontId="38" fillId="0" borderId="29" xfId="1" applyFont="1" applyFill="1" applyBorder="1"/>
    <xf numFmtId="9" fontId="38" fillId="0" borderId="0" xfId="2" applyFont="1"/>
    <xf numFmtId="1" fontId="39" fillId="4" borderId="17" xfId="0" applyNumberFormat="1" applyFont="1" applyFill="1" applyBorder="1" applyAlignment="1">
      <alignment horizontal="center" vertical="center"/>
    </xf>
    <xf numFmtId="1" fontId="39" fillId="4" borderId="5" xfId="0" applyNumberFormat="1" applyFont="1" applyFill="1" applyBorder="1" applyAlignment="1">
      <alignment horizontal="center" vertical="center"/>
    </xf>
    <xf numFmtId="1" fontId="39" fillId="4" borderId="47" xfId="0" applyNumberFormat="1" applyFont="1" applyFill="1" applyBorder="1" applyAlignment="1">
      <alignment horizontal="center" vertical="center"/>
    </xf>
    <xf numFmtId="1" fontId="39" fillId="4" borderId="48" xfId="0"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272337504"/>
        <c:axId val="272339680"/>
      </c:lineChart>
      <c:catAx>
        <c:axId val="272337504"/>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272339680"/>
        <c:crosses val="autoZero"/>
        <c:auto val="1"/>
        <c:lblAlgn val="ctr"/>
        <c:lblOffset val="100"/>
        <c:noMultiLvlLbl val="1"/>
      </c:catAx>
      <c:valAx>
        <c:axId val="272339680"/>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27233750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val>
          <c:smooth val="0"/>
        </c:ser>
        <c:dLbls>
          <c:showLegendKey val="0"/>
          <c:showVal val="0"/>
          <c:showCatName val="0"/>
          <c:showSerName val="0"/>
          <c:showPercent val="0"/>
          <c:showBubbleSize val="0"/>
        </c:dLbls>
        <c:smooth val="0"/>
        <c:axId val="272340224"/>
        <c:axId val="272342944"/>
      </c:lineChart>
      <c:catAx>
        <c:axId val="272340224"/>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272342944"/>
        <c:crosses val="autoZero"/>
        <c:auto val="1"/>
        <c:lblAlgn val="ctr"/>
        <c:lblOffset val="100"/>
        <c:noMultiLvlLbl val="1"/>
      </c:catAx>
      <c:valAx>
        <c:axId val="272342944"/>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27234022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272343488"/>
        <c:axId val="272345120"/>
      </c:scatterChart>
      <c:valAx>
        <c:axId val="272343488"/>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272345120"/>
        <c:crosses val="autoZero"/>
        <c:crossBetween val="midCat"/>
      </c:valAx>
      <c:valAx>
        <c:axId val="272345120"/>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272343488"/>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layout/>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272346208"/>
        <c:axId val="272346752"/>
      </c:scatterChart>
      <c:valAx>
        <c:axId val="272346208"/>
        <c:scaling>
          <c:orientation val="minMax"/>
        </c:scaling>
        <c:delete val="0"/>
        <c:axPos val="b"/>
        <c:majorGridlines>
          <c:spPr>
            <a:ln>
              <a:solidFill>
                <a:srgbClr val="FFFFFF"/>
              </a:solidFill>
            </a:ln>
          </c:spPr>
        </c:majorGridlines>
        <c:title>
          <c:tx>
            <c:rich>
              <a:bodyPr/>
              <a:lstStyle/>
              <a:p>
                <a:pPr>
                  <a:defRPr b="1" i="0"/>
                </a:pPr>
                <a:r>
                  <a:rPr lang="en-CA"/>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272346752"/>
        <c:crosses val="autoZero"/>
        <c:crossBetween val="midCat"/>
      </c:valAx>
      <c:valAx>
        <c:axId val="272346752"/>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272346208"/>
        <c:crosses val="autoZero"/>
        <c:crossBetween val="midCat"/>
      </c:valAx>
      <c:spPr>
        <a:solidFill>
          <a:srgbClr val="FFFFFF"/>
        </a:solidFill>
      </c:spPr>
    </c:plotArea>
    <c:legend>
      <c:legendPos val="r"/>
      <c:layout/>
      <c:overlay val="0"/>
    </c:legend>
    <c:plotVisOnly val="1"/>
    <c:dispBlanksAs val="zero"/>
    <c:showDLblsOverMax val="1"/>
  </c:chart>
  <c:spPr>
    <a:ln w="6350" cmpd="sng"/>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224590096"/>
        <c:axId val="224598256"/>
      </c:lineChart>
      <c:catAx>
        <c:axId val="224590096"/>
        <c:scaling>
          <c:orientation val="minMax"/>
        </c:scaling>
        <c:delete val="0"/>
        <c:axPos val="b"/>
        <c:title>
          <c:tx>
            <c:rich>
              <a:bodyPr/>
              <a:lstStyle/>
              <a:p>
                <a:pPr>
                  <a:defRPr sz="1100" b="1" i="0"/>
                </a:pPr>
                <a:r>
                  <a:rPr lang="en-CA"/>
                  <a:t>Year</a:t>
                </a:r>
              </a:p>
            </c:rich>
          </c:tx>
          <c:layout/>
          <c:overlay val="0"/>
        </c:title>
        <c:numFmt formatCode="General" sourceLinked="1"/>
        <c:majorTickMark val="cross"/>
        <c:minorTickMark val="cross"/>
        <c:tickLblPos val="nextTo"/>
        <c:txPr>
          <a:bodyPr/>
          <a:lstStyle/>
          <a:p>
            <a:pPr>
              <a:defRPr/>
            </a:pPr>
            <a:endParaRPr lang="en-US"/>
          </a:p>
        </c:txPr>
        <c:crossAx val="224598256"/>
        <c:crosses val="autoZero"/>
        <c:auto val="1"/>
        <c:lblAlgn val="ctr"/>
        <c:lblOffset val="100"/>
        <c:noMultiLvlLbl val="1"/>
      </c:catAx>
      <c:valAx>
        <c:axId val="224598256"/>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layout/>
          <c:overlay val="0"/>
        </c:title>
        <c:numFmt formatCode="0%" sourceLinked="1"/>
        <c:majorTickMark val="cross"/>
        <c:minorTickMark val="cross"/>
        <c:tickLblPos val="nextTo"/>
        <c:spPr>
          <a:ln w="47625">
            <a:noFill/>
          </a:ln>
        </c:spPr>
        <c:txPr>
          <a:bodyPr/>
          <a:lstStyle/>
          <a:p>
            <a:pPr>
              <a:defRPr/>
            </a:pPr>
            <a:endParaRPr lang="en-US"/>
          </a:p>
        </c:txPr>
        <c:crossAx val="22459009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layout/>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360506096"/>
        <c:axId val="360507184"/>
      </c:scatterChart>
      <c:valAx>
        <c:axId val="360506096"/>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360507184"/>
        <c:crosses val="autoZero"/>
        <c:crossBetween val="midCat"/>
      </c:valAx>
      <c:valAx>
        <c:axId val="360507184"/>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360506096"/>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360505008"/>
        <c:axId val="360510448"/>
      </c:scatterChart>
      <c:valAx>
        <c:axId val="360505008"/>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360510448"/>
        <c:crosses val="autoZero"/>
        <c:crossBetween val="midCat"/>
      </c:valAx>
      <c:valAx>
        <c:axId val="360510448"/>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360505008"/>
        <c:crosses val="autoZero"/>
        <c:crossBetween val="midCat"/>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Tax</a:t>
            </a:r>
            <a:r>
              <a:rPr lang="en-CA" baseline="0"/>
              <a:t> vs Carbon Reinvestment Tax</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CarbonFootprint!$H$2:$H$3</c:f>
              <c:strCache>
                <c:ptCount val="2"/>
                <c:pt idx="1">
                  <c:v>Alberta's 2016 Carbon tax ($20M/MT)</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CarbonFootprint!$H$4:$H$63</c:f>
              <c:numCache>
                <c:formatCode>_("$"* #,##0.00_);_("$"* \(#,##0.00\);_("$"* "-"??_);_(@_)</c:formatCode>
                <c:ptCount val="60"/>
                <c:pt idx="0">
                  <c:v>6.9584333333333319</c:v>
                </c:pt>
                <c:pt idx="1">
                  <c:v>13.916866666666664</c:v>
                </c:pt>
                <c:pt idx="2">
                  <c:v>20.875300000000003</c:v>
                </c:pt>
                <c:pt idx="3">
                  <c:v>27.833733333333328</c:v>
                </c:pt>
                <c:pt idx="4">
                  <c:v>34.792166666666667</c:v>
                </c:pt>
                <c:pt idx="5">
                  <c:v>41.750599999999991</c:v>
                </c:pt>
                <c:pt idx="6">
                  <c:v>48.709033333333338</c:v>
                </c:pt>
                <c:pt idx="7">
                  <c:v>55.667466666666655</c:v>
                </c:pt>
                <c:pt idx="8">
                  <c:v>62.625900000000001</c:v>
                </c:pt>
                <c:pt idx="9">
                  <c:v>69.584333333333333</c:v>
                </c:pt>
                <c:pt idx="10">
                  <c:v>76.542766666666665</c:v>
                </c:pt>
                <c:pt idx="11">
                  <c:v>83.501199999999983</c:v>
                </c:pt>
                <c:pt idx="12">
                  <c:v>90.459633333333329</c:v>
                </c:pt>
                <c:pt idx="13">
                  <c:v>97.418066666666675</c:v>
                </c:pt>
                <c:pt idx="14">
                  <c:v>104.37649999999999</c:v>
                </c:pt>
                <c:pt idx="15">
                  <c:v>111.33493333333334</c:v>
                </c:pt>
                <c:pt idx="16">
                  <c:v>118.29336666666666</c:v>
                </c:pt>
                <c:pt idx="17">
                  <c:v>125.2518</c:v>
                </c:pt>
                <c:pt idx="18">
                  <c:v>132.21023333333332</c:v>
                </c:pt>
                <c:pt idx="19">
                  <c:v>139.16866666666667</c:v>
                </c:pt>
                <c:pt idx="20">
                  <c:v>146.12710000000001</c:v>
                </c:pt>
                <c:pt idx="21">
                  <c:v>153.08553333333333</c:v>
                </c:pt>
                <c:pt idx="22">
                  <c:v>160.04396666666665</c:v>
                </c:pt>
                <c:pt idx="23">
                  <c:v>167.00239999999997</c:v>
                </c:pt>
                <c:pt idx="24">
                  <c:v>173.96083333333331</c:v>
                </c:pt>
                <c:pt idx="25">
                  <c:v>180.91926666666666</c:v>
                </c:pt>
                <c:pt idx="26">
                  <c:v>187.8777</c:v>
                </c:pt>
                <c:pt idx="27">
                  <c:v>194.83613333333335</c:v>
                </c:pt>
                <c:pt idx="28">
                  <c:v>201.7945666666667</c:v>
                </c:pt>
                <c:pt idx="29">
                  <c:v>208.75299999999999</c:v>
                </c:pt>
                <c:pt idx="30">
                  <c:v>215.71143333333333</c:v>
                </c:pt>
                <c:pt idx="31">
                  <c:v>222.66986666666668</c:v>
                </c:pt>
                <c:pt idx="32">
                  <c:v>229.62830000000002</c:v>
                </c:pt>
                <c:pt idx="33">
                  <c:v>236.58673333333331</c:v>
                </c:pt>
                <c:pt idx="34">
                  <c:v>243.54516666666666</c:v>
                </c:pt>
                <c:pt idx="35">
                  <c:v>250.50360000000001</c:v>
                </c:pt>
                <c:pt idx="36">
                  <c:v>257.46203333333335</c:v>
                </c:pt>
                <c:pt idx="37">
                  <c:v>264.42046666666664</c:v>
                </c:pt>
                <c:pt idx="38">
                  <c:v>271.37889999999999</c:v>
                </c:pt>
                <c:pt idx="39">
                  <c:v>278.33733333333333</c:v>
                </c:pt>
                <c:pt idx="40">
                  <c:v>285.29576666666668</c:v>
                </c:pt>
                <c:pt idx="41">
                  <c:v>292.25420000000003</c:v>
                </c:pt>
                <c:pt idx="42">
                  <c:v>299.21263333333332</c:v>
                </c:pt>
                <c:pt idx="43">
                  <c:v>306.17106666666666</c:v>
                </c:pt>
                <c:pt idx="44">
                  <c:v>313.12950000000001</c:v>
                </c:pt>
                <c:pt idx="45">
                  <c:v>320.0879333333333</c:v>
                </c:pt>
                <c:pt idx="46">
                  <c:v>327.04636666666664</c:v>
                </c:pt>
                <c:pt idx="47">
                  <c:v>334.00479999999993</c:v>
                </c:pt>
                <c:pt idx="48">
                  <c:v>340.96323333333333</c:v>
                </c:pt>
                <c:pt idx="49">
                  <c:v>347.92166666666662</c:v>
                </c:pt>
                <c:pt idx="50">
                  <c:v>354.88009999999991</c:v>
                </c:pt>
                <c:pt idx="51">
                  <c:v>361.83853333333332</c:v>
                </c:pt>
                <c:pt idx="52">
                  <c:v>368.79696666666661</c:v>
                </c:pt>
                <c:pt idx="53">
                  <c:v>375.75540000000001</c:v>
                </c:pt>
                <c:pt idx="54">
                  <c:v>382.7138333333333</c:v>
                </c:pt>
                <c:pt idx="55">
                  <c:v>389.6722666666667</c:v>
                </c:pt>
                <c:pt idx="56">
                  <c:v>396.63070000000005</c:v>
                </c:pt>
                <c:pt idx="57">
                  <c:v>403.58913333333345</c:v>
                </c:pt>
                <c:pt idx="58">
                  <c:v>410.5475666666668</c:v>
                </c:pt>
                <c:pt idx="59">
                  <c:v>417.50600000000014</c:v>
                </c:pt>
              </c:numCache>
            </c:numRef>
          </c:val>
          <c:smooth val="0"/>
        </c:ser>
        <c:ser>
          <c:idx val="1"/>
          <c:order val="1"/>
          <c:tx>
            <c:strRef>
              <c:f>CarbonFootprint!$I$2:$I$3</c:f>
              <c:strCache>
                <c:ptCount val="2"/>
                <c:pt idx="1">
                  <c:v>Alberta's 2017 Carbon Tax ($30M/MT)</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CarbonFootprint!$I$4:$I$63</c:f>
              <c:numCache>
                <c:formatCode>_("$"* #,##0.00_);_("$"* \(#,##0.00\);_("$"* "-"??_);_(@_)</c:formatCode>
                <c:ptCount val="60"/>
                <c:pt idx="0">
                  <c:v>10.437649999999998</c:v>
                </c:pt>
                <c:pt idx="1">
                  <c:v>20.875299999999996</c:v>
                </c:pt>
                <c:pt idx="2">
                  <c:v>31.312950000000004</c:v>
                </c:pt>
                <c:pt idx="3">
                  <c:v>41.750599999999991</c:v>
                </c:pt>
                <c:pt idx="4">
                  <c:v>52.188249999999989</c:v>
                </c:pt>
                <c:pt idx="5">
                  <c:v>62.625899999999994</c:v>
                </c:pt>
                <c:pt idx="6">
                  <c:v>73.063550000000006</c:v>
                </c:pt>
                <c:pt idx="7">
                  <c:v>83.501199999999983</c:v>
                </c:pt>
                <c:pt idx="8">
                  <c:v>93.938850000000002</c:v>
                </c:pt>
                <c:pt idx="9">
                  <c:v>104.37649999999998</c:v>
                </c:pt>
                <c:pt idx="10">
                  <c:v>114.81415</c:v>
                </c:pt>
                <c:pt idx="11">
                  <c:v>125.25179999999999</c:v>
                </c:pt>
                <c:pt idx="12">
                  <c:v>135.68944999999999</c:v>
                </c:pt>
                <c:pt idx="13">
                  <c:v>146.12710000000001</c:v>
                </c:pt>
                <c:pt idx="14">
                  <c:v>156.56475</c:v>
                </c:pt>
                <c:pt idx="15">
                  <c:v>167.00239999999999</c:v>
                </c:pt>
                <c:pt idx="16">
                  <c:v>177.44005000000001</c:v>
                </c:pt>
                <c:pt idx="17">
                  <c:v>187.8777</c:v>
                </c:pt>
                <c:pt idx="18">
                  <c:v>198.31535</c:v>
                </c:pt>
                <c:pt idx="19">
                  <c:v>208.75299999999999</c:v>
                </c:pt>
                <c:pt idx="20">
                  <c:v>219.19065000000001</c:v>
                </c:pt>
                <c:pt idx="21">
                  <c:v>229.6283</c:v>
                </c:pt>
                <c:pt idx="22">
                  <c:v>240.06594999999996</c:v>
                </c:pt>
                <c:pt idx="23">
                  <c:v>250.50359999999998</c:v>
                </c:pt>
                <c:pt idx="24">
                  <c:v>260.94124999999997</c:v>
                </c:pt>
                <c:pt idx="25">
                  <c:v>271.37889999999999</c:v>
                </c:pt>
                <c:pt idx="26">
                  <c:v>281.81655000000001</c:v>
                </c:pt>
                <c:pt idx="27">
                  <c:v>292.25420000000003</c:v>
                </c:pt>
                <c:pt idx="28">
                  <c:v>302.69185000000004</c:v>
                </c:pt>
                <c:pt idx="29">
                  <c:v>313.12950000000001</c:v>
                </c:pt>
                <c:pt idx="30">
                  <c:v>323.56715000000003</c:v>
                </c:pt>
                <c:pt idx="31">
                  <c:v>334.00479999999999</c:v>
                </c:pt>
                <c:pt idx="32">
                  <c:v>344.44245000000001</c:v>
                </c:pt>
                <c:pt idx="33">
                  <c:v>354.88010000000003</c:v>
                </c:pt>
                <c:pt idx="34">
                  <c:v>365.31774999999999</c:v>
                </c:pt>
                <c:pt idx="35">
                  <c:v>375.75540000000001</c:v>
                </c:pt>
                <c:pt idx="36">
                  <c:v>386.19305000000003</c:v>
                </c:pt>
                <c:pt idx="37">
                  <c:v>396.63069999999999</c:v>
                </c:pt>
                <c:pt idx="38">
                  <c:v>407.06835000000001</c:v>
                </c:pt>
                <c:pt idx="39">
                  <c:v>417.50599999999997</c:v>
                </c:pt>
                <c:pt idx="40">
                  <c:v>427.94364999999999</c:v>
                </c:pt>
                <c:pt idx="41">
                  <c:v>438.38130000000001</c:v>
                </c:pt>
                <c:pt idx="42">
                  <c:v>448.81894999999997</c:v>
                </c:pt>
                <c:pt idx="43">
                  <c:v>459.25659999999999</c:v>
                </c:pt>
                <c:pt idx="44">
                  <c:v>469.69424999999995</c:v>
                </c:pt>
                <c:pt idx="45">
                  <c:v>480.13189999999992</c:v>
                </c:pt>
                <c:pt idx="46">
                  <c:v>490.56954999999999</c:v>
                </c:pt>
                <c:pt idx="47">
                  <c:v>501.00719999999995</c:v>
                </c:pt>
                <c:pt idx="48">
                  <c:v>511.44484999999997</c:v>
                </c:pt>
                <c:pt idx="49">
                  <c:v>521.88249999999994</c:v>
                </c:pt>
                <c:pt idx="50">
                  <c:v>532.3201499999999</c:v>
                </c:pt>
                <c:pt idx="51">
                  <c:v>542.75779999999997</c:v>
                </c:pt>
                <c:pt idx="52">
                  <c:v>553.19545000000005</c:v>
                </c:pt>
                <c:pt idx="53">
                  <c:v>563.63310000000001</c:v>
                </c:pt>
                <c:pt idx="54">
                  <c:v>574.07074999999998</c:v>
                </c:pt>
                <c:pt idx="55">
                  <c:v>584.50840000000005</c:v>
                </c:pt>
                <c:pt idx="56">
                  <c:v>594.94605000000013</c:v>
                </c:pt>
                <c:pt idx="57">
                  <c:v>605.38370000000009</c:v>
                </c:pt>
                <c:pt idx="58">
                  <c:v>615.82135000000028</c:v>
                </c:pt>
                <c:pt idx="59">
                  <c:v>626.25900000000024</c:v>
                </c:pt>
              </c:numCache>
            </c:numRef>
          </c:val>
          <c:smooth val="0"/>
        </c:ser>
        <c:ser>
          <c:idx val="2"/>
          <c:order val="2"/>
          <c:tx>
            <c:v>"Carbon Reinvestment" Tax</c:v>
          </c:tx>
          <c:spPr>
            <a:ln w="28575" cap="rnd">
              <a:solidFill>
                <a:schemeClr val="accent3"/>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CarbonFootprint!$J$4:$J$63</c:f>
              <c:numCache>
                <c:formatCode>_("$"* #,##0.00_);_("$"* \(#,##0.00\);_("$"* "-"??_);_(@_)</c:formatCode>
                <c:ptCount val="60"/>
                <c:pt idx="0">
                  <c:v>5.2012499999999999</c:v>
                </c:pt>
                <c:pt idx="1">
                  <c:v>5.6693625000000001</c:v>
                </c:pt>
                <c:pt idx="2">
                  <c:v>6.1787625000000004</c:v>
                </c:pt>
                <c:pt idx="3">
                  <c:v>6.7340625000000003</c:v>
                </c:pt>
                <c:pt idx="4">
                  <c:v>7.3397625</c:v>
                </c:pt>
                <c:pt idx="5">
                  <c:v>7.9994624999999999</c:v>
                </c:pt>
                <c:pt idx="6">
                  <c:v>8.7185625000000009</c:v>
                </c:pt>
                <c:pt idx="7">
                  <c:v>9.5024625</c:v>
                </c:pt>
                <c:pt idx="8">
                  <c:v>10.3574625</c:v>
                </c:pt>
                <c:pt idx="9">
                  <c:v>11.2889625</c:v>
                </c:pt>
                <c:pt idx="10">
                  <c:v>12.3041625</c:v>
                </c:pt>
                <c:pt idx="11">
                  <c:v>13.4111625</c:v>
                </c:pt>
                <c:pt idx="12">
                  <c:v>14.618062500000001</c:v>
                </c:pt>
                <c:pt idx="13">
                  <c:v>15.9329625</c:v>
                </c:pt>
                <c:pt idx="14">
                  <c:v>17.3666625</c:v>
                </c:pt>
                <c:pt idx="15">
                  <c:v>18.929062500000001</c:v>
                </c:pt>
                <c:pt idx="16">
                  <c:v>20.6318625</c:v>
                </c:pt>
                <c:pt idx="17">
                  <c:v>22.4885625</c:v>
                </c:pt>
                <c:pt idx="18">
                  <c:v>24.5117625</c:v>
                </c:pt>
                <c:pt idx="19">
                  <c:v>26.717662499999999</c:v>
                </c:pt>
                <c:pt idx="20">
                  <c:v>29.1215625</c:v>
                </c:pt>
                <c:pt idx="21">
                  <c:v>31.273462500000001</c:v>
                </c:pt>
                <c:pt idx="22">
                  <c:v>33.578362499999997</c:v>
                </c:pt>
                <c:pt idx="23">
                  <c:v>36.044362499999998</c:v>
                </c:pt>
                <c:pt idx="24">
                  <c:v>38.6822625</c:v>
                </c:pt>
                <c:pt idx="25">
                  <c:v>41.503762500000001</c:v>
                </c:pt>
                <c:pt idx="26">
                  <c:v>44.519662500000003</c:v>
                </c:pt>
                <c:pt idx="27">
                  <c:v>47.741662499999997</c:v>
                </c:pt>
                <c:pt idx="28">
                  <c:v>51.183262499999998</c:v>
                </c:pt>
                <c:pt idx="29">
                  <c:v>54.857962499999999</c:v>
                </c:pt>
                <c:pt idx="30">
                  <c:v>58.779262500000002</c:v>
                </c:pt>
                <c:pt idx="31">
                  <c:v>62.961562499999999</c:v>
                </c:pt>
                <c:pt idx="32">
                  <c:v>67.421062500000005</c:v>
                </c:pt>
                <c:pt idx="33">
                  <c:v>72.173962500000002</c:v>
                </c:pt>
                <c:pt idx="34">
                  <c:v>77.2355625</c:v>
                </c:pt>
                <c:pt idx="35">
                  <c:v>82.623862500000001</c:v>
                </c:pt>
                <c:pt idx="36">
                  <c:v>88.356862500000005</c:v>
                </c:pt>
                <c:pt idx="37">
                  <c:v>94.451662499999998</c:v>
                </c:pt>
                <c:pt idx="38">
                  <c:v>100.9289625</c:v>
                </c:pt>
                <c:pt idx="39">
                  <c:v>107.8058625</c:v>
                </c:pt>
                <c:pt idx="40">
                  <c:v>115.10396249999999</c:v>
                </c:pt>
                <c:pt idx="41">
                  <c:v>122.8421625</c:v>
                </c:pt>
                <c:pt idx="42">
                  <c:v>131.0834625</c:v>
                </c:pt>
                <c:pt idx="43">
                  <c:v>139.8593625</c:v>
                </c:pt>
                <c:pt idx="44">
                  <c:v>149.20226249999999</c:v>
                </c:pt>
                <c:pt idx="45">
                  <c:v>159.14906250000001</c:v>
                </c:pt>
                <c:pt idx="46">
                  <c:v>169.73666249999999</c:v>
                </c:pt>
                <c:pt idx="47">
                  <c:v>181.0064625</c:v>
                </c:pt>
                <c:pt idx="48">
                  <c:v>192.99986250000001</c:v>
                </c:pt>
                <c:pt idx="49">
                  <c:v>205.76276250000001</c:v>
                </c:pt>
                <c:pt idx="50">
                  <c:v>219.3446625</c:v>
                </c:pt>
                <c:pt idx="51">
                  <c:v>233.7959625</c:v>
                </c:pt>
                <c:pt idx="52">
                  <c:v>249.17066249999999</c:v>
                </c:pt>
                <c:pt idx="53">
                  <c:v>265.52816250000001</c:v>
                </c:pt>
                <c:pt idx="54">
                  <c:v>282.92966250000001</c:v>
                </c:pt>
                <c:pt idx="55">
                  <c:v>301.44176249999998</c:v>
                </c:pt>
                <c:pt idx="56">
                  <c:v>321.13556249999999</c:v>
                </c:pt>
                <c:pt idx="57">
                  <c:v>342.08576249999999</c:v>
                </c:pt>
                <c:pt idx="58">
                  <c:v>364.37246249999998</c:v>
                </c:pt>
                <c:pt idx="59">
                  <c:v>388.08296250000001</c:v>
                </c:pt>
              </c:numCache>
            </c:numRef>
          </c:val>
          <c:smooth val="0"/>
        </c:ser>
        <c:dLbls>
          <c:showLegendKey val="0"/>
          <c:showVal val="0"/>
          <c:showCatName val="0"/>
          <c:showSerName val="0"/>
          <c:showPercent val="0"/>
          <c:showBubbleSize val="0"/>
        </c:dLbls>
        <c:smooth val="0"/>
        <c:axId val="371725792"/>
        <c:axId val="371733408"/>
      </c:lineChart>
      <c:catAx>
        <c:axId val="3717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atin typeface="Arial" panose="020B0604020202020204" pitchFamily="34" charset="0"/>
                    <a:cs typeface="Arial" panose="020B0604020202020204" pitchFamily="34" charset="0"/>
                  </a:rPr>
                  <a:t>Years</a:t>
                </a:r>
              </a:p>
            </c:rich>
          </c:tx>
          <c:layout>
            <c:manualLayout>
              <c:xMode val="edge"/>
              <c:yMode val="edge"/>
              <c:x val="0.48168206180385198"/>
              <c:y val="0.8940217733442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33408"/>
        <c:crosses val="autoZero"/>
        <c:auto val="1"/>
        <c:lblAlgn val="ctr"/>
        <c:lblOffset val="100"/>
        <c:noMultiLvlLbl val="0"/>
      </c:catAx>
      <c:valAx>
        <c:axId val="3717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Amount Collected (Billions)</a:t>
                </a:r>
              </a:p>
            </c:rich>
          </c:tx>
          <c:layout>
            <c:manualLayout>
              <c:xMode val="edge"/>
              <c:yMode val="edge"/>
              <c:x val="1.3772325298528029E-2"/>
              <c:y val="0.2914349901821793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25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Reinvestment</a:t>
            </a:r>
            <a:r>
              <a:rPr lang="en-CA" baseline="0"/>
              <a:t> Tax as a Percentage from the Carbon Tax</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CarbonFootprint!$K$2:$K$3</c:f>
              <c:strCache>
                <c:ptCount val="2"/>
                <c:pt idx="1">
                  <c:v>% of 2016 tax</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CarbonFootprint!$K$4:$K$63</c:f>
              <c:numCache>
                <c:formatCode>0%</c:formatCode>
                <c:ptCount val="60"/>
                <c:pt idx="0">
                  <c:v>0.74747428779466651</c:v>
                </c:pt>
                <c:pt idx="1">
                  <c:v>0.40737348684809327</c:v>
                </c:pt>
                <c:pt idx="2">
                  <c:v>0.29598436908691128</c:v>
                </c:pt>
                <c:pt idx="3">
                  <c:v>0.24193888830340168</c:v>
                </c:pt>
                <c:pt idx="4">
                  <c:v>0.21096020176955541</c:v>
                </c:pt>
                <c:pt idx="5">
                  <c:v>0.19160113866627071</c:v>
                </c:pt>
                <c:pt idx="6">
                  <c:v>0.1789927227735307</c:v>
                </c:pt>
                <c:pt idx="7">
                  <c:v>0.17070046598132724</c:v>
                </c:pt>
                <c:pt idx="8">
                  <c:v>0.16538624594616605</c:v>
                </c:pt>
                <c:pt idx="9">
                  <c:v>0.16223425531609126</c:v>
                </c:pt>
                <c:pt idx="10">
                  <c:v>0.16074886022323903</c:v>
                </c:pt>
                <c:pt idx="11">
                  <c:v>0.16061041637724971</c:v>
                </c:pt>
                <c:pt idx="12">
                  <c:v>0.16159763157710494</c:v>
                </c:pt>
                <c:pt idx="13">
                  <c:v>0.16355243996493463</c:v>
                </c:pt>
                <c:pt idx="14">
                  <c:v>0.16638479447001961</c:v>
                </c:pt>
                <c:pt idx="15">
                  <c:v>0.17001907607315822</c:v>
                </c:pt>
                <c:pt idx="16">
                  <c:v>0.17441267487244286</c:v>
                </c:pt>
                <c:pt idx="17">
                  <c:v>0.17954682088401125</c:v>
                </c:pt>
                <c:pt idx="18">
                  <c:v>0.18539988835962523</c:v>
                </c:pt>
                <c:pt idx="19">
                  <c:v>0.19198044459241304</c:v>
                </c:pt>
                <c:pt idx="20">
                  <c:v>0.19928926598830743</c:v>
                </c:pt>
                <c:pt idx="21">
                  <c:v>0.20428751051155281</c:v>
                </c:pt>
                <c:pt idx="22">
                  <c:v>0.20980711237891089</c:v>
                </c:pt>
                <c:pt idx="23">
                  <c:v>0.21583140421934061</c:v>
                </c:pt>
                <c:pt idx="24">
                  <c:v>0.22236190617619869</c:v>
                </c:pt>
                <c:pt idx="25">
                  <c:v>0.2294048791191946</c:v>
                </c:pt>
                <c:pt idx="26">
                  <c:v>0.23696086603146621</c:v>
                </c:pt>
                <c:pt idx="27">
                  <c:v>0.24503495159350999</c:v>
                </c:pt>
                <c:pt idx="28">
                  <c:v>0.25364043911324335</c:v>
                </c:pt>
                <c:pt idx="29">
                  <c:v>0.26278885812419461</c:v>
                </c:pt>
                <c:pt idx="30">
                  <c:v>0.27249025047814651</c:v>
                </c:pt>
                <c:pt idx="31">
                  <c:v>0.28275744465349001</c:v>
                </c:pt>
                <c:pt idx="32">
                  <c:v>0.29360955291660479</c:v>
                </c:pt>
                <c:pt idx="33">
                  <c:v>0.3050634390319435</c:v>
                </c:pt>
                <c:pt idx="34">
                  <c:v>0.31713034406348994</c:v>
                </c:pt>
                <c:pt idx="35">
                  <c:v>0.32983103835633498</c:v>
                </c:pt>
                <c:pt idx="36">
                  <c:v>0.34318404681285691</c:v>
                </c:pt>
                <c:pt idx="37">
                  <c:v>0.35720254067574703</c:v>
                </c:pt>
                <c:pt idx="38">
                  <c:v>0.37191160587650701</c:v>
                </c:pt>
                <c:pt idx="39">
                  <c:v>0.38732088580762913</c:v>
                </c:pt>
                <c:pt idx="40">
                  <c:v>0.40345485614753246</c:v>
                </c:pt>
                <c:pt idx="41">
                  <c:v>0.42032642302488721</c:v>
                </c:pt>
                <c:pt idx="42">
                  <c:v>0.43809467882316466</c:v>
                </c:pt>
                <c:pt idx="43">
                  <c:v>0.45680136932163851</c:v>
                </c:pt>
                <c:pt idx="44">
                  <c:v>0.47648740377383791</c:v>
                </c:pt>
                <c:pt idx="45">
                  <c:v>0.49720419274370242</c:v>
                </c:pt>
                <c:pt idx="46">
                  <c:v>0.51899877142802686</c:v>
                </c:pt>
                <c:pt idx="47">
                  <c:v>0.54192772828414448</c:v>
                </c:pt>
                <c:pt idx="48">
                  <c:v>0.56604303230348296</c:v>
                </c:pt>
                <c:pt idx="49">
                  <c:v>0.59140542890401582</c:v>
                </c:pt>
                <c:pt idx="50">
                  <c:v>0.61808104342847081</c:v>
                </c:pt>
                <c:pt idx="51">
                  <c:v>0.64613340195203095</c:v>
                </c:pt>
                <c:pt idx="52">
                  <c:v>0.67563099759768463</c:v>
                </c:pt>
                <c:pt idx="53">
                  <c:v>0.70665162097470857</c:v>
                </c:pt>
                <c:pt idx="54">
                  <c:v>0.73927210844656355</c:v>
                </c:pt>
                <c:pt idx="55">
                  <c:v>0.77357766586416876</c:v>
                </c:pt>
                <c:pt idx="56">
                  <c:v>0.80965886528702879</c:v>
                </c:pt>
                <c:pt idx="57">
                  <c:v>0.84760895238837752</c:v>
                </c:pt>
                <c:pt idx="58">
                  <c:v>0.88752800426617195</c:v>
                </c:pt>
                <c:pt idx="59">
                  <c:v>0.92952667147298451</c:v>
                </c:pt>
              </c:numCache>
            </c:numRef>
          </c:val>
          <c:smooth val="0"/>
        </c:ser>
        <c:ser>
          <c:idx val="1"/>
          <c:order val="1"/>
          <c:tx>
            <c:strRef>
              <c:f>CarbonFootprint!$L$2:$L$3</c:f>
              <c:strCache>
                <c:ptCount val="2"/>
                <c:pt idx="1">
                  <c:v>% of 2017 tax</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CarbonFootprint!$L$4:$L$63</c:f>
              <c:numCache>
                <c:formatCode>0%</c:formatCode>
                <c:ptCount val="60"/>
                <c:pt idx="0">
                  <c:v>0.49831619186311105</c:v>
                </c:pt>
                <c:pt idx="1">
                  <c:v>0.27158232456539555</c:v>
                </c:pt>
                <c:pt idx="2">
                  <c:v>0.19732291272460753</c:v>
                </c:pt>
                <c:pt idx="3">
                  <c:v>0.1612925922022678</c:v>
                </c:pt>
                <c:pt idx="4">
                  <c:v>0.14064013451303697</c:v>
                </c:pt>
                <c:pt idx="5">
                  <c:v>0.12773409244418046</c:v>
                </c:pt>
                <c:pt idx="6">
                  <c:v>0.11932848184902048</c:v>
                </c:pt>
                <c:pt idx="7">
                  <c:v>0.11380031065421817</c:v>
                </c:pt>
                <c:pt idx="8">
                  <c:v>0.11025749729744404</c:v>
                </c:pt>
                <c:pt idx="9">
                  <c:v>0.10815617021072753</c:v>
                </c:pt>
                <c:pt idx="10">
                  <c:v>0.10716590681549269</c:v>
                </c:pt>
                <c:pt idx="11">
                  <c:v>0.10707361091816646</c:v>
                </c:pt>
                <c:pt idx="12">
                  <c:v>0.10773175438473663</c:v>
                </c:pt>
                <c:pt idx="13">
                  <c:v>0.10903495997662309</c:v>
                </c:pt>
                <c:pt idx="14">
                  <c:v>0.11092319631334639</c:v>
                </c:pt>
                <c:pt idx="15">
                  <c:v>0.11334605071543882</c:v>
                </c:pt>
                <c:pt idx="16">
                  <c:v>0.11627511658162855</c:v>
                </c:pt>
                <c:pt idx="17">
                  <c:v>0.11969788058934083</c:v>
                </c:pt>
                <c:pt idx="18">
                  <c:v>0.12359992557308348</c:v>
                </c:pt>
                <c:pt idx="19">
                  <c:v>0.1279869630616087</c:v>
                </c:pt>
                <c:pt idx="20">
                  <c:v>0.13285951065887161</c:v>
                </c:pt>
                <c:pt idx="21">
                  <c:v>0.13619167367436855</c:v>
                </c:pt>
                <c:pt idx="22">
                  <c:v>0.13987140825260727</c:v>
                </c:pt>
                <c:pt idx="23">
                  <c:v>0.1438876028128937</c:v>
                </c:pt>
                <c:pt idx="24">
                  <c:v>0.14824127078413246</c:v>
                </c:pt>
                <c:pt idx="25">
                  <c:v>0.15293658607946309</c:v>
                </c:pt>
                <c:pt idx="26">
                  <c:v>0.15797391068764416</c:v>
                </c:pt>
                <c:pt idx="27">
                  <c:v>0.16335663439567333</c:v>
                </c:pt>
                <c:pt idx="28">
                  <c:v>0.16909362607549555</c:v>
                </c:pt>
                <c:pt idx="29">
                  <c:v>0.1751925720827964</c:v>
                </c:pt>
                <c:pt idx="30">
                  <c:v>0.181660166985431</c:v>
                </c:pt>
                <c:pt idx="31">
                  <c:v>0.18850496310232667</c:v>
                </c:pt>
                <c:pt idx="32">
                  <c:v>0.19573970194440321</c:v>
                </c:pt>
                <c:pt idx="33">
                  <c:v>0.20337562602129564</c:v>
                </c:pt>
                <c:pt idx="34">
                  <c:v>0.21142022937565996</c:v>
                </c:pt>
                <c:pt idx="35">
                  <c:v>0.21988735890422334</c:v>
                </c:pt>
                <c:pt idx="36">
                  <c:v>0.22878936454190463</c:v>
                </c:pt>
                <c:pt idx="37">
                  <c:v>0.23813502711716467</c:v>
                </c:pt>
                <c:pt idx="38">
                  <c:v>0.24794107058433798</c:v>
                </c:pt>
                <c:pt idx="39">
                  <c:v>0.25821392387175279</c:v>
                </c:pt>
                <c:pt idx="40">
                  <c:v>0.26896990409835497</c:v>
                </c:pt>
                <c:pt idx="41">
                  <c:v>0.28021761534992484</c:v>
                </c:pt>
                <c:pt idx="42">
                  <c:v>0.29206311921544315</c:v>
                </c:pt>
                <c:pt idx="43">
                  <c:v>0.30453424621442565</c:v>
                </c:pt>
                <c:pt idx="44">
                  <c:v>0.31765826918255868</c:v>
                </c:pt>
                <c:pt idx="45">
                  <c:v>0.33146946182913495</c:v>
                </c:pt>
                <c:pt idx="46">
                  <c:v>0.34599918095201793</c:v>
                </c:pt>
                <c:pt idx="47">
                  <c:v>0.36128515218942964</c:v>
                </c:pt>
                <c:pt idx="48">
                  <c:v>0.37736202153565535</c:v>
                </c:pt>
                <c:pt idx="49">
                  <c:v>0.39427028593601054</c:v>
                </c:pt>
                <c:pt idx="50">
                  <c:v>0.41205402895231386</c:v>
                </c:pt>
                <c:pt idx="51">
                  <c:v>0.43075560130135399</c:v>
                </c:pt>
                <c:pt idx="52">
                  <c:v>0.45042066506512296</c:v>
                </c:pt>
                <c:pt idx="53">
                  <c:v>0.47110108064980571</c:v>
                </c:pt>
                <c:pt idx="54">
                  <c:v>0.49284807229770899</c:v>
                </c:pt>
                <c:pt idx="55">
                  <c:v>0.51571844390944588</c:v>
                </c:pt>
                <c:pt idx="56">
                  <c:v>0.53977257685801916</c:v>
                </c:pt>
                <c:pt idx="57">
                  <c:v>0.56507263492558513</c:v>
                </c:pt>
                <c:pt idx="58">
                  <c:v>0.5916853361774479</c:v>
                </c:pt>
                <c:pt idx="59">
                  <c:v>0.61968444764865627</c:v>
                </c:pt>
              </c:numCache>
            </c:numRef>
          </c:val>
          <c:smooth val="0"/>
        </c:ser>
        <c:dLbls>
          <c:showLegendKey val="0"/>
          <c:showVal val="0"/>
          <c:showCatName val="0"/>
          <c:showSerName val="0"/>
          <c:showPercent val="0"/>
          <c:showBubbleSize val="0"/>
        </c:dLbls>
        <c:smooth val="0"/>
        <c:axId val="371859952"/>
        <c:axId val="371867024"/>
      </c:lineChart>
      <c:catAx>
        <c:axId val="37185995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8334012511675478"/>
              <c:y val="0.8555123157682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67024"/>
        <c:crosses val="autoZero"/>
        <c:auto val="1"/>
        <c:lblAlgn val="ctr"/>
        <c:lblOffset val="100"/>
        <c:noMultiLvlLbl val="0"/>
      </c:catAx>
      <c:valAx>
        <c:axId val="37186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Percentage of the Carbon Tax</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5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twoCellAnchor>
    <xdr:from>
      <xdr:col>2</xdr:col>
      <xdr:colOff>61913</xdr:colOff>
      <xdr:row>63</xdr:row>
      <xdr:rowOff>133349</xdr:rowOff>
    </xdr:from>
    <xdr:to>
      <xdr:col>7</xdr:col>
      <xdr:colOff>85725</xdr:colOff>
      <xdr:row>83</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300036</xdr:colOff>
      <xdr:row>63</xdr:row>
      <xdr:rowOff>114300</xdr:rowOff>
    </xdr:from>
    <xdr:to>
      <xdr:col>12</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seia.org/policy/environment/pv-recycl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B28" workbookViewId="0">
      <selection activeCell="C34" sqref="C34"/>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45" t="s">
        <v>361</v>
      </c>
      <c r="C1" s="346"/>
      <c r="D1" s="346"/>
      <c r="E1" s="346"/>
      <c r="F1" s="346"/>
      <c r="G1" s="346"/>
      <c r="H1" s="346"/>
      <c r="I1" s="346"/>
      <c r="J1" s="346"/>
      <c r="K1" s="346"/>
      <c r="L1" s="346"/>
      <c r="M1" s="347"/>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357</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3" t="s">
        <v>375</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52"/>
      <c r="F47" s="349"/>
      <c r="G47" s="349"/>
      <c r="H47" s="349"/>
      <c r="I47" s="349"/>
      <c r="J47" s="349"/>
      <c r="K47" s="349"/>
      <c r="L47" s="349"/>
      <c r="M47" s="349"/>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48"/>
      <c r="F63" s="349"/>
      <c r="G63" s="349"/>
      <c r="H63" s="2"/>
      <c r="I63" s="2"/>
      <c r="J63" s="2"/>
      <c r="K63" s="2"/>
      <c r="L63" s="2"/>
      <c r="M63" s="2"/>
    </row>
    <row r="64" spans="1:13">
      <c r="A64" s="183"/>
      <c r="B64" s="136" t="s">
        <v>346</v>
      </c>
      <c r="C64" s="126">
        <f>(C65+C66)/2</f>
        <v>1242.0138888888887</v>
      </c>
      <c r="D64" s="197"/>
      <c r="E64" s="349"/>
      <c r="F64" s="349"/>
      <c r="G64" s="349"/>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50" t="s">
        <v>347</v>
      </c>
      <c r="F78" s="349"/>
      <c r="G78" s="349"/>
      <c r="H78" s="349"/>
      <c r="I78" s="349"/>
      <c r="J78" s="349"/>
      <c r="K78" s="183"/>
      <c r="L78" s="183"/>
      <c r="M78" s="183"/>
      <c r="N78" s="184"/>
    </row>
    <row r="79" spans="1:14">
      <c r="A79" s="183"/>
      <c r="B79" s="158" t="s">
        <v>328</v>
      </c>
      <c r="C79" s="159">
        <v>2.5</v>
      </c>
      <c r="D79" s="183"/>
      <c r="E79" s="349"/>
      <c r="F79" s="349"/>
      <c r="G79" s="349"/>
      <c r="H79" s="349"/>
      <c r="I79" s="349"/>
      <c r="J79" s="349"/>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51" t="s">
        <v>355</v>
      </c>
      <c r="C84" s="161">
        <v>6250</v>
      </c>
      <c r="D84" s="202"/>
      <c r="E84" s="162" t="s">
        <v>347</v>
      </c>
      <c r="F84" s="163"/>
      <c r="G84" s="163"/>
      <c r="H84" s="163"/>
      <c r="I84" s="163"/>
      <c r="J84" s="163"/>
      <c r="K84" s="183"/>
      <c r="L84" s="183"/>
      <c r="M84" s="183"/>
      <c r="N84" s="184"/>
    </row>
    <row r="85" spans="1:14">
      <c r="A85" s="183"/>
      <c r="B85" s="349"/>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53" t="s">
        <v>31</v>
      </c>
      <c r="C1" s="353"/>
      <c r="D1" s="353"/>
      <c r="E1" s="353"/>
      <c r="F1" s="353"/>
      <c r="G1" s="353"/>
      <c r="H1" s="353"/>
      <c r="I1" s="353"/>
      <c r="J1" s="353"/>
      <c r="K1" s="353"/>
      <c r="L1" s="353"/>
      <c r="M1" s="353"/>
      <c r="N1" s="353"/>
      <c r="O1" s="353"/>
      <c r="P1" s="353"/>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67" t="s">
        <v>33</v>
      </c>
      <c r="C3" s="368"/>
      <c r="D3" s="368"/>
      <c r="E3" s="368"/>
      <c r="F3" s="368"/>
      <c r="G3" s="368"/>
      <c r="H3" s="369"/>
      <c r="J3" s="367" t="s">
        <v>44</v>
      </c>
      <c r="K3" s="368"/>
      <c r="L3" s="368"/>
      <c r="M3" s="368"/>
      <c r="N3" s="368"/>
      <c r="O3" s="368"/>
      <c r="P3" s="369"/>
    </row>
    <row r="4" spans="1:16" ht="15.75" customHeight="1" thickBot="1">
      <c r="A4" s="183"/>
      <c r="B4" s="43" t="s">
        <v>45</v>
      </c>
      <c r="C4" s="219" t="s">
        <v>369</v>
      </c>
      <c r="D4" s="7" t="s">
        <v>365</v>
      </c>
      <c r="E4" s="7" t="s">
        <v>366</v>
      </c>
      <c r="F4" s="7" t="s">
        <v>47</v>
      </c>
      <c r="G4" s="7" t="s">
        <v>367</v>
      </c>
      <c r="H4" s="7" t="s">
        <v>368</v>
      </c>
      <c r="I4" s="183"/>
      <c r="J4" s="43" t="s">
        <v>45</v>
      </c>
      <c r="K4" s="219" t="s">
        <v>369</v>
      </c>
      <c r="L4" s="7" t="s">
        <v>365</v>
      </c>
      <c r="M4" s="7" t="s">
        <v>366</v>
      </c>
      <c r="N4" s="7" t="s">
        <v>47</v>
      </c>
      <c r="O4" s="7" t="s">
        <v>367</v>
      </c>
      <c r="P4" s="7" t="s">
        <v>368</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abSelected="1" topLeftCell="A34" workbookViewId="0">
      <selection activeCell="L92" sqref="L92"/>
    </sheetView>
  </sheetViews>
  <sheetFormatPr defaultRowHeight="12.75"/>
  <cols>
    <col min="4" max="4" width="22.85546875" customWidth="1"/>
    <col min="5" max="5" width="20.7109375" customWidth="1"/>
    <col min="6" max="6" width="22.85546875" customWidth="1"/>
    <col min="7" max="7" width="20.7109375" style="332" customWidth="1"/>
    <col min="8" max="8" width="19.28515625" customWidth="1"/>
    <col min="9" max="9" width="19.7109375" bestFit="1" customWidth="1"/>
    <col min="10" max="10" width="17.7109375" style="385" customWidth="1"/>
    <col min="11" max="11" width="16" bestFit="1" customWidth="1"/>
    <col min="12" max="12" width="16.42578125" style="386" customWidth="1"/>
    <col min="13" max="13" width="19.7109375" bestFit="1" customWidth="1"/>
    <col min="17" max="17" width="14.42578125" style="344" customWidth="1"/>
    <col min="18" max="18" width="12.85546875" bestFit="1" customWidth="1"/>
    <col min="19" max="19" width="12.42578125" bestFit="1" customWidth="1"/>
  </cols>
  <sheetData>
    <row r="2" spans="3:19" ht="13.5" thickBot="1"/>
    <row r="3" spans="3:19" ht="58.5" customHeight="1" thickBot="1">
      <c r="C3" s="324" t="s">
        <v>45</v>
      </c>
      <c r="D3" s="323" t="s">
        <v>269</v>
      </c>
      <c r="E3" s="43" t="s">
        <v>270</v>
      </c>
      <c r="F3" s="43" t="s">
        <v>271</v>
      </c>
      <c r="G3" s="334" t="s">
        <v>376</v>
      </c>
      <c r="H3" s="43" t="s">
        <v>377</v>
      </c>
      <c r="I3" s="43" t="s">
        <v>378</v>
      </c>
      <c r="J3" s="394" t="s">
        <v>379</v>
      </c>
      <c r="K3" s="336" t="s">
        <v>380</v>
      </c>
      <c r="L3" s="391" t="s">
        <v>381</v>
      </c>
      <c r="M3" s="336" t="s">
        <v>379</v>
      </c>
    </row>
    <row r="4" spans="3:19" ht="15.75" thickBot="1">
      <c r="C4" s="325">
        <v>1</v>
      </c>
      <c r="D4" s="397">
        <v>49.716666666666669</v>
      </c>
      <c r="E4" s="398">
        <v>298.20499999999998</v>
      </c>
      <c r="F4" s="119">
        <f>SUM(E4+D4)</f>
        <v>347.92166666666662</v>
      </c>
      <c r="G4" s="335">
        <f>(F4*140000000)/1000000000</f>
        <v>48.709033333333331</v>
      </c>
      <c r="H4" s="384">
        <f>(F4*20000000)/1000000000</f>
        <v>6.9584333333333319</v>
      </c>
      <c r="I4" s="384">
        <f>(F4*30000000)/1000000000</f>
        <v>10.437649999999998</v>
      </c>
      <c r="J4" s="393">
        <f>M4/1000000000</f>
        <v>5.2012499999999999</v>
      </c>
      <c r="K4" s="396">
        <f>J4/H4</f>
        <v>0.74747428779466651</v>
      </c>
      <c r="L4" s="396">
        <f>J4/I4</f>
        <v>0.49831619186311105</v>
      </c>
      <c r="M4" s="389">
        <v>5201250000</v>
      </c>
    </row>
    <row r="5" spans="3:19" ht="15.75" thickBot="1">
      <c r="C5" s="326">
        <v>2</v>
      </c>
      <c r="D5" s="397">
        <v>99.433333333333294</v>
      </c>
      <c r="E5" s="398">
        <v>596.41</v>
      </c>
      <c r="F5" s="119">
        <f t="shared" ref="F5:F63" si="0">SUM(E5+D5)</f>
        <v>695.84333333333325</v>
      </c>
      <c r="G5" s="335">
        <f t="shared" ref="G5:G63" si="1">(F5*140000000)/1000000000</f>
        <v>97.418066666666661</v>
      </c>
      <c r="H5" s="384">
        <f t="shared" ref="H5:H63" si="2">(F5*20000000)/1000000000</f>
        <v>13.916866666666664</v>
      </c>
      <c r="I5" s="384">
        <f t="shared" ref="I5:I63" si="3">(F5*30000000)/1000000000</f>
        <v>20.875299999999996</v>
      </c>
      <c r="J5" s="393">
        <f t="shared" ref="J5:J63" si="4">M5/1000000000</f>
        <v>5.6693625000000001</v>
      </c>
      <c r="K5" s="396">
        <f t="shared" ref="K5:K63" si="5">J5/H5</f>
        <v>0.40737348684809327</v>
      </c>
      <c r="L5" s="396">
        <f t="shared" ref="L5:L63" si="6">J5/I5</f>
        <v>0.27158232456539555</v>
      </c>
      <c r="M5" s="389">
        <v>5669362500</v>
      </c>
    </row>
    <row r="6" spans="3:19" ht="15.75" thickBot="1">
      <c r="C6" s="326">
        <v>3</v>
      </c>
      <c r="D6" s="397">
        <v>149.15</v>
      </c>
      <c r="E6" s="398">
        <v>894.61500000000001</v>
      </c>
      <c r="F6" s="119">
        <f t="shared" si="0"/>
        <v>1043.7650000000001</v>
      </c>
      <c r="G6" s="335">
        <f t="shared" si="1"/>
        <v>146.12710000000001</v>
      </c>
      <c r="H6" s="384">
        <f t="shared" si="2"/>
        <v>20.875300000000003</v>
      </c>
      <c r="I6" s="384">
        <f t="shared" si="3"/>
        <v>31.312950000000004</v>
      </c>
      <c r="J6" s="393">
        <f t="shared" si="4"/>
        <v>6.1787625000000004</v>
      </c>
      <c r="K6" s="396">
        <f t="shared" si="5"/>
        <v>0.29598436908691128</v>
      </c>
      <c r="L6" s="396">
        <f t="shared" si="6"/>
        <v>0.19732291272460753</v>
      </c>
      <c r="M6" s="389">
        <v>6178762500</v>
      </c>
    </row>
    <row r="7" spans="3:19" ht="15.75" thickBot="1">
      <c r="C7" s="326">
        <v>4</v>
      </c>
      <c r="D7" s="397">
        <v>198.86666666666667</v>
      </c>
      <c r="E7" s="398">
        <v>1192.82</v>
      </c>
      <c r="F7" s="119">
        <f t="shared" si="0"/>
        <v>1391.6866666666665</v>
      </c>
      <c r="G7" s="335">
        <f t="shared" si="1"/>
        <v>194.83613333333332</v>
      </c>
      <c r="H7" s="384">
        <f t="shared" si="2"/>
        <v>27.833733333333328</v>
      </c>
      <c r="I7" s="384">
        <f t="shared" si="3"/>
        <v>41.750599999999991</v>
      </c>
      <c r="J7" s="393">
        <f t="shared" si="4"/>
        <v>6.7340625000000003</v>
      </c>
      <c r="K7" s="396">
        <f t="shared" si="5"/>
        <v>0.24193888830340168</v>
      </c>
      <c r="L7" s="396">
        <f t="shared" si="6"/>
        <v>0.1612925922022678</v>
      </c>
      <c r="M7" s="389">
        <v>6734062500</v>
      </c>
    </row>
    <row r="8" spans="3:19" ht="15.75" thickBot="1">
      <c r="C8" s="326">
        <v>5</v>
      </c>
      <c r="D8" s="397">
        <v>248.58333333333334</v>
      </c>
      <c r="E8" s="398">
        <v>1491.0249999999999</v>
      </c>
      <c r="F8" s="119">
        <f t="shared" si="0"/>
        <v>1739.6083333333331</v>
      </c>
      <c r="G8" s="335">
        <f t="shared" si="1"/>
        <v>243.54516666666663</v>
      </c>
      <c r="H8" s="384">
        <f t="shared" si="2"/>
        <v>34.792166666666667</v>
      </c>
      <c r="I8" s="384">
        <f t="shared" si="3"/>
        <v>52.188249999999989</v>
      </c>
      <c r="J8" s="393">
        <f t="shared" si="4"/>
        <v>7.3397625</v>
      </c>
      <c r="K8" s="396">
        <f t="shared" si="5"/>
        <v>0.21096020176955541</v>
      </c>
      <c r="L8" s="396">
        <f t="shared" si="6"/>
        <v>0.14064013451303697</v>
      </c>
      <c r="M8" s="389">
        <v>7339762500</v>
      </c>
    </row>
    <row r="9" spans="3:19" ht="15.75" thickBot="1">
      <c r="C9" s="326">
        <v>6</v>
      </c>
      <c r="D9" s="397">
        <v>298.3</v>
      </c>
      <c r="E9" s="398">
        <v>1789.2299999999998</v>
      </c>
      <c r="F9" s="119">
        <f t="shared" si="0"/>
        <v>2087.5299999999997</v>
      </c>
      <c r="G9" s="335">
        <f t="shared" si="1"/>
        <v>292.25419999999991</v>
      </c>
      <c r="H9" s="384">
        <f t="shared" si="2"/>
        <v>41.750599999999991</v>
      </c>
      <c r="I9" s="384">
        <f t="shared" si="3"/>
        <v>62.625899999999994</v>
      </c>
      <c r="J9" s="393">
        <f t="shared" si="4"/>
        <v>7.9994624999999999</v>
      </c>
      <c r="K9" s="396">
        <f t="shared" si="5"/>
        <v>0.19160113866627071</v>
      </c>
      <c r="L9" s="396">
        <f t="shared" si="6"/>
        <v>0.12773409244418046</v>
      </c>
      <c r="M9" s="389">
        <v>7999462500</v>
      </c>
    </row>
    <row r="10" spans="3:19" ht="15.75" thickBot="1">
      <c r="C10" s="326">
        <v>7</v>
      </c>
      <c r="D10" s="397">
        <v>348.01666666666665</v>
      </c>
      <c r="E10" s="398">
        <v>2087.4349999999999</v>
      </c>
      <c r="F10" s="119">
        <f t="shared" si="0"/>
        <v>2435.4516666666668</v>
      </c>
      <c r="G10" s="335">
        <f t="shared" si="1"/>
        <v>340.96323333333339</v>
      </c>
      <c r="H10" s="384">
        <f t="shared" si="2"/>
        <v>48.709033333333338</v>
      </c>
      <c r="I10" s="384">
        <f t="shared" si="3"/>
        <v>73.063550000000006</v>
      </c>
      <c r="J10" s="393">
        <f t="shared" si="4"/>
        <v>8.7185625000000009</v>
      </c>
      <c r="K10" s="396">
        <f t="shared" si="5"/>
        <v>0.1789927227735307</v>
      </c>
      <c r="L10" s="396">
        <f t="shared" si="6"/>
        <v>0.11932848184902048</v>
      </c>
      <c r="M10" s="389">
        <v>8718562500</v>
      </c>
      <c r="P10" s="328" t="s">
        <v>383</v>
      </c>
      <c r="Q10" s="328" t="s">
        <v>384</v>
      </c>
      <c r="R10" s="328" t="s">
        <v>382</v>
      </c>
      <c r="S10" s="328" t="s">
        <v>381</v>
      </c>
    </row>
    <row r="11" spans="3:19" ht="15.75" thickBot="1">
      <c r="C11" s="326">
        <v>8</v>
      </c>
      <c r="D11" s="397">
        <v>397.73333333333335</v>
      </c>
      <c r="E11" s="398">
        <v>2385.64</v>
      </c>
      <c r="F11" s="119">
        <f t="shared" si="0"/>
        <v>2783.373333333333</v>
      </c>
      <c r="G11" s="335">
        <f t="shared" si="1"/>
        <v>389.67226666666664</v>
      </c>
      <c r="H11" s="384">
        <f t="shared" si="2"/>
        <v>55.667466666666655</v>
      </c>
      <c r="I11" s="384">
        <f t="shared" si="3"/>
        <v>83.501199999999983</v>
      </c>
      <c r="J11" s="393">
        <f t="shared" si="4"/>
        <v>9.5024625</v>
      </c>
      <c r="K11" s="396">
        <f t="shared" si="5"/>
        <v>0.17070046598132724</v>
      </c>
      <c r="L11" s="396">
        <f t="shared" si="6"/>
        <v>0.11380031065421817</v>
      </c>
      <c r="M11" s="389">
        <v>9502462500</v>
      </c>
      <c r="P11" s="328">
        <v>3.75</v>
      </c>
      <c r="Q11" s="387">
        <f>P11*693.5</f>
        <v>2600.625</v>
      </c>
      <c r="R11" s="386">
        <f>Q11/H4</f>
        <v>373.73714389733328</v>
      </c>
      <c r="S11" s="386">
        <f>Q11/I4</f>
        <v>249.15809593155552</v>
      </c>
    </row>
    <row r="12" spans="3:19" ht="15.75" thickBot="1">
      <c r="C12" s="326">
        <v>9</v>
      </c>
      <c r="D12" s="397">
        <v>447.45000000000005</v>
      </c>
      <c r="E12" s="398">
        <v>2683.8449999999998</v>
      </c>
      <c r="F12" s="119">
        <f t="shared" si="0"/>
        <v>3131.2950000000001</v>
      </c>
      <c r="G12" s="335">
        <f t="shared" si="1"/>
        <v>438.38130000000001</v>
      </c>
      <c r="H12" s="384">
        <f t="shared" si="2"/>
        <v>62.625900000000001</v>
      </c>
      <c r="I12" s="384">
        <f t="shared" si="3"/>
        <v>93.938850000000002</v>
      </c>
      <c r="J12" s="393">
        <f t="shared" si="4"/>
        <v>10.3574625</v>
      </c>
      <c r="K12" s="396">
        <f t="shared" si="5"/>
        <v>0.16538624594616605</v>
      </c>
      <c r="L12" s="396">
        <f t="shared" si="6"/>
        <v>0.11025749729744404</v>
      </c>
      <c r="M12" s="389">
        <v>10357462500</v>
      </c>
      <c r="P12" s="388">
        <v>7.5</v>
      </c>
      <c r="Q12" s="389">
        <f t="shared" ref="Q12:Q15" si="7">P12*693.5</f>
        <v>5201.25</v>
      </c>
      <c r="R12" s="390">
        <f>Q12/H4</f>
        <v>747.47428779466657</v>
      </c>
      <c r="S12" s="390">
        <f>Q12/I4</f>
        <v>498.31619186311104</v>
      </c>
    </row>
    <row r="13" spans="3:19" ht="15.75" thickBot="1">
      <c r="C13" s="326">
        <v>10</v>
      </c>
      <c r="D13" s="397">
        <v>497.16666666666674</v>
      </c>
      <c r="E13" s="398">
        <v>2982.0499999999997</v>
      </c>
      <c r="F13" s="119">
        <f t="shared" si="0"/>
        <v>3479.2166666666662</v>
      </c>
      <c r="G13" s="335">
        <f t="shared" si="1"/>
        <v>487.09033333333326</v>
      </c>
      <c r="H13" s="384">
        <f t="shared" si="2"/>
        <v>69.584333333333333</v>
      </c>
      <c r="I13" s="384">
        <f t="shared" si="3"/>
        <v>104.37649999999998</v>
      </c>
      <c r="J13" s="393">
        <f t="shared" si="4"/>
        <v>11.2889625</v>
      </c>
      <c r="K13" s="396">
        <f t="shared" si="5"/>
        <v>0.16223425531609126</v>
      </c>
      <c r="L13" s="396">
        <f t="shared" si="6"/>
        <v>0.10815617021072753</v>
      </c>
      <c r="M13" s="389">
        <v>11288962500</v>
      </c>
      <c r="P13" s="328">
        <v>11.25</v>
      </c>
      <c r="Q13" s="387">
        <f>P13*693.5</f>
        <v>7801.875</v>
      </c>
      <c r="R13" s="386">
        <f>Q13/H4</f>
        <v>1121.2114316919999</v>
      </c>
      <c r="S13" s="386">
        <f>Q13/I4</f>
        <v>747.47428779466657</v>
      </c>
    </row>
    <row r="14" spans="3:19" ht="15.75" thickBot="1">
      <c r="C14" s="326">
        <v>11</v>
      </c>
      <c r="D14" s="397">
        <v>546.88333333333344</v>
      </c>
      <c r="E14" s="398">
        <v>3280.2549999999997</v>
      </c>
      <c r="F14" s="119">
        <f t="shared" si="0"/>
        <v>3827.1383333333333</v>
      </c>
      <c r="G14" s="335">
        <f t="shared" si="1"/>
        <v>535.79936666666674</v>
      </c>
      <c r="H14" s="384">
        <f t="shared" si="2"/>
        <v>76.542766666666665</v>
      </c>
      <c r="I14" s="384">
        <f t="shared" si="3"/>
        <v>114.81415</v>
      </c>
      <c r="J14" s="393">
        <f t="shared" si="4"/>
        <v>12.3041625</v>
      </c>
      <c r="K14" s="396">
        <f t="shared" si="5"/>
        <v>0.16074886022323903</v>
      </c>
      <c r="L14" s="396">
        <f t="shared" si="6"/>
        <v>0.10716590681549269</v>
      </c>
      <c r="M14" s="389">
        <v>12304162500</v>
      </c>
      <c r="P14" s="328">
        <v>15</v>
      </c>
      <c r="Q14" s="387">
        <f t="shared" si="7"/>
        <v>10402.5</v>
      </c>
      <c r="R14" s="386">
        <f>Q14/H4</f>
        <v>1494.9485755893331</v>
      </c>
      <c r="S14" s="386">
        <f>Q14/I4</f>
        <v>996.63238372622209</v>
      </c>
    </row>
    <row r="15" spans="3:19" ht="15.75" thickBot="1">
      <c r="C15" s="326">
        <v>12</v>
      </c>
      <c r="D15" s="397">
        <v>596.60000000000014</v>
      </c>
      <c r="E15" s="398">
        <v>3578.4599999999996</v>
      </c>
      <c r="F15" s="119">
        <f t="shared" si="0"/>
        <v>4175.0599999999995</v>
      </c>
      <c r="G15" s="335">
        <f t="shared" si="1"/>
        <v>584.50839999999982</v>
      </c>
      <c r="H15" s="384">
        <f t="shared" si="2"/>
        <v>83.501199999999983</v>
      </c>
      <c r="I15" s="384">
        <f t="shared" si="3"/>
        <v>125.25179999999999</v>
      </c>
      <c r="J15" s="393">
        <f t="shared" si="4"/>
        <v>13.4111625</v>
      </c>
      <c r="K15" s="396">
        <f t="shared" si="5"/>
        <v>0.16061041637724971</v>
      </c>
      <c r="L15" s="396">
        <f t="shared" si="6"/>
        <v>0.10707361091816646</v>
      </c>
      <c r="M15" s="389">
        <v>13411162500</v>
      </c>
      <c r="P15" s="328">
        <v>18.75</v>
      </c>
      <c r="Q15" s="387">
        <f t="shared" si="7"/>
        <v>13003.125</v>
      </c>
      <c r="R15" s="386">
        <f>Q15/H4</f>
        <v>1868.6857194866664</v>
      </c>
      <c r="S15" s="386">
        <f>Q15/I4</f>
        <v>1245.7904796577777</v>
      </c>
    </row>
    <row r="16" spans="3:19" ht="15.75" thickBot="1">
      <c r="C16" s="326">
        <v>13</v>
      </c>
      <c r="D16" s="397">
        <v>646.31666666666683</v>
      </c>
      <c r="E16" s="398">
        <v>3876.6649999999995</v>
      </c>
      <c r="F16" s="119">
        <f t="shared" si="0"/>
        <v>4522.9816666666666</v>
      </c>
      <c r="G16" s="335">
        <f t="shared" si="1"/>
        <v>633.21743333333336</v>
      </c>
      <c r="H16" s="384">
        <f t="shared" si="2"/>
        <v>90.459633333333329</v>
      </c>
      <c r="I16" s="384">
        <f t="shared" si="3"/>
        <v>135.68944999999999</v>
      </c>
      <c r="J16" s="393">
        <f t="shared" si="4"/>
        <v>14.618062500000001</v>
      </c>
      <c r="K16" s="396">
        <f t="shared" si="5"/>
        <v>0.16159763157710494</v>
      </c>
      <c r="L16" s="396">
        <f t="shared" si="6"/>
        <v>0.10773175438473663</v>
      </c>
      <c r="M16" s="389">
        <v>14618062500</v>
      </c>
      <c r="P16" s="328">
        <v>22.5</v>
      </c>
      <c r="Q16" s="387">
        <f>P16*693.5</f>
        <v>15603.75</v>
      </c>
      <c r="R16" s="386">
        <f>Q16/H4</f>
        <v>2242.4228633839998</v>
      </c>
      <c r="S16" s="386">
        <f>Q16/I4</f>
        <v>1494.9485755893331</v>
      </c>
    </row>
    <row r="17" spans="3:18" ht="15.75" thickBot="1">
      <c r="C17" s="326">
        <v>14</v>
      </c>
      <c r="D17" s="397">
        <v>696.03333333333353</v>
      </c>
      <c r="E17" s="398">
        <v>4174.87</v>
      </c>
      <c r="F17" s="119">
        <f t="shared" si="0"/>
        <v>4870.9033333333336</v>
      </c>
      <c r="G17" s="335">
        <f t="shared" si="1"/>
        <v>681.92646666666678</v>
      </c>
      <c r="H17" s="384">
        <f t="shared" si="2"/>
        <v>97.418066666666675</v>
      </c>
      <c r="I17" s="384">
        <f t="shared" si="3"/>
        <v>146.12710000000001</v>
      </c>
      <c r="J17" s="393">
        <f t="shared" si="4"/>
        <v>15.9329625</v>
      </c>
      <c r="K17" s="396">
        <f t="shared" si="5"/>
        <v>0.16355243996493463</v>
      </c>
      <c r="L17" s="396">
        <f t="shared" si="6"/>
        <v>0.10903495997662309</v>
      </c>
      <c r="M17" s="389">
        <v>15932962500</v>
      </c>
    </row>
    <row r="18" spans="3:18" ht="15.75" thickBot="1">
      <c r="C18" s="326">
        <v>15</v>
      </c>
      <c r="D18" s="397">
        <v>745.75000000000023</v>
      </c>
      <c r="E18" s="398">
        <v>4473.0749999999998</v>
      </c>
      <c r="F18" s="119">
        <f t="shared" si="0"/>
        <v>5218.8249999999998</v>
      </c>
      <c r="G18" s="335">
        <f t="shared" si="1"/>
        <v>730.63549999999998</v>
      </c>
      <c r="H18" s="384">
        <f t="shared" si="2"/>
        <v>104.37649999999999</v>
      </c>
      <c r="I18" s="384">
        <f t="shared" si="3"/>
        <v>156.56475</v>
      </c>
      <c r="J18" s="393">
        <f t="shared" si="4"/>
        <v>17.3666625</v>
      </c>
      <c r="K18" s="396">
        <f t="shared" si="5"/>
        <v>0.16638479447001961</v>
      </c>
      <c r="L18" s="396">
        <f t="shared" si="6"/>
        <v>0.11092319631334639</v>
      </c>
      <c r="M18" s="389">
        <v>17366662500</v>
      </c>
    </row>
    <row r="19" spans="3:18" ht="15.75" thickBot="1">
      <c r="C19" s="326">
        <v>16</v>
      </c>
      <c r="D19" s="397">
        <v>795.46666666666692</v>
      </c>
      <c r="E19" s="398">
        <v>4771.28</v>
      </c>
      <c r="F19" s="119">
        <f t="shared" si="0"/>
        <v>5566.7466666666669</v>
      </c>
      <c r="G19" s="335">
        <f t="shared" si="1"/>
        <v>779.3445333333334</v>
      </c>
      <c r="H19" s="384">
        <f t="shared" si="2"/>
        <v>111.33493333333334</v>
      </c>
      <c r="I19" s="384">
        <f t="shared" si="3"/>
        <v>167.00239999999999</v>
      </c>
      <c r="J19" s="393">
        <f t="shared" si="4"/>
        <v>18.929062500000001</v>
      </c>
      <c r="K19" s="396">
        <f t="shared" si="5"/>
        <v>0.17001907607315822</v>
      </c>
      <c r="L19" s="396">
        <f t="shared" si="6"/>
        <v>0.11334605071543882</v>
      </c>
      <c r="M19" s="389">
        <v>18929062500</v>
      </c>
    </row>
    <row r="20" spans="3:18" ht="15.75" thickBot="1">
      <c r="C20" s="326">
        <v>17</v>
      </c>
      <c r="D20" s="397">
        <v>845.18333333333362</v>
      </c>
      <c r="E20" s="398">
        <v>5069.4849999999997</v>
      </c>
      <c r="F20" s="119">
        <f t="shared" si="0"/>
        <v>5914.6683333333331</v>
      </c>
      <c r="G20" s="335">
        <f t="shared" si="1"/>
        <v>828.0535666666666</v>
      </c>
      <c r="H20" s="384">
        <f t="shared" si="2"/>
        <v>118.29336666666666</v>
      </c>
      <c r="I20" s="384">
        <f t="shared" si="3"/>
        <v>177.44005000000001</v>
      </c>
      <c r="J20" s="393">
        <f t="shared" si="4"/>
        <v>20.6318625</v>
      </c>
      <c r="K20" s="396">
        <f t="shared" si="5"/>
        <v>0.17441267487244286</v>
      </c>
      <c r="L20" s="396">
        <f t="shared" si="6"/>
        <v>0.11627511658162855</v>
      </c>
      <c r="M20" s="389">
        <v>20631862500</v>
      </c>
    </row>
    <row r="21" spans="3:18" ht="15.75" thickBot="1">
      <c r="C21" s="326">
        <v>18</v>
      </c>
      <c r="D21" s="397">
        <v>894.90000000000032</v>
      </c>
      <c r="E21" s="398">
        <v>5367.69</v>
      </c>
      <c r="F21" s="119">
        <f t="shared" si="0"/>
        <v>6262.59</v>
      </c>
      <c r="G21" s="335">
        <f t="shared" si="1"/>
        <v>876.76260000000002</v>
      </c>
      <c r="H21" s="384">
        <f t="shared" si="2"/>
        <v>125.2518</v>
      </c>
      <c r="I21" s="384">
        <f t="shared" si="3"/>
        <v>187.8777</v>
      </c>
      <c r="J21" s="393">
        <f t="shared" si="4"/>
        <v>22.4885625</v>
      </c>
      <c r="K21" s="396">
        <f t="shared" si="5"/>
        <v>0.17954682088401125</v>
      </c>
      <c r="L21" s="396">
        <f t="shared" si="6"/>
        <v>0.11969788058934083</v>
      </c>
      <c r="M21" s="389">
        <v>22488562500</v>
      </c>
    </row>
    <row r="22" spans="3:18" ht="15.75" thickBot="1">
      <c r="C22" s="326">
        <v>19</v>
      </c>
      <c r="D22" s="397">
        <v>944.61666666666702</v>
      </c>
      <c r="E22" s="398">
        <v>5665.8949999999995</v>
      </c>
      <c r="F22" s="119">
        <f t="shared" si="0"/>
        <v>6610.5116666666663</v>
      </c>
      <c r="G22" s="335">
        <f t="shared" si="1"/>
        <v>925.47163333333322</v>
      </c>
      <c r="H22" s="384">
        <f t="shared" si="2"/>
        <v>132.21023333333332</v>
      </c>
      <c r="I22" s="384">
        <f t="shared" si="3"/>
        <v>198.31535</v>
      </c>
      <c r="J22" s="393">
        <f t="shared" si="4"/>
        <v>24.5117625</v>
      </c>
      <c r="K22" s="396">
        <f t="shared" si="5"/>
        <v>0.18539988835962523</v>
      </c>
      <c r="L22" s="396">
        <f t="shared" si="6"/>
        <v>0.12359992557308348</v>
      </c>
      <c r="M22" s="389">
        <v>24511762500</v>
      </c>
    </row>
    <row r="23" spans="3:18" ht="15.75" thickBot="1">
      <c r="C23" s="326">
        <v>20</v>
      </c>
      <c r="D23" s="397">
        <v>994.33333333333371</v>
      </c>
      <c r="E23" s="398">
        <v>5964.0999999999995</v>
      </c>
      <c r="F23" s="119">
        <f t="shared" si="0"/>
        <v>6958.4333333333334</v>
      </c>
      <c r="G23" s="335">
        <f t="shared" si="1"/>
        <v>974.18066666666664</v>
      </c>
      <c r="H23" s="384">
        <f t="shared" si="2"/>
        <v>139.16866666666667</v>
      </c>
      <c r="I23" s="384">
        <f t="shared" si="3"/>
        <v>208.75299999999999</v>
      </c>
      <c r="J23" s="393">
        <f t="shared" si="4"/>
        <v>26.717662499999999</v>
      </c>
      <c r="K23" s="396">
        <f t="shared" si="5"/>
        <v>0.19198044459241304</v>
      </c>
      <c r="L23" s="396">
        <f t="shared" si="6"/>
        <v>0.1279869630616087</v>
      </c>
      <c r="M23" s="389">
        <v>26717662500</v>
      </c>
    </row>
    <row r="24" spans="3:18" ht="15.75" thickBot="1">
      <c r="C24" s="326">
        <v>21</v>
      </c>
      <c r="D24" s="397">
        <v>1044.0500000000004</v>
      </c>
      <c r="E24" s="398">
        <v>6262.3049999999994</v>
      </c>
      <c r="F24" s="119">
        <f t="shared" si="0"/>
        <v>7306.3549999999996</v>
      </c>
      <c r="G24" s="335">
        <f t="shared" si="1"/>
        <v>1022.8896999999998</v>
      </c>
      <c r="H24" s="384">
        <f t="shared" si="2"/>
        <v>146.12710000000001</v>
      </c>
      <c r="I24" s="384">
        <f t="shared" si="3"/>
        <v>219.19065000000001</v>
      </c>
      <c r="J24" s="393">
        <f t="shared" si="4"/>
        <v>29.1215625</v>
      </c>
      <c r="K24" s="396">
        <f t="shared" si="5"/>
        <v>0.19928926598830743</v>
      </c>
      <c r="L24" s="396">
        <f t="shared" si="6"/>
        <v>0.13285951065887161</v>
      </c>
      <c r="M24" s="389">
        <v>29121562500</v>
      </c>
    </row>
    <row r="25" spans="3:18" ht="15.75" thickBot="1">
      <c r="C25" s="326">
        <v>22</v>
      </c>
      <c r="D25" s="397">
        <v>1093.7666666666671</v>
      </c>
      <c r="E25" s="398">
        <v>6560.5099999999993</v>
      </c>
      <c r="F25" s="119">
        <f t="shared" si="0"/>
        <v>7654.2766666666666</v>
      </c>
      <c r="G25" s="335">
        <f t="shared" si="1"/>
        <v>1071.5987333333335</v>
      </c>
      <c r="H25" s="384">
        <f t="shared" si="2"/>
        <v>153.08553333333333</v>
      </c>
      <c r="I25" s="384">
        <f t="shared" si="3"/>
        <v>229.6283</v>
      </c>
      <c r="J25" s="393">
        <f t="shared" si="4"/>
        <v>31.273462500000001</v>
      </c>
      <c r="K25" s="396">
        <f t="shared" si="5"/>
        <v>0.20428751051155281</v>
      </c>
      <c r="L25" s="396">
        <f t="shared" si="6"/>
        <v>0.13619167367436855</v>
      </c>
      <c r="M25" s="389">
        <v>31273462500</v>
      </c>
      <c r="P25">
        <v>693.5</v>
      </c>
    </row>
    <row r="26" spans="3:18" ht="15.75" thickBot="1">
      <c r="C26" s="326">
        <v>23</v>
      </c>
      <c r="D26" s="397">
        <v>1143.4833333333338</v>
      </c>
      <c r="E26" s="398">
        <v>6858.7149999999992</v>
      </c>
      <c r="F26" s="119">
        <f t="shared" si="0"/>
        <v>8002.1983333333328</v>
      </c>
      <c r="G26" s="335">
        <f t="shared" si="1"/>
        <v>1120.3077666666666</v>
      </c>
      <c r="H26" s="384">
        <f t="shared" si="2"/>
        <v>160.04396666666665</v>
      </c>
      <c r="I26" s="384">
        <f t="shared" si="3"/>
        <v>240.06594999999996</v>
      </c>
      <c r="J26" s="393">
        <f t="shared" si="4"/>
        <v>33.578362499999997</v>
      </c>
      <c r="K26" s="396">
        <f t="shared" si="5"/>
        <v>0.20980711237891089</v>
      </c>
      <c r="L26" s="396">
        <f t="shared" si="6"/>
        <v>0.13987140825260727</v>
      </c>
      <c r="M26" s="389">
        <v>33578362500</v>
      </c>
    </row>
    <row r="27" spans="3:18" ht="15.75" thickBot="1">
      <c r="C27" s="326">
        <v>24</v>
      </c>
      <c r="D27" s="397">
        <v>1193.2000000000005</v>
      </c>
      <c r="E27" s="398">
        <v>7156.9199999999992</v>
      </c>
      <c r="F27" s="119">
        <f t="shared" si="0"/>
        <v>8350.119999999999</v>
      </c>
      <c r="G27" s="335">
        <f t="shared" si="1"/>
        <v>1169.0167999999996</v>
      </c>
      <c r="H27" s="384">
        <f t="shared" si="2"/>
        <v>167.00239999999997</v>
      </c>
      <c r="I27" s="384">
        <f t="shared" si="3"/>
        <v>250.50359999999998</v>
      </c>
      <c r="J27" s="393">
        <f t="shared" si="4"/>
        <v>36.044362499999998</v>
      </c>
      <c r="K27" s="396">
        <f t="shared" si="5"/>
        <v>0.21583140421934061</v>
      </c>
      <c r="L27" s="396">
        <f t="shared" si="6"/>
        <v>0.1438876028128937</v>
      </c>
      <c r="M27" s="389">
        <v>36044362500</v>
      </c>
    </row>
    <row r="28" spans="3:18" ht="15.75" thickBot="1">
      <c r="C28" s="326">
        <v>25</v>
      </c>
      <c r="D28" s="397">
        <v>1242.9166666666672</v>
      </c>
      <c r="E28" s="398">
        <v>7455.1249999999991</v>
      </c>
      <c r="F28" s="119">
        <f t="shared" si="0"/>
        <v>8698.0416666666661</v>
      </c>
      <c r="G28" s="335">
        <f t="shared" si="1"/>
        <v>1217.7258333333332</v>
      </c>
      <c r="H28" s="384">
        <f t="shared" si="2"/>
        <v>173.96083333333331</v>
      </c>
      <c r="I28" s="384">
        <f t="shared" si="3"/>
        <v>260.94124999999997</v>
      </c>
      <c r="J28" s="393">
        <f t="shared" si="4"/>
        <v>38.6822625</v>
      </c>
      <c r="K28" s="396">
        <f t="shared" si="5"/>
        <v>0.22236190617619869</v>
      </c>
      <c r="L28" s="396">
        <f t="shared" si="6"/>
        <v>0.14824127078413246</v>
      </c>
      <c r="M28" s="389">
        <v>38682262500</v>
      </c>
    </row>
    <row r="29" spans="3:18" ht="15.75" thickBot="1">
      <c r="C29" s="326">
        <v>26</v>
      </c>
      <c r="D29" s="397">
        <v>1292.6333333333339</v>
      </c>
      <c r="E29" s="398">
        <v>7753.329999999999</v>
      </c>
      <c r="F29" s="119">
        <f t="shared" si="0"/>
        <v>9045.9633333333331</v>
      </c>
      <c r="G29" s="335">
        <f t="shared" si="1"/>
        <v>1266.4348666666667</v>
      </c>
      <c r="H29" s="384">
        <f t="shared" si="2"/>
        <v>180.91926666666666</v>
      </c>
      <c r="I29" s="384">
        <f t="shared" si="3"/>
        <v>271.37889999999999</v>
      </c>
      <c r="J29" s="393">
        <f t="shared" si="4"/>
        <v>41.503762500000001</v>
      </c>
      <c r="K29" s="396">
        <f t="shared" si="5"/>
        <v>0.2294048791191946</v>
      </c>
      <c r="L29" s="396">
        <f t="shared" si="6"/>
        <v>0.15293658607946309</v>
      </c>
      <c r="M29" s="389">
        <v>41503762500</v>
      </c>
      <c r="Q29" s="344">
        <v>1</v>
      </c>
      <c r="R29">
        <v>20</v>
      </c>
    </row>
    <row r="30" spans="3:18" ht="15.75" thickBot="1">
      <c r="C30" s="326">
        <v>27</v>
      </c>
      <c r="D30" s="397">
        <v>1342.3500000000006</v>
      </c>
      <c r="E30" s="398">
        <v>8051.5349999999989</v>
      </c>
      <c r="F30" s="119">
        <f t="shared" si="0"/>
        <v>9393.8850000000002</v>
      </c>
      <c r="G30" s="335">
        <f t="shared" si="1"/>
        <v>1315.1439</v>
      </c>
      <c r="H30" s="384">
        <f t="shared" si="2"/>
        <v>187.8777</v>
      </c>
      <c r="I30" s="384">
        <f t="shared" si="3"/>
        <v>281.81655000000001</v>
      </c>
      <c r="J30" s="393">
        <f t="shared" si="4"/>
        <v>44.519662500000003</v>
      </c>
      <c r="K30" s="396">
        <f t="shared" si="5"/>
        <v>0.23696086603146621</v>
      </c>
      <c r="L30" s="396">
        <f t="shared" si="6"/>
        <v>0.15797391068764416</v>
      </c>
      <c r="M30" s="389">
        <v>44519662500</v>
      </c>
      <c r="Q30" s="344">
        <v>100000</v>
      </c>
      <c r="R30">
        <f>Q30*R29</f>
        <v>2000000</v>
      </c>
    </row>
    <row r="31" spans="3:18" ht="15.75" thickBot="1">
      <c r="C31" s="326">
        <v>28</v>
      </c>
      <c r="D31" s="397">
        <v>1392.0666666666673</v>
      </c>
      <c r="E31" s="398">
        <v>8349.74</v>
      </c>
      <c r="F31" s="119">
        <f t="shared" si="0"/>
        <v>9741.8066666666673</v>
      </c>
      <c r="G31" s="335">
        <f t="shared" si="1"/>
        <v>1363.8529333333336</v>
      </c>
      <c r="H31" s="384">
        <f t="shared" si="2"/>
        <v>194.83613333333335</v>
      </c>
      <c r="I31" s="384">
        <f t="shared" si="3"/>
        <v>292.25420000000003</v>
      </c>
      <c r="J31" s="393">
        <f t="shared" si="4"/>
        <v>47.741662499999997</v>
      </c>
      <c r="K31" s="396">
        <f t="shared" si="5"/>
        <v>0.24503495159350999</v>
      </c>
      <c r="L31" s="396">
        <f t="shared" si="6"/>
        <v>0.16335663439567333</v>
      </c>
      <c r="M31" s="389">
        <v>47741662500</v>
      </c>
    </row>
    <row r="32" spans="3:18" ht="15.75" thickBot="1">
      <c r="C32" s="326">
        <v>29</v>
      </c>
      <c r="D32" s="397">
        <v>1441.783333333334</v>
      </c>
      <c r="E32" s="398">
        <v>8647.9449999999997</v>
      </c>
      <c r="F32" s="119">
        <f t="shared" si="0"/>
        <v>10089.728333333334</v>
      </c>
      <c r="G32" s="335">
        <f t="shared" si="1"/>
        <v>1412.5619666666666</v>
      </c>
      <c r="H32" s="384">
        <f t="shared" si="2"/>
        <v>201.7945666666667</v>
      </c>
      <c r="I32" s="384">
        <f t="shared" si="3"/>
        <v>302.69185000000004</v>
      </c>
      <c r="J32" s="393">
        <f t="shared" si="4"/>
        <v>51.183262499999998</v>
      </c>
      <c r="K32" s="396">
        <f t="shared" si="5"/>
        <v>0.25364043911324335</v>
      </c>
      <c r="L32" s="396">
        <f t="shared" si="6"/>
        <v>0.16909362607549555</v>
      </c>
      <c r="M32" s="389">
        <v>51183262500</v>
      </c>
    </row>
    <row r="33" spans="3:13" ht="15.75" thickBot="1">
      <c r="C33" s="326">
        <v>30</v>
      </c>
      <c r="D33" s="397">
        <v>1491.5000000000007</v>
      </c>
      <c r="E33" s="398">
        <v>8946.15</v>
      </c>
      <c r="F33" s="119">
        <f t="shared" si="0"/>
        <v>10437.65</v>
      </c>
      <c r="G33" s="335">
        <f t="shared" si="1"/>
        <v>1461.271</v>
      </c>
      <c r="H33" s="384">
        <f t="shared" si="2"/>
        <v>208.75299999999999</v>
      </c>
      <c r="I33" s="384">
        <f t="shared" si="3"/>
        <v>313.12950000000001</v>
      </c>
      <c r="J33" s="393">
        <f t="shared" si="4"/>
        <v>54.857962499999999</v>
      </c>
      <c r="K33" s="396">
        <f t="shared" si="5"/>
        <v>0.26278885812419461</v>
      </c>
      <c r="L33" s="396">
        <f t="shared" si="6"/>
        <v>0.1751925720827964</v>
      </c>
      <c r="M33" s="389">
        <v>54857962500</v>
      </c>
    </row>
    <row r="34" spans="3:13" ht="15.75" thickBot="1">
      <c r="C34" s="326">
        <v>31</v>
      </c>
      <c r="D34" s="397">
        <v>1541.2166666666674</v>
      </c>
      <c r="E34" s="398">
        <v>9244.3549999999996</v>
      </c>
      <c r="F34" s="119">
        <f t="shared" si="0"/>
        <v>10785.571666666667</v>
      </c>
      <c r="G34" s="335">
        <f t="shared" si="1"/>
        <v>1509.9800333333333</v>
      </c>
      <c r="H34" s="384">
        <f t="shared" si="2"/>
        <v>215.71143333333333</v>
      </c>
      <c r="I34" s="384">
        <f t="shared" si="3"/>
        <v>323.56715000000003</v>
      </c>
      <c r="J34" s="393">
        <f t="shared" si="4"/>
        <v>58.779262500000002</v>
      </c>
      <c r="K34" s="396">
        <f t="shared" si="5"/>
        <v>0.27249025047814651</v>
      </c>
      <c r="L34" s="396">
        <f t="shared" si="6"/>
        <v>0.181660166985431</v>
      </c>
      <c r="M34" s="389">
        <v>58779262500</v>
      </c>
    </row>
    <row r="35" spans="3:13" ht="15.75" thickBot="1">
      <c r="C35" s="326">
        <v>32</v>
      </c>
      <c r="D35" s="397">
        <v>1590.9333333333341</v>
      </c>
      <c r="E35" s="398">
        <v>9542.56</v>
      </c>
      <c r="F35" s="119">
        <f t="shared" si="0"/>
        <v>11133.493333333334</v>
      </c>
      <c r="G35" s="335">
        <f t="shared" si="1"/>
        <v>1558.6890666666668</v>
      </c>
      <c r="H35" s="384">
        <f t="shared" si="2"/>
        <v>222.66986666666668</v>
      </c>
      <c r="I35" s="384">
        <f t="shared" si="3"/>
        <v>334.00479999999999</v>
      </c>
      <c r="J35" s="393">
        <f t="shared" si="4"/>
        <v>62.961562499999999</v>
      </c>
      <c r="K35" s="396">
        <f t="shared" si="5"/>
        <v>0.28275744465349001</v>
      </c>
      <c r="L35" s="396">
        <f t="shared" si="6"/>
        <v>0.18850496310232667</v>
      </c>
      <c r="M35" s="389">
        <v>62961562500</v>
      </c>
    </row>
    <row r="36" spans="3:13" ht="15.75" thickBot="1">
      <c r="C36" s="326">
        <v>33</v>
      </c>
      <c r="D36" s="397">
        <v>1640.6500000000008</v>
      </c>
      <c r="E36" s="398">
        <v>9840.7649999999994</v>
      </c>
      <c r="F36" s="119">
        <f t="shared" si="0"/>
        <v>11481.415000000001</v>
      </c>
      <c r="G36" s="335">
        <f t="shared" si="1"/>
        <v>1607.3981000000003</v>
      </c>
      <c r="H36" s="384">
        <f t="shared" si="2"/>
        <v>229.62830000000002</v>
      </c>
      <c r="I36" s="384">
        <f t="shared" si="3"/>
        <v>344.44245000000001</v>
      </c>
      <c r="J36" s="393">
        <f t="shared" si="4"/>
        <v>67.421062500000005</v>
      </c>
      <c r="K36" s="396">
        <f t="shared" si="5"/>
        <v>0.29360955291660479</v>
      </c>
      <c r="L36" s="396">
        <f t="shared" si="6"/>
        <v>0.19573970194440321</v>
      </c>
      <c r="M36" s="389">
        <v>67421062500</v>
      </c>
    </row>
    <row r="37" spans="3:13" ht="15.75" thickBot="1">
      <c r="C37" s="326">
        <v>34</v>
      </c>
      <c r="D37" s="397">
        <v>1690.3666666666675</v>
      </c>
      <c r="E37" s="398">
        <v>10138.969999999999</v>
      </c>
      <c r="F37" s="119">
        <f t="shared" si="0"/>
        <v>11829.336666666666</v>
      </c>
      <c r="G37" s="335">
        <f t="shared" si="1"/>
        <v>1656.1071333333332</v>
      </c>
      <c r="H37" s="384">
        <f t="shared" si="2"/>
        <v>236.58673333333331</v>
      </c>
      <c r="I37" s="384">
        <f t="shared" si="3"/>
        <v>354.88010000000003</v>
      </c>
      <c r="J37" s="393">
        <f t="shared" si="4"/>
        <v>72.173962500000002</v>
      </c>
      <c r="K37" s="396">
        <f t="shared" si="5"/>
        <v>0.3050634390319435</v>
      </c>
      <c r="L37" s="396">
        <f t="shared" si="6"/>
        <v>0.20337562602129564</v>
      </c>
      <c r="M37" s="389">
        <v>72173962500</v>
      </c>
    </row>
    <row r="38" spans="3:13" ht="15.75" thickBot="1">
      <c r="C38" s="326">
        <v>35</v>
      </c>
      <c r="D38" s="397">
        <v>1740.0833333333342</v>
      </c>
      <c r="E38" s="398">
        <v>10437.174999999999</v>
      </c>
      <c r="F38" s="119">
        <f t="shared" si="0"/>
        <v>12177.258333333333</v>
      </c>
      <c r="G38" s="335">
        <f t="shared" si="1"/>
        <v>1704.8161666666667</v>
      </c>
      <c r="H38" s="384">
        <f t="shared" si="2"/>
        <v>243.54516666666666</v>
      </c>
      <c r="I38" s="384">
        <f t="shared" si="3"/>
        <v>365.31774999999999</v>
      </c>
      <c r="J38" s="393">
        <f t="shared" si="4"/>
        <v>77.2355625</v>
      </c>
      <c r="K38" s="396">
        <f t="shared" si="5"/>
        <v>0.31713034406348994</v>
      </c>
      <c r="L38" s="396">
        <f t="shared" si="6"/>
        <v>0.21142022937565996</v>
      </c>
      <c r="M38" s="389">
        <v>77235562500</v>
      </c>
    </row>
    <row r="39" spans="3:13" ht="15.75" thickBot="1">
      <c r="C39" s="326">
        <v>36</v>
      </c>
      <c r="D39" s="397">
        <v>1789.8000000000009</v>
      </c>
      <c r="E39" s="398">
        <v>10735.38</v>
      </c>
      <c r="F39" s="119">
        <f t="shared" si="0"/>
        <v>12525.18</v>
      </c>
      <c r="G39" s="335">
        <f t="shared" si="1"/>
        <v>1753.5252</v>
      </c>
      <c r="H39" s="384">
        <f t="shared" si="2"/>
        <v>250.50360000000001</v>
      </c>
      <c r="I39" s="384">
        <f t="shared" si="3"/>
        <v>375.75540000000001</v>
      </c>
      <c r="J39" s="393">
        <f t="shared" si="4"/>
        <v>82.623862500000001</v>
      </c>
      <c r="K39" s="396">
        <f t="shared" si="5"/>
        <v>0.32983103835633498</v>
      </c>
      <c r="L39" s="396">
        <f t="shared" si="6"/>
        <v>0.21988735890422334</v>
      </c>
      <c r="M39" s="389">
        <v>82623862500</v>
      </c>
    </row>
    <row r="40" spans="3:13" ht="15.75" thickBot="1">
      <c r="C40" s="326">
        <v>37</v>
      </c>
      <c r="D40" s="397">
        <v>1839.5166666666676</v>
      </c>
      <c r="E40" s="398">
        <v>11033.584999999999</v>
      </c>
      <c r="F40" s="119">
        <f t="shared" si="0"/>
        <v>12873.101666666667</v>
      </c>
      <c r="G40" s="335">
        <f t="shared" si="1"/>
        <v>1802.2342333333336</v>
      </c>
      <c r="H40" s="384">
        <f t="shared" si="2"/>
        <v>257.46203333333335</v>
      </c>
      <c r="I40" s="384">
        <f t="shared" si="3"/>
        <v>386.19305000000003</v>
      </c>
      <c r="J40" s="393">
        <f t="shared" si="4"/>
        <v>88.356862500000005</v>
      </c>
      <c r="K40" s="396">
        <f t="shared" si="5"/>
        <v>0.34318404681285691</v>
      </c>
      <c r="L40" s="396">
        <f t="shared" si="6"/>
        <v>0.22878936454190463</v>
      </c>
      <c r="M40" s="389">
        <v>88356862500</v>
      </c>
    </row>
    <row r="41" spans="3:13" ht="15.75" thickBot="1">
      <c r="C41" s="326">
        <v>38</v>
      </c>
      <c r="D41" s="397">
        <v>1889.2333333333343</v>
      </c>
      <c r="E41" s="398">
        <v>11331.789999999999</v>
      </c>
      <c r="F41" s="119">
        <f t="shared" si="0"/>
        <v>13221.023333333333</v>
      </c>
      <c r="G41" s="335">
        <f t="shared" si="1"/>
        <v>1850.9432666666664</v>
      </c>
      <c r="H41" s="384">
        <f t="shared" si="2"/>
        <v>264.42046666666664</v>
      </c>
      <c r="I41" s="384">
        <f t="shared" si="3"/>
        <v>396.63069999999999</v>
      </c>
      <c r="J41" s="393">
        <f t="shared" si="4"/>
        <v>94.451662499999998</v>
      </c>
      <c r="K41" s="396">
        <f t="shared" si="5"/>
        <v>0.35720254067574703</v>
      </c>
      <c r="L41" s="396">
        <f t="shared" si="6"/>
        <v>0.23813502711716467</v>
      </c>
      <c r="M41" s="389">
        <v>94451662500</v>
      </c>
    </row>
    <row r="42" spans="3:13" ht="15.75" thickBot="1">
      <c r="C42" s="326">
        <v>39</v>
      </c>
      <c r="D42" s="397">
        <v>1938.950000000001</v>
      </c>
      <c r="E42" s="398">
        <v>11629.994999999999</v>
      </c>
      <c r="F42" s="119">
        <f t="shared" si="0"/>
        <v>13568.945</v>
      </c>
      <c r="G42" s="335">
        <f t="shared" si="1"/>
        <v>1899.6523</v>
      </c>
      <c r="H42" s="384">
        <f t="shared" si="2"/>
        <v>271.37889999999999</v>
      </c>
      <c r="I42" s="384">
        <f t="shared" si="3"/>
        <v>407.06835000000001</v>
      </c>
      <c r="J42" s="393">
        <f t="shared" si="4"/>
        <v>100.9289625</v>
      </c>
      <c r="K42" s="396">
        <f t="shared" si="5"/>
        <v>0.37191160587650701</v>
      </c>
      <c r="L42" s="396">
        <f t="shared" si="6"/>
        <v>0.24794107058433798</v>
      </c>
      <c r="M42" s="389">
        <v>100928962500</v>
      </c>
    </row>
    <row r="43" spans="3:13" ht="15.75" thickBot="1">
      <c r="C43" s="326">
        <v>40</v>
      </c>
      <c r="D43" s="397">
        <v>1988.6666666666677</v>
      </c>
      <c r="E43" s="398">
        <v>11928.199999999999</v>
      </c>
      <c r="F43" s="119">
        <f t="shared" si="0"/>
        <v>13916.866666666667</v>
      </c>
      <c r="G43" s="335">
        <f t="shared" si="1"/>
        <v>1948.3613333333333</v>
      </c>
      <c r="H43" s="384">
        <f t="shared" si="2"/>
        <v>278.33733333333333</v>
      </c>
      <c r="I43" s="384">
        <f t="shared" si="3"/>
        <v>417.50599999999997</v>
      </c>
      <c r="J43" s="393">
        <f t="shared" si="4"/>
        <v>107.8058625</v>
      </c>
      <c r="K43" s="396">
        <f t="shared" si="5"/>
        <v>0.38732088580762913</v>
      </c>
      <c r="L43" s="396">
        <f t="shared" si="6"/>
        <v>0.25821392387175279</v>
      </c>
      <c r="M43" s="389">
        <v>107805862500</v>
      </c>
    </row>
    <row r="44" spans="3:13" ht="15.75" thickBot="1">
      <c r="C44" s="326">
        <v>41</v>
      </c>
      <c r="D44" s="397">
        <v>2038.3833333333343</v>
      </c>
      <c r="E44" s="398">
        <v>12226.404999999999</v>
      </c>
      <c r="F44" s="119">
        <f t="shared" si="0"/>
        <v>14264.788333333334</v>
      </c>
      <c r="G44" s="335">
        <f t="shared" si="1"/>
        <v>1997.0703666666668</v>
      </c>
      <c r="H44" s="384">
        <f t="shared" si="2"/>
        <v>285.29576666666668</v>
      </c>
      <c r="I44" s="384">
        <f t="shared" si="3"/>
        <v>427.94364999999999</v>
      </c>
      <c r="J44" s="393">
        <f t="shared" si="4"/>
        <v>115.10396249999999</v>
      </c>
      <c r="K44" s="396">
        <f t="shared" si="5"/>
        <v>0.40345485614753246</v>
      </c>
      <c r="L44" s="396">
        <f t="shared" si="6"/>
        <v>0.26896990409835497</v>
      </c>
      <c r="M44" s="389">
        <v>115103962500</v>
      </c>
    </row>
    <row r="45" spans="3:13" ht="15.75" thickBot="1">
      <c r="C45" s="326">
        <v>42</v>
      </c>
      <c r="D45" s="397">
        <v>2088.1000000000008</v>
      </c>
      <c r="E45" s="398">
        <v>12524.609999999999</v>
      </c>
      <c r="F45" s="119">
        <f t="shared" si="0"/>
        <v>14612.71</v>
      </c>
      <c r="G45" s="335">
        <f t="shared" si="1"/>
        <v>2045.7793999999997</v>
      </c>
      <c r="H45" s="384">
        <f t="shared" si="2"/>
        <v>292.25420000000003</v>
      </c>
      <c r="I45" s="384">
        <f t="shared" si="3"/>
        <v>438.38130000000001</v>
      </c>
      <c r="J45" s="393">
        <f t="shared" si="4"/>
        <v>122.8421625</v>
      </c>
      <c r="K45" s="396">
        <f t="shared" si="5"/>
        <v>0.42032642302488721</v>
      </c>
      <c r="L45" s="396">
        <f t="shared" si="6"/>
        <v>0.28021761534992484</v>
      </c>
      <c r="M45" s="389">
        <v>122842162500</v>
      </c>
    </row>
    <row r="46" spans="3:13" ht="15.75" thickBot="1">
      <c r="C46" s="326">
        <v>43</v>
      </c>
      <c r="D46" s="397">
        <v>2137.8166666666675</v>
      </c>
      <c r="E46" s="398">
        <v>12822.814999999999</v>
      </c>
      <c r="F46" s="119">
        <f t="shared" si="0"/>
        <v>14960.631666666666</v>
      </c>
      <c r="G46" s="335">
        <f t="shared" si="1"/>
        <v>2094.4884333333334</v>
      </c>
      <c r="H46" s="384">
        <f t="shared" si="2"/>
        <v>299.21263333333332</v>
      </c>
      <c r="I46" s="384">
        <f t="shared" si="3"/>
        <v>448.81894999999997</v>
      </c>
      <c r="J46" s="393">
        <f t="shared" si="4"/>
        <v>131.0834625</v>
      </c>
      <c r="K46" s="396">
        <f t="shared" si="5"/>
        <v>0.43809467882316466</v>
      </c>
      <c r="L46" s="396">
        <f t="shared" si="6"/>
        <v>0.29206311921544315</v>
      </c>
      <c r="M46" s="389">
        <v>131083462500</v>
      </c>
    </row>
    <row r="47" spans="3:13" ht="15.75" thickBot="1">
      <c r="C47" s="326">
        <v>44</v>
      </c>
      <c r="D47" s="397">
        <v>2187.5333333333342</v>
      </c>
      <c r="E47" s="398">
        <v>13121.019999999999</v>
      </c>
      <c r="F47" s="119">
        <f t="shared" si="0"/>
        <v>15308.553333333333</v>
      </c>
      <c r="G47" s="335">
        <f t="shared" si="1"/>
        <v>2143.197466666667</v>
      </c>
      <c r="H47" s="384">
        <f t="shared" si="2"/>
        <v>306.17106666666666</v>
      </c>
      <c r="I47" s="384">
        <f t="shared" si="3"/>
        <v>459.25659999999999</v>
      </c>
      <c r="J47" s="393">
        <f t="shared" si="4"/>
        <v>139.8593625</v>
      </c>
      <c r="K47" s="396">
        <f t="shared" si="5"/>
        <v>0.45680136932163851</v>
      </c>
      <c r="L47" s="396">
        <f t="shared" si="6"/>
        <v>0.30453424621442565</v>
      </c>
      <c r="M47" s="389">
        <v>139859362500</v>
      </c>
    </row>
    <row r="48" spans="3:13" ht="15.75" thickBot="1">
      <c r="C48" s="326">
        <v>45</v>
      </c>
      <c r="D48" s="397">
        <v>2237.2500000000009</v>
      </c>
      <c r="E48" s="398">
        <v>13419.224999999999</v>
      </c>
      <c r="F48" s="119">
        <f t="shared" si="0"/>
        <v>15656.474999999999</v>
      </c>
      <c r="G48" s="335">
        <f t="shared" si="1"/>
        <v>2191.9064999999996</v>
      </c>
      <c r="H48" s="384">
        <f t="shared" si="2"/>
        <v>313.12950000000001</v>
      </c>
      <c r="I48" s="384">
        <f t="shared" si="3"/>
        <v>469.69424999999995</v>
      </c>
      <c r="J48" s="393">
        <f t="shared" si="4"/>
        <v>149.20226249999999</v>
      </c>
      <c r="K48" s="396">
        <f t="shared" si="5"/>
        <v>0.47648740377383791</v>
      </c>
      <c r="L48" s="396">
        <f t="shared" si="6"/>
        <v>0.31765826918255868</v>
      </c>
      <c r="M48" s="389">
        <v>149202262500</v>
      </c>
    </row>
    <row r="49" spans="3:13" ht="15.75" thickBot="1">
      <c r="C49" s="326">
        <v>46</v>
      </c>
      <c r="D49" s="397">
        <v>2286.9666666666676</v>
      </c>
      <c r="E49" s="398">
        <v>13717.429999999998</v>
      </c>
      <c r="F49" s="119">
        <f t="shared" si="0"/>
        <v>16004.396666666666</v>
      </c>
      <c r="G49" s="335">
        <f t="shared" si="1"/>
        <v>2240.6155333333331</v>
      </c>
      <c r="H49" s="384">
        <f t="shared" si="2"/>
        <v>320.0879333333333</v>
      </c>
      <c r="I49" s="384">
        <f t="shared" si="3"/>
        <v>480.13189999999992</v>
      </c>
      <c r="J49" s="393">
        <f t="shared" si="4"/>
        <v>159.14906250000001</v>
      </c>
      <c r="K49" s="396">
        <f t="shared" si="5"/>
        <v>0.49720419274370242</v>
      </c>
      <c r="L49" s="396">
        <f t="shared" si="6"/>
        <v>0.33146946182913495</v>
      </c>
      <c r="M49" s="389">
        <v>159149062500</v>
      </c>
    </row>
    <row r="50" spans="3:13" ht="15.75" thickBot="1">
      <c r="C50" s="326">
        <v>47</v>
      </c>
      <c r="D50" s="397">
        <v>2336.6833333333343</v>
      </c>
      <c r="E50" s="398">
        <v>14015.634999999998</v>
      </c>
      <c r="F50" s="119">
        <f t="shared" si="0"/>
        <v>16352.318333333333</v>
      </c>
      <c r="G50" s="335">
        <f t="shared" si="1"/>
        <v>2289.3245666666667</v>
      </c>
      <c r="H50" s="384">
        <f t="shared" si="2"/>
        <v>327.04636666666664</v>
      </c>
      <c r="I50" s="384">
        <f t="shared" si="3"/>
        <v>490.56954999999999</v>
      </c>
      <c r="J50" s="393">
        <f t="shared" si="4"/>
        <v>169.73666249999999</v>
      </c>
      <c r="K50" s="396">
        <f t="shared" si="5"/>
        <v>0.51899877142802686</v>
      </c>
      <c r="L50" s="396">
        <f t="shared" si="6"/>
        <v>0.34599918095201793</v>
      </c>
      <c r="M50" s="389">
        <v>169736662500</v>
      </c>
    </row>
    <row r="51" spans="3:13" ht="15.75" thickBot="1">
      <c r="C51" s="326">
        <v>48</v>
      </c>
      <c r="D51" s="397">
        <v>2386.400000000001</v>
      </c>
      <c r="E51" s="398">
        <v>14313.839999999998</v>
      </c>
      <c r="F51" s="119">
        <f t="shared" si="0"/>
        <v>16700.239999999998</v>
      </c>
      <c r="G51" s="335">
        <f t="shared" si="1"/>
        <v>2338.0335999999993</v>
      </c>
      <c r="H51" s="384">
        <f t="shared" si="2"/>
        <v>334.00479999999993</v>
      </c>
      <c r="I51" s="384">
        <f t="shared" si="3"/>
        <v>501.00719999999995</v>
      </c>
      <c r="J51" s="393">
        <f t="shared" si="4"/>
        <v>181.0064625</v>
      </c>
      <c r="K51" s="396">
        <f t="shared" si="5"/>
        <v>0.54192772828414448</v>
      </c>
      <c r="L51" s="396">
        <f t="shared" si="6"/>
        <v>0.36128515218942964</v>
      </c>
      <c r="M51" s="389">
        <v>181006462500</v>
      </c>
    </row>
    <row r="52" spans="3:13" ht="15.75" thickBot="1">
      <c r="C52" s="326">
        <v>49</v>
      </c>
      <c r="D52" s="397">
        <v>2436.1166666666677</v>
      </c>
      <c r="E52" s="398">
        <v>14612.044999999998</v>
      </c>
      <c r="F52" s="119">
        <f t="shared" si="0"/>
        <v>17048.161666666667</v>
      </c>
      <c r="G52" s="335">
        <f t="shared" si="1"/>
        <v>2386.7426333333333</v>
      </c>
      <c r="H52" s="384">
        <f t="shared" si="2"/>
        <v>340.96323333333333</v>
      </c>
      <c r="I52" s="384">
        <f t="shared" si="3"/>
        <v>511.44484999999997</v>
      </c>
      <c r="J52" s="393">
        <f t="shared" si="4"/>
        <v>192.99986250000001</v>
      </c>
      <c r="K52" s="396">
        <f t="shared" si="5"/>
        <v>0.56604303230348296</v>
      </c>
      <c r="L52" s="396">
        <f t="shared" si="6"/>
        <v>0.37736202153565535</v>
      </c>
      <c r="M52" s="389">
        <v>192999862500</v>
      </c>
    </row>
    <row r="53" spans="3:13" ht="15.75" thickBot="1">
      <c r="C53" s="326">
        <v>50</v>
      </c>
      <c r="D53" s="397">
        <v>2485.8333333333344</v>
      </c>
      <c r="E53" s="398">
        <v>14910.249999999998</v>
      </c>
      <c r="F53" s="119">
        <f t="shared" si="0"/>
        <v>17396.083333333332</v>
      </c>
      <c r="G53" s="335">
        <f t="shared" si="1"/>
        <v>2435.4516666666664</v>
      </c>
      <c r="H53" s="384">
        <f t="shared" si="2"/>
        <v>347.92166666666662</v>
      </c>
      <c r="I53" s="384">
        <f t="shared" si="3"/>
        <v>521.88249999999994</v>
      </c>
      <c r="J53" s="393">
        <f t="shared" si="4"/>
        <v>205.76276250000001</v>
      </c>
      <c r="K53" s="396">
        <f t="shared" si="5"/>
        <v>0.59140542890401582</v>
      </c>
      <c r="L53" s="396">
        <f t="shared" si="6"/>
        <v>0.39427028593601054</v>
      </c>
      <c r="M53" s="389">
        <v>205762762500</v>
      </c>
    </row>
    <row r="54" spans="3:13" ht="15.75" thickBot="1">
      <c r="C54" s="326">
        <v>51</v>
      </c>
      <c r="D54" s="397">
        <v>2535.5500000000011</v>
      </c>
      <c r="E54" s="398">
        <v>15208.454999999998</v>
      </c>
      <c r="F54" s="119">
        <f t="shared" si="0"/>
        <v>17744.004999999997</v>
      </c>
      <c r="G54" s="335">
        <f t="shared" si="1"/>
        <v>2484.1606999999995</v>
      </c>
      <c r="H54" s="384">
        <f t="shared" si="2"/>
        <v>354.88009999999991</v>
      </c>
      <c r="I54" s="384">
        <f t="shared" si="3"/>
        <v>532.3201499999999</v>
      </c>
      <c r="J54" s="393">
        <f t="shared" si="4"/>
        <v>219.3446625</v>
      </c>
      <c r="K54" s="396">
        <f t="shared" si="5"/>
        <v>0.61808104342847081</v>
      </c>
      <c r="L54" s="396">
        <f t="shared" si="6"/>
        <v>0.41205402895231386</v>
      </c>
      <c r="M54" s="389">
        <v>219344662500</v>
      </c>
    </row>
    <row r="55" spans="3:13" ht="15.75" thickBot="1">
      <c r="C55" s="326">
        <v>52</v>
      </c>
      <c r="D55" s="397">
        <v>2585.2666666666678</v>
      </c>
      <c r="E55" s="398">
        <v>15506.659999999998</v>
      </c>
      <c r="F55" s="119">
        <f t="shared" si="0"/>
        <v>18091.926666666666</v>
      </c>
      <c r="G55" s="335">
        <f t="shared" si="1"/>
        <v>2532.8697333333334</v>
      </c>
      <c r="H55" s="384">
        <f t="shared" si="2"/>
        <v>361.83853333333332</v>
      </c>
      <c r="I55" s="384">
        <f t="shared" si="3"/>
        <v>542.75779999999997</v>
      </c>
      <c r="J55" s="393">
        <f t="shared" si="4"/>
        <v>233.7959625</v>
      </c>
      <c r="K55" s="396">
        <f t="shared" si="5"/>
        <v>0.64613340195203095</v>
      </c>
      <c r="L55" s="396">
        <f t="shared" si="6"/>
        <v>0.43075560130135399</v>
      </c>
      <c r="M55" s="389">
        <v>233795962500</v>
      </c>
    </row>
    <row r="56" spans="3:13" ht="15.75" thickBot="1">
      <c r="C56" s="326">
        <v>53</v>
      </c>
      <c r="D56" s="397">
        <v>2634.9833333333345</v>
      </c>
      <c r="E56" s="398">
        <v>15804.864999999998</v>
      </c>
      <c r="F56" s="119">
        <f t="shared" si="0"/>
        <v>18439.848333333332</v>
      </c>
      <c r="G56" s="335">
        <f t="shared" si="1"/>
        <v>2581.5787666666665</v>
      </c>
      <c r="H56" s="384">
        <f t="shared" si="2"/>
        <v>368.79696666666661</v>
      </c>
      <c r="I56" s="384">
        <f t="shared" si="3"/>
        <v>553.19545000000005</v>
      </c>
      <c r="J56" s="393">
        <f t="shared" si="4"/>
        <v>249.17066249999999</v>
      </c>
      <c r="K56" s="396">
        <f t="shared" si="5"/>
        <v>0.67563099759768463</v>
      </c>
      <c r="L56" s="396">
        <f t="shared" si="6"/>
        <v>0.45042066506512296</v>
      </c>
      <c r="M56" s="389">
        <v>249170662500</v>
      </c>
    </row>
    <row r="57" spans="3:13" ht="15.75" thickBot="1">
      <c r="C57" s="326">
        <v>54</v>
      </c>
      <c r="D57" s="397">
        <v>2684.7000000000012</v>
      </c>
      <c r="E57" s="398">
        <v>16103.069999999998</v>
      </c>
      <c r="F57" s="119">
        <f t="shared" si="0"/>
        <v>18787.77</v>
      </c>
      <c r="G57" s="335">
        <f t="shared" si="1"/>
        <v>2630.2878000000001</v>
      </c>
      <c r="H57" s="384">
        <f t="shared" si="2"/>
        <v>375.75540000000001</v>
      </c>
      <c r="I57" s="384">
        <f t="shared" si="3"/>
        <v>563.63310000000001</v>
      </c>
      <c r="J57" s="393">
        <f t="shared" si="4"/>
        <v>265.52816250000001</v>
      </c>
      <c r="K57" s="396">
        <f t="shared" si="5"/>
        <v>0.70665162097470857</v>
      </c>
      <c r="L57" s="396">
        <f t="shared" si="6"/>
        <v>0.47110108064980571</v>
      </c>
      <c r="M57" s="389">
        <v>265528162500</v>
      </c>
    </row>
    <row r="58" spans="3:13" ht="15.75" thickBot="1">
      <c r="C58" s="326">
        <v>55</v>
      </c>
      <c r="D58" s="397">
        <v>2734.4166666666679</v>
      </c>
      <c r="E58" s="398">
        <v>16401.274999999998</v>
      </c>
      <c r="F58" s="119">
        <f t="shared" si="0"/>
        <v>19135.691666666666</v>
      </c>
      <c r="G58" s="335">
        <f t="shared" si="1"/>
        <v>2678.9968333333331</v>
      </c>
      <c r="H58" s="384">
        <f t="shared" si="2"/>
        <v>382.7138333333333</v>
      </c>
      <c r="I58" s="384">
        <f t="shared" si="3"/>
        <v>574.07074999999998</v>
      </c>
      <c r="J58" s="393">
        <f t="shared" si="4"/>
        <v>282.92966250000001</v>
      </c>
      <c r="K58" s="396">
        <f t="shared" si="5"/>
        <v>0.73927210844656355</v>
      </c>
      <c r="L58" s="396">
        <f t="shared" si="6"/>
        <v>0.49284807229770899</v>
      </c>
      <c r="M58" s="389">
        <v>282929662500</v>
      </c>
    </row>
    <row r="59" spans="3:13" ht="15.75" thickBot="1">
      <c r="C59" s="326">
        <v>56</v>
      </c>
      <c r="D59" s="397">
        <v>2784.1333333333346</v>
      </c>
      <c r="E59" s="398">
        <v>16699.48</v>
      </c>
      <c r="F59" s="119">
        <f t="shared" si="0"/>
        <v>19483.613333333335</v>
      </c>
      <c r="G59" s="335">
        <f t="shared" si="1"/>
        <v>2727.7058666666671</v>
      </c>
      <c r="H59" s="384">
        <f t="shared" si="2"/>
        <v>389.6722666666667</v>
      </c>
      <c r="I59" s="384">
        <f t="shared" si="3"/>
        <v>584.50840000000005</v>
      </c>
      <c r="J59" s="393">
        <f t="shared" si="4"/>
        <v>301.44176249999998</v>
      </c>
      <c r="K59" s="396">
        <f t="shared" si="5"/>
        <v>0.77357766586416876</v>
      </c>
      <c r="L59" s="396">
        <f t="shared" si="6"/>
        <v>0.51571844390944588</v>
      </c>
      <c r="M59" s="389">
        <v>301441762500</v>
      </c>
    </row>
    <row r="60" spans="3:13" ht="15.75" thickBot="1">
      <c r="C60" s="326">
        <v>57</v>
      </c>
      <c r="D60" s="397">
        <v>2833.8500000000013</v>
      </c>
      <c r="E60" s="398">
        <v>16997.685000000001</v>
      </c>
      <c r="F60" s="119">
        <f t="shared" si="0"/>
        <v>19831.535000000003</v>
      </c>
      <c r="G60" s="335">
        <f t="shared" si="1"/>
        <v>2776.4149000000007</v>
      </c>
      <c r="H60" s="384">
        <f t="shared" si="2"/>
        <v>396.63070000000005</v>
      </c>
      <c r="I60" s="384">
        <f t="shared" si="3"/>
        <v>594.94605000000013</v>
      </c>
      <c r="J60" s="393">
        <f t="shared" si="4"/>
        <v>321.13556249999999</v>
      </c>
      <c r="K60" s="396">
        <f t="shared" si="5"/>
        <v>0.80965886528702879</v>
      </c>
      <c r="L60" s="396">
        <f t="shared" si="6"/>
        <v>0.53977257685801916</v>
      </c>
      <c r="M60" s="389">
        <v>321135562500</v>
      </c>
    </row>
    <row r="61" spans="3:13" ht="15.75" thickBot="1">
      <c r="C61" s="326">
        <v>58</v>
      </c>
      <c r="D61" s="397">
        <v>2883.566666666668</v>
      </c>
      <c r="E61" s="398">
        <v>17295.890000000003</v>
      </c>
      <c r="F61" s="119">
        <f t="shared" si="0"/>
        <v>20179.456666666672</v>
      </c>
      <c r="G61" s="335">
        <f t="shared" si="1"/>
        <v>2825.1239333333342</v>
      </c>
      <c r="H61" s="384">
        <f t="shared" si="2"/>
        <v>403.58913333333345</v>
      </c>
      <c r="I61" s="384">
        <f t="shared" si="3"/>
        <v>605.38370000000009</v>
      </c>
      <c r="J61" s="393">
        <f t="shared" si="4"/>
        <v>342.08576249999999</v>
      </c>
      <c r="K61" s="396">
        <f t="shared" si="5"/>
        <v>0.84760895238837752</v>
      </c>
      <c r="L61" s="396">
        <f t="shared" si="6"/>
        <v>0.56507263492558513</v>
      </c>
      <c r="M61" s="389">
        <v>342085762500</v>
      </c>
    </row>
    <row r="62" spans="3:13" ht="15.75" thickBot="1">
      <c r="C62" s="326">
        <v>59</v>
      </c>
      <c r="D62" s="397">
        <v>2933.2833333333347</v>
      </c>
      <c r="E62" s="398">
        <v>17594.095000000005</v>
      </c>
      <c r="F62" s="119">
        <f t="shared" si="0"/>
        <v>20527.378333333341</v>
      </c>
      <c r="G62" s="335">
        <f t="shared" si="1"/>
        <v>2873.8329666666677</v>
      </c>
      <c r="H62" s="384">
        <f t="shared" si="2"/>
        <v>410.5475666666668</v>
      </c>
      <c r="I62" s="384">
        <f t="shared" si="3"/>
        <v>615.82135000000028</v>
      </c>
      <c r="J62" s="393">
        <f t="shared" si="4"/>
        <v>364.37246249999998</v>
      </c>
      <c r="K62" s="396">
        <f t="shared" si="5"/>
        <v>0.88752800426617195</v>
      </c>
      <c r="L62" s="396">
        <f t="shared" si="6"/>
        <v>0.5916853361774479</v>
      </c>
      <c r="M62" s="389">
        <v>364372462500</v>
      </c>
    </row>
    <row r="63" spans="3:13" ht="15.75" thickBot="1">
      <c r="C63" s="327">
        <v>60</v>
      </c>
      <c r="D63" s="399">
        <v>2983.0000000000014</v>
      </c>
      <c r="E63" s="400">
        <v>17892.300000000007</v>
      </c>
      <c r="F63" s="331">
        <f t="shared" si="0"/>
        <v>20875.300000000007</v>
      </c>
      <c r="G63" s="335">
        <f t="shared" si="1"/>
        <v>2922.5420000000008</v>
      </c>
      <c r="H63" s="384">
        <f t="shared" si="2"/>
        <v>417.50600000000014</v>
      </c>
      <c r="I63" s="384">
        <f t="shared" si="3"/>
        <v>626.25900000000024</v>
      </c>
      <c r="J63" s="393">
        <f t="shared" si="4"/>
        <v>388.08296250000001</v>
      </c>
      <c r="K63" s="396">
        <f t="shared" si="5"/>
        <v>0.92952667147298451</v>
      </c>
      <c r="L63" s="396">
        <f t="shared" si="6"/>
        <v>0.61968444764865627</v>
      </c>
      <c r="M63" s="389">
        <v>388082962500</v>
      </c>
    </row>
    <row r="64" spans="3:13" ht="15">
      <c r="C64" s="329"/>
      <c r="D64" s="330"/>
      <c r="E64" s="330"/>
      <c r="F64" s="330"/>
      <c r="G64" s="395"/>
    </row>
    <row r="65" spans="3:7" ht="15">
      <c r="C65" s="329"/>
      <c r="D65" s="330"/>
      <c r="E65" s="330"/>
      <c r="F65" s="330"/>
      <c r="G65" s="333"/>
    </row>
    <row r="66" spans="3:7" ht="15">
      <c r="C66" s="329"/>
      <c r="D66" s="330"/>
      <c r="E66" s="330"/>
      <c r="F66" s="330"/>
    </row>
    <row r="67" spans="3:7" ht="15">
      <c r="C67" s="329"/>
      <c r="D67" s="330"/>
      <c r="E67" s="330"/>
      <c r="F67" s="330"/>
    </row>
    <row r="68" spans="3:7" ht="15">
      <c r="C68" s="329"/>
      <c r="D68" s="330"/>
      <c r="E68" s="330"/>
      <c r="F68" s="330"/>
    </row>
    <row r="69" spans="3:7" ht="15">
      <c r="C69" s="329"/>
      <c r="D69" s="330"/>
      <c r="E69" s="330"/>
      <c r="F69" s="330"/>
    </row>
    <row r="70" spans="3:7" ht="15">
      <c r="C70" s="329"/>
      <c r="D70" s="330"/>
      <c r="E70" s="330"/>
      <c r="F70" s="330"/>
    </row>
    <row r="71" spans="3:7" ht="15">
      <c r="C71" s="329"/>
      <c r="D71" s="330"/>
      <c r="E71" s="330"/>
      <c r="F71" s="330"/>
    </row>
    <row r="72" spans="3:7" ht="15">
      <c r="C72" s="329"/>
      <c r="D72" s="330"/>
      <c r="E72" s="330"/>
      <c r="F72" s="330"/>
    </row>
    <row r="73" spans="3:7" ht="15">
      <c r="C73" s="329"/>
      <c r="D73" s="330"/>
      <c r="E73" s="330"/>
      <c r="F73" s="330"/>
    </row>
    <row r="74" spans="3:7" ht="15">
      <c r="C74" s="329"/>
      <c r="D74" s="330"/>
      <c r="E74" s="330"/>
      <c r="F74" s="330"/>
    </row>
    <row r="75" spans="3:7" ht="15">
      <c r="C75" s="329"/>
      <c r="D75" s="330"/>
      <c r="E75" s="330"/>
      <c r="F75" s="330"/>
    </row>
    <row r="76" spans="3:7" ht="15">
      <c r="C76" s="329"/>
      <c r="D76" s="330"/>
      <c r="E76" s="330"/>
      <c r="F76" s="330"/>
    </row>
    <row r="77" spans="3:7" ht="15">
      <c r="C77" s="329"/>
      <c r="D77" s="330"/>
      <c r="E77" s="330"/>
      <c r="F77" s="330"/>
    </row>
    <row r="78" spans="3:7" ht="15">
      <c r="C78" s="329"/>
      <c r="D78" s="330"/>
      <c r="E78" s="330"/>
      <c r="F78" s="330"/>
    </row>
    <row r="79" spans="3:7" ht="15">
      <c r="C79" s="329"/>
      <c r="D79" s="330"/>
      <c r="E79" s="330"/>
      <c r="F79" s="330"/>
    </row>
    <row r="80" spans="3:7" ht="15">
      <c r="C80" s="329"/>
      <c r="D80" s="330"/>
      <c r="E80" s="330"/>
      <c r="F80" s="330"/>
    </row>
    <row r="81" spans="3:6" ht="15">
      <c r="C81" s="329"/>
      <c r="D81" s="330"/>
      <c r="E81" s="330"/>
      <c r="F81" s="330"/>
    </row>
    <row r="82" spans="3:6" ht="15">
      <c r="C82" s="329"/>
      <c r="D82" s="330"/>
      <c r="E82" s="330"/>
      <c r="F82" s="330"/>
    </row>
    <row r="83" spans="3:6" ht="15">
      <c r="C83" s="329"/>
      <c r="D83" s="330"/>
      <c r="E83" s="330"/>
      <c r="F83" s="330"/>
    </row>
    <row r="84" spans="3:6" ht="15">
      <c r="C84" s="329"/>
      <c r="D84" s="330"/>
      <c r="E84" s="330"/>
      <c r="F84" s="330"/>
    </row>
    <row r="85" spans="3:6" ht="15">
      <c r="C85" s="329"/>
      <c r="D85" s="330"/>
      <c r="E85" s="330"/>
      <c r="F85" s="330"/>
    </row>
    <row r="86" spans="3:6" ht="15">
      <c r="C86" s="329"/>
      <c r="D86" s="330"/>
      <c r="E86" s="330"/>
      <c r="F86" s="330"/>
    </row>
    <row r="87" spans="3:6" ht="15">
      <c r="C87" s="329"/>
      <c r="D87" s="330"/>
      <c r="E87" s="330"/>
      <c r="F87" s="330"/>
    </row>
    <row r="88" spans="3:6" ht="15">
      <c r="C88" s="329"/>
      <c r="D88" s="330"/>
      <c r="E88" s="330"/>
      <c r="F88" s="330"/>
    </row>
    <row r="89" spans="3:6" ht="15">
      <c r="C89" s="329"/>
      <c r="D89" s="330"/>
      <c r="E89" s="330"/>
      <c r="F89" s="330"/>
    </row>
    <row r="90" spans="3:6" ht="15">
      <c r="C90" s="329"/>
      <c r="D90" s="330"/>
      <c r="E90" s="330"/>
      <c r="F90" s="330"/>
    </row>
    <row r="91" spans="3:6" ht="15">
      <c r="C91" s="329"/>
      <c r="D91" s="330"/>
      <c r="E91" s="330"/>
      <c r="F91" s="330"/>
    </row>
    <row r="92" spans="3:6" ht="15">
      <c r="C92" s="329"/>
      <c r="D92" s="330"/>
      <c r="E92" s="330"/>
      <c r="F92" s="330"/>
    </row>
    <row r="93" spans="3:6" ht="15">
      <c r="C93" s="329"/>
      <c r="D93" s="330"/>
      <c r="E93" s="330"/>
      <c r="F93" s="330"/>
    </row>
    <row r="94" spans="3:6" ht="15">
      <c r="C94" s="329"/>
      <c r="D94" s="330"/>
      <c r="E94" s="330"/>
      <c r="F94" s="330"/>
    </row>
    <row r="95" spans="3:6" ht="15">
      <c r="C95" s="329"/>
      <c r="D95" s="330"/>
      <c r="E95" s="330"/>
      <c r="F95" s="330"/>
    </row>
    <row r="96" spans="3:6" ht="15">
      <c r="C96" s="329"/>
      <c r="D96" s="330"/>
      <c r="E96" s="330"/>
      <c r="F96" s="330"/>
    </row>
    <row r="97" spans="3:13" ht="15">
      <c r="C97" s="329"/>
      <c r="D97" s="330"/>
      <c r="E97" s="330"/>
      <c r="F97" s="330"/>
    </row>
    <row r="98" spans="3:13" ht="15">
      <c r="C98" s="329"/>
      <c r="D98" s="330"/>
      <c r="E98" s="330"/>
      <c r="F98" s="330"/>
    </row>
    <row r="99" spans="3:13" ht="15">
      <c r="C99" s="329"/>
      <c r="D99" s="330"/>
      <c r="E99" s="330"/>
      <c r="F99" s="330"/>
    </row>
    <row r="100" spans="3:13" ht="15">
      <c r="C100" s="329"/>
      <c r="D100" s="330"/>
      <c r="E100" s="330"/>
      <c r="F100" s="330"/>
    </row>
    <row r="101" spans="3:13" ht="15">
      <c r="C101" s="329"/>
      <c r="D101" s="330"/>
      <c r="E101" s="330"/>
      <c r="F101" s="330"/>
    </row>
    <row r="102" spans="3:13" ht="15">
      <c r="C102" s="329"/>
      <c r="D102" s="330"/>
      <c r="E102" s="330"/>
      <c r="F102" s="330"/>
      <c r="I102" s="338"/>
      <c r="K102" s="339"/>
      <c r="M102" s="339"/>
    </row>
    <row r="103" spans="3:13" ht="15">
      <c r="C103" s="329"/>
      <c r="D103" s="330"/>
      <c r="E103" s="330"/>
      <c r="F103" s="330"/>
      <c r="I103" s="340"/>
      <c r="K103" s="338"/>
      <c r="M103" s="339"/>
    </row>
    <row r="104" spans="3:13" ht="15">
      <c r="C104" s="329"/>
      <c r="D104" s="330"/>
      <c r="E104" s="330"/>
      <c r="F104" s="330"/>
      <c r="I104" s="340"/>
      <c r="K104" s="338"/>
      <c r="M104" s="339"/>
    </row>
    <row r="105" spans="3:13" ht="15">
      <c r="C105" s="329"/>
      <c r="D105" s="330"/>
      <c r="E105" s="330"/>
      <c r="F105" s="330"/>
      <c r="I105" s="340"/>
      <c r="K105" s="338"/>
      <c r="M105" s="339"/>
    </row>
    <row r="106" spans="3:13" ht="15">
      <c r="I106" s="340"/>
      <c r="K106" s="338"/>
      <c r="L106" s="392"/>
      <c r="M106" s="339"/>
    </row>
    <row r="107" spans="3:13" ht="15">
      <c r="I107" s="340"/>
      <c r="K107" s="338"/>
      <c r="M107" s="339"/>
    </row>
    <row r="108" spans="3:13" ht="15">
      <c r="I108" s="340"/>
      <c r="K108" s="338"/>
      <c r="M108" s="339"/>
    </row>
    <row r="109" spans="3:13">
      <c r="I109" s="341"/>
      <c r="K109" s="341"/>
      <c r="M109" s="341"/>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73" t="s">
        <v>29</v>
      </c>
      <c r="C1" s="374"/>
      <c r="D1" s="374"/>
      <c r="E1" s="374"/>
      <c r="F1" s="374"/>
      <c r="G1" s="374"/>
      <c r="H1" s="374"/>
      <c r="I1" s="374"/>
      <c r="J1" s="374"/>
      <c r="K1" s="374"/>
      <c r="L1" s="374"/>
      <c r="M1" s="374"/>
      <c r="N1" s="374"/>
      <c r="O1" s="374"/>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75" t="s">
        <v>238</v>
      </c>
      <c r="C38" s="371"/>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76"/>
      <c r="C39" s="371"/>
      <c r="D39" s="377" t="s">
        <v>264</v>
      </c>
      <c r="E39" s="371"/>
      <c r="F39" s="371"/>
      <c r="G39" s="371"/>
      <c r="H39" s="371"/>
      <c r="I39" s="371"/>
      <c r="J39" s="371"/>
      <c r="K39" s="371"/>
      <c r="L39" s="371"/>
      <c r="M39" s="371"/>
      <c r="N39" s="371"/>
      <c r="O39" s="371"/>
      <c r="P39" s="371"/>
      <c r="Q39" s="371"/>
    </row>
    <row r="40" spans="1:17" ht="15" customHeight="1">
      <c r="A40" s="183"/>
      <c r="B40" s="370" t="s">
        <v>288</v>
      </c>
      <c r="C40" s="371"/>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70" t="s">
        <v>290</v>
      </c>
      <c r="C41" s="371"/>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70" t="s">
        <v>291</v>
      </c>
      <c r="C42" s="371"/>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70" t="s">
        <v>292</v>
      </c>
      <c r="C43" s="371"/>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70" t="s">
        <v>293</v>
      </c>
      <c r="C44" s="371"/>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72" t="s">
        <v>307</v>
      </c>
      <c r="C49" s="371"/>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380" t="s">
        <v>103</v>
      </c>
      <c r="C9" s="381"/>
      <c r="D9" s="381"/>
      <c r="E9" s="381"/>
      <c r="F9" s="381"/>
      <c r="G9" s="381"/>
      <c r="H9" s="382"/>
      <c r="I9" s="69">
        <f>I10*I11*I12*I13</f>
        <v>1174665803143.3186</v>
      </c>
      <c r="J9" s="77" t="s">
        <v>182</v>
      </c>
      <c r="K9" s="321"/>
      <c r="L9" s="321"/>
      <c r="M9" s="321"/>
      <c r="N9" s="321"/>
      <c r="O9" s="321"/>
      <c r="P9" s="321"/>
      <c r="Q9" s="321"/>
      <c r="R9" s="322"/>
      <c r="S9" s="322"/>
      <c r="T9" s="77"/>
    </row>
    <row r="10" spans="1:20" ht="17.25" customHeight="1">
      <c r="A10" s="321"/>
      <c r="B10" s="380" t="s">
        <v>200</v>
      </c>
      <c r="C10" s="381"/>
      <c r="D10" s="381"/>
      <c r="E10" s="381"/>
      <c r="F10" s="381"/>
      <c r="G10" s="381"/>
      <c r="H10" s="382"/>
      <c r="I10" s="79">
        <f>Summary!C57</f>
        <v>6309000000</v>
      </c>
      <c r="J10" s="77" t="s">
        <v>201</v>
      </c>
      <c r="K10" s="321"/>
      <c r="L10" s="321"/>
      <c r="M10" s="321"/>
      <c r="N10" s="321"/>
      <c r="O10" s="321"/>
      <c r="P10" s="321"/>
      <c r="Q10" s="321"/>
      <c r="R10" s="322"/>
      <c r="S10" s="322"/>
      <c r="T10" s="77"/>
    </row>
    <row r="11" spans="1:20" ht="17.25" customHeight="1">
      <c r="A11" s="321"/>
      <c r="B11" s="380" t="s">
        <v>202</v>
      </c>
      <c r="C11" s="381"/>
      <c r="D11" s="381"/>
      <c r="E11" s="381"/>
      <c r="F11" s="381"/>
      <c r="G11" s="381"/>
      <c r="H11" s="382"/>
      <c r="I11" s="81">
        <f>Summary!C60</f>
        <v>0.2</v>
      </c>
      <c r="J11" s="77"/>
      <c r="K11" s="321"/>
      <c r="L11" s="321"/>
      <c r="M11" s="321"/>
      <c r="N11" s="321"/>
      <c r="O11" s="321"/>
      <c r="P11" s="321"/>
      <c r="Q11" s="321"/>
      <c r="R11" s="322"/>
      <c r="S11" s="322"/>
      <c r="T11" s="77"/>
    </row>
    <row r="12" spans="1:20" ht="17.25" customHeight="1">
      <c r="A12" s="321"/>
      <c r="B12" s="380" t="s">
        <v>203</v>
      </c>
      <c r="C12" s="381"/>
      <c r="D12" s="381"/>
      <c r="E12" s="381"/>
      <c r="F12" s="381"/>
      <c r="G12" s="381"/>
      <c r="H12" s="382"/>
      <c r="I12" s="93">
        <f>Summary!C64</f>
        <v>1242.0138888888887</v>
      </c>
      <c r="J12" s="77" t="s">
        <v>210</v>
      </c>
      <c r="K12" s="321"/>
      <c r="L12" s="321"/>
      <c r="M12" s="321"/>
      <c r="N12" s="321"/>
      <c r="O12" s="321"/>
      <c r="P12" s="321"/>
      <c r="Q12" s="321"/>
      <c r="R12" s="322"/>
      <c r="S12" s="322"/>
      <c r="T12" s="77"/>
    </row>
    <row r="13" spans="1:20" ht="17.25" customHeight="1">
      <c r="A13" s="321"/>
      <c r="B13" s="380" t="s">
        <v>211</v>
      </c>
      <c r="C13" s="381"/>
      <c r="D13" s="381"/>
      <c r="E13" s="381"/>
      <c r="F13" s="381"/>
      <c r="G13" s="381"/>
      <c r="H13" s="382"/>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78" t="s">
        <v>214</v>
      </c>
      <c r="H15" s="349"/>
      <c r="I15" s="102">
        <f>1000*I9/(24*365*1000000000)</f>
        <v>134.094269765219</v>
      </c>
      <c r="J15" s="104" t="s">
        <v>228</v>
      </c>
      <c r="K15" s="379"/>
      <c r="L15" s="356"/>
      <c r="M15" s="356"/>
      <c r="N15" s="356"/>
      <c r="O15" s="356"/>
      <c r="P15" s="356"/>
      <c r="Q15" s="319"/>
      <c r="R15" s="320"/>
      <c r="S15" s="320"/>
      <c r="T15" s="27"/>
    </row>
    <row r="16" spans="1:20" ht="13.5" customHeight="1">
      <c r="A16" s="319"/>
      <c r="B16" s="27"/>
      <c r="C16" s="27"/>
      <c r="D16" s="27"/>
      <c r="E16" s="27"/>
      <c r="F16" s="27"/>
      <c r="G16" s="27"/>
      <c r="H16" s="27"/>
      <c r="I16" s="27"/>
      <c r="J16" s="27"/>
      <c r="K16" s="379"/>
      <c r="L16" s="356"/>
      <c r="M16" s="356"/>
      <c r="N16" s="356"/>
      <c r="O16" s="356"/>
      <c r="P16" s="356"/>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48" workbookViewId="0">
      <selection activeCell="D55" sqref="D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383" t="s">
        <v>9</v>
      </c>
      <c r="C1" s="349"/>
      <c r="D1" s="349"/>
      <c r="E1" s="349"/>
      <c r="F1" s="349"/>
      <c r="G1" s="349"/>
      <c r="H1" s="349"/>
      <c r="I1" s="349"/>
      <c r="J1" s="349"/>
      <c r="K1" s="349"/>
      <c r="L1" s="349"/>
      <c r="M1" s="349"/>
      <c r="N1" s="349"/>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358</v>
      </c>
      <c r="D51" s="214" t="s">
        <v>359</v>
      </c>
      <c r="E51" s="2"/>
      <c r="F51" s="2"/>
      <c r="G51" s="2"/>
      <c r="H51" s="2"/>
      <c r="I51" s="2"/>
      <c r="J51" s="2"/>
      <c r="K51" s="2"/>
      <c r="L51" s="2"/>
      <c r="M51" s="2"/>
      <c r="N51" s="2"/>
    </row>
    <row r="52" spans="1:14">
      <c r="A52" s="211"/>
      <c r="B52" s="212" t="s">
        <v>89</v>
      </c>
      <c r="C52" s="213" t="s">
        <v>358</v>
      </c>
      <c r="D52" s="214" t="s">
        <v>360</v>
      </c>
      <c r="E52" s="2"/>
      <c r="F52" s="2"/>
      <c r="G52" s="2"/>
      <c r="H52" s="2"/>
      <c r="I52" s="2"/>
      <c r="J52" s="2"/>
      <c r="K52" s="2"/>
      <c r="L52" s="2"/>
      <c r="M52" s="2"/>
      <c r="N52" s="2"/>
    </row>
    <row r="53" spans="1:14">
      <c r="A53" s="211"/>
      <c r="B53" s="53" t="s">
        <v>89</v>
      </c>
      <c r="C53" s="11" t="s">
        <v>363</v>
      </c>
      <c r="D53" s="2" t="s">
        <v>364</v>
      </c>
      <c r="E53" s="2"/>
      <c r="F53" s="2"/>
      <c r="G53" s="2"/>
      <c r="H53" s="2"/>
      <c r="I53" s="2"/>
      <c r="J53" s="2"/>
      <c r="K53" s="2"/>
      <c r="L53" s="2"/>
      <c r="M53" s="2"/>
      <c r="N53" s="2"/>
    </row>
    <row r="54" spans="1:14" ht="15.75" customHeight="1">
      <c r="A54" s="211"/>
      <c r="B54" s="212" t="s">
        <v>89</v>
      </c>
      <c r="C54" s="213" t="s">
        <v>363</v>
      </c>
      <c r="D54" s="214" t="s">
        <v>373</v>
      </c>
      <c r="E54" s="2"/>
      <c r="F54" s="2"/>
      <c r="G54" s="2"/>
      <c r="H54" s="2"/>
      <c r="I54" s="2"/>
      <c r="J54" s="2"/>
      <c r="K54" s="2"/>
      <c r="L54" s="2"/>
      <c r="M54" s="2"/>
      <c r="N54" s="2"/>
    </row>
    <row r="55" spans="1:14" ht="15" customHeight="1">
      <c r="B55" s="212" t="s">
        <v>89</v>
      </c>
      <c r="C55" s="213" t="s">
        <v>385</v>
      </c>
      <c r="D55" s="214" t="s">
        <v>386</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53" t="s">
        <v>1</v>
      </c>
      <c r="C1" s="354"/>
      <c r="D1" s="354"/>
      <c r="E1" s="354"/>
      <c r="F1" s="354"/>
    </row>
    <row r="2" spans="1:6">
      <c r="A2" s="183"/>
      <c r="B2" s="183"/>
      <c r="C2" s="183"/>
      <c r="D2" s="183"/>
      <c r="E2" s="183"/>
      <c r="F2" s="183"/>
    </row>
    <row r="3" spans="1:6" ht="15.75" customHeight="1">
      <c r="A3" s="183"/>
      <c r="B3" s="2"/>
      <c r="C3" s="2"/>
      <c r="D3" s="2"/>
      <c r="E3" s="2"/>
      <c r="F3" s="2"/>
    </row>
    <row r="4" spans="1:6" ht="15.75" customHeight="1">
      <c r="A4" s="183"/>
      <c r="B4" s="219" t="s">
        <v>362</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53" t="s">
        <v>0</v>
      </c>
      <c r="C1" s="354"/>
      <c r="D1" s="354"/>
      <c r="E1" s="354"/>
      <c r="F1" s="354"/>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C4" sqref="C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53" t="s">
        <v>3</v>
      </c>
      <c r="C1" s="354"/>
      <c r="D1" s="354"/>
      <c r="E1" s="354"/>
      <c r="F1" s="354"/>
      <c r="G1" s="354"/>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370</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55" t="s">
        <v>48</v>
      </c>
      <c r="E22" s="356"/>
      <c r="F22" s="356"/>
      <c r="G22" s="356"/>
      <c r="H22" s="356"/>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H12" workbookViewId="0">
      <selection activeCell="M21" sqref="M21"/>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57" t="s">
        <v>26</v>
      </c>
      <c r="C1" s="354"/>
      <c r="D1" s="354"/>
      <c r="E1" s="354"/>
      <c r="F1" s="354"/>
      <c r="G1" s="354"/>
      <c r="H1" s="354"/>
      <c r="I1" s="354"/>
      <c r="J1" s="354"/>
      <c r="K1" s="354"/>
      <c r="L1" s="354"/>
      <c r="M1" s="354"/>
      <c r="N1" s="354"/>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58" t="s">
        <v>74</v>
      </c>
      <c r="C6" s="359"/>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2" t="s">
        <v>374</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7.5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5201250000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88" t="s">
        <v>224</v>
      </c>
      <c r="C11" s="92">
        <v>0.05</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520.125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60" t="s">
        <v>263</v>
      </c>
      <c r="W19" s="356"/>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520.125</v>
      </c>
      <c r="D21" s="48">
        <f t="shared" ref="D21:D122" si="0">H21/K21</f>
        <v>0</v>
      </c>
      <c r="E21" s="115">
        <f>M21/C$15</f>
        <v>520.125</v>
      </c>
      <c r="F21" s="116">
        <f t="shared" ref="F21:F122" si="1">E21*C$17/1000000</f>
        <v>0.52012499999999995</v>
      </c>
      <c r="G21" s="118">
        <f>C21/Summary!C$23</f>
        <v>7.4197574893009989E-3</v>
      </c>
      <c r="H21" s="119">
        <v>0</v>
      </c>
      <c r="I21" s="119">
        <f>Summary!C32</f>
        <v>49.716666666666669</v>
      </c>
      <c r="J21" s="119">
        <f>Summary!C33</f>
        <v>298.20499999999998</v>
      </c>
      <c r="K21" s="119">
        <f>SUM(I21:J21)</f>
        <v>347.92166666666662</v>
      </c>
      <c r="L21" s="120"/>
      <c r="M21" s="122">
        <f t="shared" ref="M21:M122" si="2">C$10+L21</f>
        <v>5201250000</v>
      </c>
      <c r="N21" s="120">
        <f t="shared" ref="N21:N122" ca="1" si="3">ROUNDUP(IF(B21&gt;$C$7,OFFSET(E21,-1*$C$7,0),0),0)</f>
        <v>0</v>
      </c>
      <c r="O21" s="48">
        <f t="shared" ref="O21:O122" si="4">H21/I21*100%</f>
        <v>0</v>
      </c>
      <c r="P21" s="115">
        <f>C21*Summary!$C$16</f>
        <v>2600.625</v>
      </c>
      <c r="Q21" s="115">
        <f>P21*Summary!$C$17</f>
        <v>1040.25</v>
      </c>
      <c r="R21" s="48">
        <f>Q21/'Alberta Electricity Profile'!$C$33</f>
        <v>6.9801382272025772E-2</v>
      </c>
      <c r="S21" s="232">
        <f>P21/'Alberta Electricity Profile'!$D$49</f>
        <v>1.9921596715258574E-2</v>
      </c>
      <c r="T21" s="233">
        <f t="shared" ref="T21:T122" si="5">$K$21</f>
        <v>347.92166666666662</v>
      </c>
      <c r="U21" s="234">
        <v>0</v>
      </c>
      <c r="V21" s="234">
        <f>U21/Q21*1000</f>
        <v>0</v>
      </c>
      <c r="W21" s="234"/>
    </row>
    <row r="22" spans="1:23">
      <c r="A22" s="183"/>
      <c r="B22" s="124">
        <f t="shared" ref="B22:B122" si="6">B21+1</f>
        <v>2</v>
      </c>
      <c r="C22" s="115">
        <f t="shared" ref="C22:C122" ca="1" si="7">C21+E22-N22</f>
        <v>1086.125</v>
      </c>
      <c r="D22" s="48">
        <f t="shared" si="0"/>
        <v>9.5302764683834716E-3</v>
      </c>
      <c r="E22" s="120">
        <f t="shared" ref="E22:E122" si="8">ROUNDDOWN(M22/C$15,0)</f>
        <v>566</v>
      </c>
      <c r="F22" s="116">
        <f t="shared" si="1"/>
        <v>0.56599999999999995</v>
      </c>
      <c r="G22" s="118">
        <f ca="1">C22/Summary!C$23</f>
        <v>1.5493937232524964E-2</v>
      </c>
      <c r="H22" s="119">
        <f>H21+('Dev Plan (Wind)'!C21/Summary!C$23)*Summary!C$27</f>
        <v>6.6315793453481815</v>
      </c>
      <c r="I22" s="119">
        <f t="shared" ref="I22:I122" si="9">I21+$I$21</f>
        <v>99.433333333333337</v>
      </c>
      <c r="J22" s="119">
        <f t="shared" ref="J22:J122" si="10">J21+$J$21</f>
        <v>596.41</v>
      </c>
      <c r="K22" s="119">
        <f t="shared" ref="K22:K122" si="11">SUM(I22:J22)</f>
        <v>695.84333333333325</v>
      </c>
      <c r="L22" s="122">
        <f>C21*Summary!C$16*Summary!C$17*24*375*1000*C$11</f>
        <v>468112500</v>
      </c>
      <c r="M22" s="122">
        <f>C$10+L22</f>
        <v>5669362500</v>
      </c>
      <c r="N22" s="120">
        <f t="shared" ca="1" si="3"/>
        <v>0</v>
      </c>
      <c r="O22" s="48">
        <f t="shared" si="4"/>
        <v>6.6693724559317949E-2</v>
      </c>
      <c r="P22" s="115">
        <f ca="1">C22*Summary!$C$16</f>
        <v>5430.625</v>
      </c>
      <c r="Q22" s="115">
        <f ca="1">P22*Summary!$C$17</f>
        <v>2172.25</v>
      </c>
      <c r="R22" s="48">
        <f ca="1">Q22/'Alberta Electricity Profile'!$C$33</f>
        <v>0.14575924310541502</v>
      </c>
      <c r="S22" s="235">
        <f ca="1">P22/'Alberta Electricity Profile'!$D$49</f>
        <v>4.1600277303264058E-2</v>
      </c>
      <c r="T22" s="236">
        <f t="shared" si="5"/>
        <v>347.92166666666662</v>
      </c>
      <c r="U22" s="236">
        <f t="shared" ref="U22:U122" si="12">H22-H21</f>
        <v>6.6315793453481815</v>
      </c>
      <c r="V22" s="237">
        <f t="shared" ref="V22:V122" si="13">U22/Q21*1000</f>
        <v>6.3749861527019291</v>
      </c>
      <c r="W22" s="237">
        <f t="shared" ref="W22:W122" si="14">(H22-H21)/C21*1000*1000</f>
        <v>12749.972305403859</v>
      </c>
    </row>
    <row r="23" spans="1:23">
      <c r="A23" s="183"/>
      <c r="B23" s="124">
        <f t="shared" si="6"/>
        <v>3</v>
      </c>
      <c r="C23" s="115">
        <f t="shared" ca="1" si="7"/>
        <v>1703.125</v>
      </c>
      <c r="D23" s="48">
        <f t="shared" ca="1" si="0"/>
        <v>1.9620932887723715E-2</v>
      </c>
      <c r="E23" s="120">
        <f t="shared" ca="1" si="8"/>
        <v>617</v>
      </c>
      <c r="F23" s="116">
        <f t="shared" ca="1" si="1"/>
        <v>0.61699999999999999</v>
      </c>
      <c r="G23" s="118">
        <f ca="1">C23/Summary!C$23</f>
        <v>2.4295649072753209E-2</v>
      </c>
      <c r="H23" s="119">
        <f ca="1">H22+('Dev Plan (Wind)'!C22/Summary!C$23)*Summary!C$27</f>
        <v>20.479643015554945</v>
      </c>
      <c r="I23" s="119">
        <f t="shared" si="9"/>
        <v>149.15</v>
      </c>
      <c r="J23" s="119">
        <f t="shared" si="10"/>
        <v>894.61500000000001</v>
      </c>
      <c r="K23" s="119">
        <f t="shared" si="11"/>
        <v>1043.7650000000001</v>
      </c>
      <c r="L23" s="122">
        <f ca="1">C22*Summary!C$16*Summary!C$17*24*375*1000*C$11</f>
        <v>977512500</v>
      </c>
      <c r="M23" s="122">
        <f t="shared" ca="1" si="2"/>
        <v>6178762500</v>
      </c>
      <c r="N23" s="120">
        <f t="shared" ca="1" si="3"/>
        <v>0</v>
      </c>
      <c r="O23" s="48">
        <f t="shared" ca="1" si="4"/>
        <v>0.13730903798561814</v>
      </c>
      <c r="P23" s="115">
        <f ca="1">C23*Summary!$C$16</f>
        <v>8515.625</v>
      </c>
      <c r="Q23" s="115">
        <f ca="1">P23*Summary!$C$17</f>
        <v>3406.25</v>
      </c>
      <c r="R23" s="48">
        <f ca="1">Q23/'Alberta Electricity Profile'!$C$33</f>
        <v>0.2285613634838623</v>
      </c>
      <c r="S23" s="235">
        <f ca="1">P23/'Alberta Electricity Profile'!$D$49</f>
        <v>6.5232337237538587E-2</v>
      </c>
      <c r="T23" s="236">
        <f t="shared" si="5"/>
        <v>347.92166666666662</v>
      </c>
      <c r="U23" s="236">
        <f t="shared" ca="1" si="12"/>
        <v>13.848063670206763</v>
      </c>
      <c r="V23" s="237">
        <f t="shared" ca="1" si="13"/>
        <v>6.3749861527019274</v>
      </c>
      <c r="W23" s="237">
        <f t="shared" ca="1" si="14"/>
        <v>12749.972305403855</v>
      </c>
    </row>
    <row r="24" spans="1:23">
      <c r="A24" s="183"/>
      <c r="B24" s="124">
        <f t="shared" si="6"/>
        <v>4</v>
      </c>
      <c r="C24" s="115">
        <f t="shared" ca="1" si="7"/>
        <v>2376.125</v>
      </c>
      <c r="D24" s="48">
        <f t="shared" ca="1" si="0"/>
        <v>3.0318922074075026E-2</v>
      </c>
      <c r="E24" s="120">
        <f t="shared" ca="1" si="8"/>
        <v>673</v>
      </c>
      <c r="F24" s="116">
        <f t="shared" ca="1" si="1"/>
        <v>0.67300000000000004</v>
      </c>
      <c r="G24" s="118">
        <f ca="1">C24/Summary!C$23</f>
        <v>3.3896219686162625E-2</v>
      </c>
      <c r="H24" s="119">
        <f ca="1">H23+('Dev Plan (Wind)'!C23/Summary!C$23)*Summary!C$27</f>
        <v>42.194439598195885</v>
      </c>
      <c r="I24" s="119">
        <f t="shared" si="9"/>
        <v>198.86666666666667</v>
      </c>
      <c r="J24" s="119">
        <f t="shared" si="10"/>
        <v>1192.82</v>
      </c>
      <c r="K24" s="119">
        <f t="shared" si="11"/>
        <v>1391.6866666666665</v>
      </c>
      <c r="L24" s="122">
        <f ca="1">C23*Summary!C$16*Summary!C$17*24*375*1000*C$11</f>
        <v>1532812500</v>
      </c>
      <c r="M24" s="122">
        <f t="shared" ca="1" si="2"/>
        <v>6734062500</v>
      </c>
      <c r="N24" s="120">
        <f t="shared" ca="1" si="3"/>
        <v>0</v>
      </c>
      <c r="O24" s="48">
        <f t="shared" ca="1" si="4"/>
        <v>0.21217452027252373</v>
      </c>
      <c r="P24" s="115">
        <f ca="1">C24*Summary!$C$16</f>
        <v>11880.625</v>
      </c>
      <c r="Q24" s="115">
        <f ca="1">P24*Summary!$C$17</f>
        <v>4752.25</v>
      </c>
      <c r="R24" s="48">
        <f ca="1">Q24/'Alberta Electricity Profile'!$C$33</f>
        <v>0.31887874924511844</v>
      </c>
      <c r="S24" s="235">
        <f ca="1">P24/'Alberta Electricity Profile'!$D$49</f>
        <v>9.1009284297128151E-2</v>
      </c>
      <c r="T24" s="236">
        <f t="shared" si="5"/>
        <v>347.92166666666662</v>
      </c>
      <c r="U24" s="236">
        <f t="shared" ca="1" si="12"/>
        <v>21.71479658264094</v>
      </c>
      <c r="V24" s="237">
        <f t="shared" ca="1" si="13"/>
        <v>6.3749861527019274</v>
      </c>
      <c r="W24" s="237">
        <f t="shared" ca="1" si="14"/>
        <v>12749.972305403855</v>
      </c>
    </row>
    <row r="25" spans="1:23">
      <c r="A25" s="183"/>
      <c r="B25" s="124">
        <f t="shared" si="6"/>
        <v>5</v>
      </c>
      <c r="C25" s="115">
        <f t="shared" ca="1" si="7"/>
        <v>3109.125</v>
      </c>
      <c r="D25" s="48">
        <f t="shared" ca="1" si="0"/>
        <v>4.1670280690983295E-2</v>
      </c>
      <c r="E25" s="120">
        <f t="shared" ca="1" si="8"/>
        <v>733</v>
      </c>
      <c r="F25" s="116">
        <f t="shared" ca="1" si="1"/>
        <v>0.73299999999999998</v>
      </c>
      <c r="G25" s="118">
        <f ca="1">C25/Summary!C$23</f>
        <v>4.4352710413694721E-2</v>
      </c>
      <c r="H25" s="119">
        <f ca="1">H24+('Dev Plan (Wind)'!C24/Summary!C$23)*Summary!C$27</f>
        <v>72.48996754237362</v>
      </c>
      <c r="I25" s="119">
        <f>I24+$I$21</f>
        <v>248.58333333333334</v>
      </c>
      <c r="J25" s="119">
        <f>J24+$J$21</f>
        <v>1491.0249999999999</v>
      </c>
      <c r="K25" s="119">
        <f t="shared" si="11"/>
        <v>1739.6083333333331</v>
      </c>
      <c r="L25" s="122">
        <f ca="1">C24*Summary!C$16*Summary!C$17*24*375*1000*C$11</f>
        <v>2138512500</v>
      </c>
      <c r="M25" s="122">
        <f t="shared" ca="1" si="2"/>
        <v>7339762500</v>
      </c>
      <c r="N25" s="120">
        <f t="shared" ca="1" si="3"/>
        <v>0</v>
      </c>
      <c r="O25" s="48">
        <f t="shared" ca="1" si="4"/>
        <v>0.29161234009670917</v>
      </c>
      <c r="P25" s="115">
        <f ca="1">C25*Summary!$C$16</f>
        <v>15545.625</v>
      </c>
      <c r="Q25" s="115">
        <f ca="1">P25*Summary!$C$17</f>
        <v>6218.25</v>
      </c>
      <c r="R25" s="48">
        <f ca="1">Q25/'Alberta Electricity Profile'!$C$33</f>
        <v>0.41724820505938404</v>
      </c>
      <c r="S25" s="235">
        <f ca="1">P25/'Alberta Electricity Profile'!$D$49</f>
        <v>0.11908432470526953</v>
      </c>
      <c r="T25" s="236">
        <f t="shared" si="5"/>
        <v>347.92166666666662</v>
      </c>
      <c r="U25" s="236">
        <f t="shared" ca="1" si="12"/>
        <v>30.295527944177735</v>
      </c>
      <c r="V25" s="237">
        <f t="shared" ca="1" si="13"/>
        <v>6.3749861527019274</v>
      </c>
      <c r="W25" s="237">
        <f t="shared" ca="1" si="14"/>
        <v>12749.972305403855</v>
      </c>
    </row>
    <row r="26" spans="1:23">
      <c r="A26" s="183"/>
      <c r="B26" s="124">
        <f t="shared" si="6"/>
        <v>6</v>
      </c>
      <c r="C26" s="115">
        <f t="shared" ca="1" si="7"/>
        <v>3908.125</v>
      </c>
      <c r="D26" s="48">
        <f t="shared" ca="1" si="0"/>
        <v>5.371478502652053E-2</v>
      </c>
      <c r="E26" s="120">
        <f t="shared" ca="1" si="8"/>
        <v>799</v>
      </c>
      <c r="F26" s="116">
        <f t="shared" ca="1" si="1"/>
        <v>0.79900000000000004</v>
      </c>
      <c r="G26" s="118">
        <f ca="1">C26/Summary!C$23</f>
        <v>5.5750713266761766E-2</v>
      </c>
      <c r="H26" s="119">
        <f ca="1">H25+('Dev Plan (Wind)'!C25/Summary!C$23)*Summary!C$27</f>
        <v>112.13122518641239</v>
      </c>
      <c r="I26" s="119">
        <f t="shared" si="9"/>
        <v>298.3</v>
      </c>
      <c r="J26" s="119">
        <f t="shared" si="10"/>
        <v>1789.2299999999998</v>
      </c>
      <c r="K26" s="119">
        <f t="shared" si="11"/>
        <v>2087.5299999999997</v>
      </c>
      <c r="L26" s="122">
        <f ca="1">C25*Summary!C$16*Summary!C$17*24*375*1000*C$11</f>
        <v>2798212500</v>
      </c>
      <c r="M26" s="122">
        <f t="shared" ca="1" si="2"/>
        <v>7999462500</v>
      </c>
      <c r="N26" s="120">
        <f t="shared" ca="1" si="3"/>
        <v>0</v>
      </c>
      <c r="O26" s="48">
        <f t="shared" ca="1" si="4"/>
        <v>0.37590085546903246</v>
      </c>
      <c r="P26" s="115">
        <f ca="1">C26*Summary!$C$16</f>
        <v>19540.625</v>
      </c>
      <c r="Q26" s="115">
        <f ca="1">P26*Summary!$C$17</f>
        <v>7816.25</v>
      </c>
      <c r="R26" s="48">
        <f ca="1">Q26/'Alberta Electricity Profile'!$C$33</f>
        <v>0.52447493793195998</v>
      </c>
      <c r="S26" s="235">
        <f ca="1">P26/'Alberta Electricity Profile'!$D$49</f>
        <v>0.1496872677968179</v>
      </c>
      <c r="T26" s="236">
        <f t="shared" si="5"/>
        <v>347.92166666666662</v>
      </c>
      <c r="U26" s="236">
        <f t="shared" ca="1" si="12"/>
        <v>39.641257644038774</v>
      </c>
      <c r="V26" s="237">
        <f t="shared" ca="1" si="13"/>
        <v>6.3749861527019291</v>
      </c>
      <c r="W26" s="237">
        <f t="shared" ca="1" si="14"/>
        <v>12749.972305403859</v>
      </c>
    </row>
    <row r="27" spans="1:23">
      <c r="A27" s="183"/>
      <c r="B27" s="124">
        <f t="shared" si="6"/>
        <v>7</v>
      </c>
      <c r="C27" s="115">
        <f t="shared" ca="1" si="7"/>
        <v>4779.125</v>
      </c>
      <c r="D27" s="48">
        <f t="shared" ca="1" si="0"/>
        <v>6.6500893004433334E-2</v>
      </c>
      <c r="E27" s="120">
        <f t="shared" ca="1" si="8"/>
        <v>871</v>
      </c>
      <c r="F27" s="116">
        <f t="shared" ca="1" si="1"/>
        <v>0.871</v>
      </c>
      <c r="G27" s="118">
        <f ca="1">C27/Summary!C$23</f>
        <v>6.8175820256776029E-2</v>
      </c>
      <c r="H27" s="119">
        <f ca="1">H26+('Dev Plan (Wind)'!C26/Summary!C$23)*Summary!C$27</f>
        <v>161.95971070246884</v>
      </c>
      <c r="I27" s="119">
        <f t="shared" si="9"/>
        <v>348.01666666666665</v>
      </c>
      <c r="J27" s="119">
        <f t="shared" si="10"/>
        <v>2087.4349999999999</v>
      </c>
      <c r="K27" s="119">
        <f t="shared" si="11"/>
        <v>2435.4516666666668</v>
      </c>
      <c r="L27" s="122">
        <f ca="1">C26*Summary!C$16*Summary!C$17*24*375*1000*C$11</f>
        <v>3517312500</v>
      </c>
      <c r="M27" s="122">
        <f t="shared" ca="1" si="2"/>
        <v>8718562500</v>
      </c>
      <c r="N27" s="120">
        <f t="shared" ca="1" si="3"/>
        <v>0</v>
      </c>
      <c r="O27" s="48">
        <f t="shared" ca="1" si="4"/>
        <v>0.46537917926096117</v>
      </c>
      <c r="P27" s="115">
        <f ca="1">C27*Summary!$C$16</f>
        <v>23895.625</v>
      </c>
      <c r="Q27" s="115">
        <f ca="1">P27*Summary!$C$17</f>
        <v>9558.25</v>
      </c>
      <c r="R27" s="48">
        <f ca="1">Q27/'Alberta Electricity Profile'!$C$33</f>
        <v>0.64136415486814735</v>
      </c>
      <c r="S27" s="235">
        <f ca="1">P27/'Alberta Electricity Profile'!$D$49</f>
        <v>0.18304792290662847</v>
      </c>
      <c r="T27" s="236">
        <f t="shared" si="5"/>
        <v>347.92166666666662</v>
      </c>
      <c r="U27" s="236">
        <f t="shared" ca="1" si="12"/>
        <v>49.828485516056446</v>
      </c>
      <c r="V27" s="237">
        <f t="shared" ca="1" si="13"/>
        <v>6.3749861527019283</v>
      </c>
      <c r="W27" s="237">
        <f t="shared" ca="1" si="14"/>
        <v>12749.972305403857</v>
      </c>
    </row>
    <row r="28" spans="1:23">
      <c r="A28" s="183"/>
      <c r="B28" s="124">
        <f t="shared" si="6"/>
        <v>8</v>
      </c>
      <c r="C28" s="115">
        <f t="shared" ca="1" si="7"/>
        <v>5729.125</v>
      </c>
      <c r="D28" s="48">
        <f t="shared" ca="1" si="0"/>
        <v>8.0080318161846326E-2</v>
      </c>
      <c r="E28" s="120">
        <f t="shared" ca="1" si="8"/>
        <v>950</v>
      </c>
      <c r="F28" s="116">
        <f t="shared" ca="1" si="1"/>
        <v>0.95</v>
      </c>
      <c r="G28" s="118">
        <f ca="1">C28/Summary!C$23</f>
        <v>8.1727888730385168E-2</v>
      </c>
      <c r="H28" s="119">
        <f ca="1">H27+('Dev Plan (Wind)'!C27/Summary!C$23)*Summary!C$27</f>
        <v>222.89342209653205</v>
      </c>
      <c r="I28" s="119">
        <f t="shared" si="9"/>
        <v>397.73333333333335</v>
      </c>
      <c r="J28" s="119">
        <f t="shared" si="10"/>
        <v>2385.64</v>
      </c>
      <c r="K28" s="119">
        <f t="shared" si="11"/>
        <v>2783.373333333333</v>
      </c>
      <c r="L28" s="122">
        <f ca="1">C27*Summary!C$16*Summary!C$17*24*375*1000*C$11</f>
        <v>4301212500</v>
      </c>
      <c r="M28" s="122">
        <f t="shared" ca="1" si="2"/>
        <v>9502462500</v>
      </c>
      <c r="N28" s="120">
        <f t="shared" ca="1" si="3"/>
        <v>0</v>
      </c>
      <c r="O28" s="48">
        <f t="shared" ca="1" si="4"/>
        <v>0.56040920741669131</v>
      </c>
      <c r="P28" s="115">
        <f ca="1">C28*Summary!$C$16</f>
        <v>28645.625</v>
      </c>
      <c r="Q28" s="115">
        <f ca="1">P28*Summary!$C$17</f>
        <v>11458.25</v>
      </c>
      <c r="R28" s="48">
        <f ca="1">Q28/'Alberta Electricity Profile'!$C$33</f>
        <v>0.76885526404079718</v>
      </c>
      <c r="S28" s="235">
        <f ca="1">P28/'Alberta Electricity Profile'!$D$49</f>
        <v>0.21943440092536559</v>
      </c>
      <c r="T28" s="236">
        <f t="shared" si="5"/>
        <v>347.92166666666662</v>
      </c>
      <c r="U28" s="236">
        <f t="shared" ca="1" si="12"/>
        <v>60.933711394063209</v>
      </c>
      <c r="V28" s="237">
        <f t="shared" ca="1" si="13"/>
        <v>6.3749861527019283</v>
      </c>
      <c r="W28" s="237">
        <f t="shared" ca="1" si="14"/>
        <v>12749.972305403857</v>
      </c>
    </row>
    <row r="29" spans="1:23">
      <c r="A29" s="183"/>
      <c r="B29" s="124">
        <f t="shared" si="6"/>
        <v>9</v>
      </c>
      <c r="C29" s="115">
        <f t="shared" ca="1" si="7"/>
        <v>6764.125</v>
      </c>
      <c r="D29" s="48">
        <f t="shared" ca="1" si="0"/>
        <v>9.451029276408926E-2</v>
      </c>
      <c r="E29" s="120">
        <f t="shared" ca="1" si="8"/>
        <v>1035</v>
      </c>
      <c r="F29" s="116">
        <f t="shared" ca="1" si="1"/>
        <v>1.0349999999999999</v>
      </c>
      <c r="G29" s="118">
        <f ca="1">C29/Summary!C$23</f>
        <v>9.649251069900143E-2</v>
      </c>
      <c r="H29" s="119">
        <f ca="1">H28+('Dev Plan (Wind)'!C28/Summary!C$23)*Summary!C$27</f>
        <v>295.9396071807289</v>
      </c>
      <c r="I29" s="119">
        <f t="shared" si="9"/>
        <v>447.45000000000005</v>
      </c>
      <c r="J29" s="119">
        <f t="shared" si="10"/>
        <v>2683.8449999999998</v>
      </c>
      <c r="K29" s="119">
        <f t="shared" si="11"/>
        <v>3131.2950000000001</v>
      </c>
      <c r="L29" s="122">
        <f ca="1">C28*Summary!C$16*Summary!C$17*24*375*1000*C$11</f>
        <v>5156212500</v>
      </c>
      <c r="M29" s="122">
        <f t="shared" ca="1" si="2"/>
        <v>10357462500</v>
      </c>
      <c r="N29" s="120">
        <f t="shared" ca="1" si="3"/>
        <v>0</v>
      </c>
      <c r="O29" s="48">
        <f t="shared" ca="1" si="4"/>
        <v>0.66139145643251507</v>
      </c>
      <c r="P29" s="115">
        <f ca="1">C29*Summary!$C$16</f>
        <v>33820.625</v>
      </c>
      <c r="Q29" s="115">
        <f ca="1">P29*Summary!$C$17</f>
        <v>13528.25</v>
      </c>
      <c r="R29" s="48">
        <f ca="1">Q29/'Alberta Electricity Profile'!$C$33</f>
        <v>0.90775347245521032</v>
      </c>
      <c r="S29" s="235">
        <f ca="1">P29/'Alberta Electricity Profile'!$D$49</f>
        <v>0.25907651118788444</v>
      </c>
      <c r="T29" s="236">
        <f t="shared" si="5"/>
        <v>347.92166666666662</v>
      </c>
      <c r="U29" s="236">
        <f t="shared" ca="1" si="12"/>
        <v>73.04618508419685</v>
      </c>
      <c r="V29" s="237">
        <f t="shared" ca="1" si="13"/>
        <v>6.3749861527019265</v>
      </c>
      <c r="W29" s="237">
        <f t="shared" ca="1" si="14"/>
        <v>12749.972305403853</v>
      </c>
    </row>
    <row r="30" spans="1:23">
      <c r="A30" s="183"/>
      <c r="B30" s="124">
        <f t="shared" si="6"/>
        <v>10</v>
      </c>
      <c r="C30" s="115">
        <f t="shared" ca="1" si="7"/>
        <v>7892.125</v>
      </c>
      <c r="D30" s="48">
        <f t="shared" ca="1" si="0"/>
        <v>0.10984714383056113</v>
      </c>
      <c r="E30" s="120">
        <f t="shared" ca="1" si="8"/>
        <v>1128</v>
      </c>
      <c r="F30" s="116">
        <f t="shared" ca="1" si="1"/>
        <v>1.1279999999999999</v>
      </c>
      <c r="G30" s="118">
        <f ca="1">C30/Summary!C$23</f>
        <v>0.11258380884450785</v>
      </c>
      <c r="H30" s="119">
        <f ca="1">H29+('Dev Plan (Wind)'!C29/Summary!C$23)*Summary!C$27</f>
        <v>382.18201360101875</v>
      </c>
      <c r="I30" s="119">
        <f t="shared" si="9"/>
        <v>497.16666666666674</v>
      </c>
      <c r="J30" s="119">
        <f t="shared" si="10"/>
        <v>2982.0499999999997</v>
      </c>
      <c r="K30" s="119">
        <f t="shared" si="11"/>
        <v>3479.2166666666662</v>
      </c>
      <c r="L30" s="122">
        <f ca="1">C29*Summary!C$16*Summary!C$17*24*375*1000*C$11</f>
        <v>6087712500</v>
      </c>
      <c r="M30" s="122">
        <f t="shared" ca="1" si="2"/>
        <v>11288962500</v>
      </c>
      <c r="N30" s="120">
        <f t="shared" ca="1" si="3"/>
        <v>0</v>
      </c>
      <c r="O30" s="48">
        <f t="shared" ca="1" si="4"/>
        <v>0.76872010781297762</v>
      </c>
      <c r="P30" s="115">
        <f ca="1">C30*Summary!$C$16</f>
        <v>39460.625</v>
      </c>
      <c r="Q30" s="115">
        <f ca="1">P30*Summary!$C$17</f>
        <v>15784.25</v>
      </c>
      <c r="R30" s="48">
        <f ca="1">Q30/'Alberta Electricity Profile'!$C$33</f>
        <v>1.0591323894517883</v>
      </c>
      <c r="S30" s="235">
        <f ca="1">P30/'Alberta Electricity Profile'!$D$49</f>
        <v>0.30228066614065863</v>
      </c>
      <c r="T30" s="236">
        <f t="shared" si="5"/>
        <v>347.92166666666662</v>
      </c>
      <c r="U30" s="236">
        <f t="shared" ca="1" si="12"/>
        <v>86.242406420289853</v>
      </c>
      <c r="V30" s="237">
        <f t="shared" ca="1" si="13"/>
        <v>6.3749861527019274</v>
      </c>
      <c r="W30" s="237">
        <f t="shared" ca="1" si="14"/>
        <v>12749.972305403855</v>
      </c>
    </row>
    <row r="31" spans="1:23">
      <c r="A31" s="183"/>
      <c r="B31" s="124">
        <f t="shared" si="6"/>
        <v>11</v>
      </c>
      <c r="C31" s="115">
        <f t="shared" ca="1" si="7"/>
        <v>9122.125</v>
      </c>
      <c r="D31" s="48">
        <f t="shared" ca="1" si="0"/>
        <v>0.12615336753748668</v>
      </c>
      <c r="E31" s="120">
        <f t="shared" ca="1" si="8"/>
        <v>1230</v>
      </c>
      <c r="F31" s="116">
        <f t="shared" ca="1" si="1"/>
        <v>1.23</v>
      </c>
      <c r="G31" s="118">
        <f ca="1">C31/Summary!C$23</f>
        <v>0.13013017118402281</v>
      </c>
      <c r="H31" s="119">
        <f ca="1">H30+('Dev Plan (Wind)'!C30/Summary!C$23)*Summary!C$27</f>
        <v>482.80638878180417</v>
      </c>
      <c r="I31" s="119">
        <f t="shared" si="9"/>
        <v>546.88333333333344</v>
      </c>
      <c r="J31" s="119">
        <f t="shared" si="10"/>
        <v>3280.2549999999997</v>
      </c>
      <c r="K31" s="119">
        <f t="shared" si="11"/>
        <v>3827.1383333333333</v>
      </c>
      <c r="L31" s="122">
        <f ca="1">C30*Summary!C$16*Summary!C$17*24*375*1000*C$11</f>
        <v>7102912500</v>
      </c>
      <c r="M31" s="122">
        <f t="shared" ca="1" si="2"/>
        <v>12304162500</v>
      </c>
      <c r="N31" s="120">
        <f t="shared" ca="1" si="3"/>
        <v>0</v>
      </c>
      <c r="O31" s="48">
        <f t="shared" ca="1" si="4"/>
        <v>0.88283251537220753</v>
      </c>
      <c r="P31" s="115">
        <f ca="1">C31*Summary!$C$16</f>
        <v>45610.625</v>
      </c>
      <c r="Q31" s="115">
        <f ca="1">P31*Summary!$C$17</f>
        <v>18244.25</v>
      </c>
      <c r="R31" s="48">
        <f ca="1">Q31/'Alberta Electricity Profile'!$C$33</f>
        <v>1.2241998255384823</v>
      </c>
      <c r="S31" s="235">
        <f ca="1">P31/'Alberta Electricity Profile'!$D$49</f>
        <v>0.34939157978597091</v>
      </c>
      <c r="T31" s="236">
        <f t="shared" si="5"/>
        <v>347.92166666666662</v>
      </c>
      <c r="U31" s="236">
        <f t="shared" ca="1" si="12"/>
        <v>100.62437518078542</v>
      </c>
      <c r="V31" s="237">
        <f t="shared" ca="1" si="13"/>
        <v>6.3749861527019291</v>
      </c>
      <c r="W31" s="237">
        <f t="shared" ca="1" si="14"/>
        <v>12749.972305403859</v>
      </c>
    </row>
    <row r="32" spans="1:23">
      <c r="A32" s="183"/>
      <c r="B32" s="124">
        <f t="shared" si="6"/>
        <v>12</v>
      </c>
      <c r="C32" s="115">
        <f t="shared" ca="1" si="7"/>
        <v>10463.125</v>
      </c>
      <c r="D32" s="48">
        <f t="shared" ca="1" si="0"/>
        <v>0.14349811257760042</v>
      </c>
      <c r="E32" s="120">
        <f t="shared" ca="1" si="8"/>
        <v>1341</v>
      </c>
      <c r="F32" s="116">
        <f t="shared" ca="1" si="1"/>
        <v>1.341</v>
      </c>
      <c r="G32" s="118">
        <f ca="1">C32/Summary!C$23</f>
        <v>0.14925998573466476</v>
      </c>
      <c r="H32" s="119">
        <f ca="1">H31+('Dev Plan (Wind)'!C31/Summary!C$23)*Summary!C$27</f>
        <v>599.11322989823634</v>
      </c>
      <c r="I32" s="119">
        <f t="shared" si="9"/>
        <v>596.60000000000014</v>
      </c>
      <c r="J32" s="119">
        <f t="shared" si="10"/>
        <v>3578.4599999999996</v>
      </c>
      <c r="K32" s="119">
        <f t="shared" si="11"/>
        <v>4175.0599999999995</v>
      </c>
      <c r="L32" s="122">
        <f ca="1">C31*Summary!C$16*Summary!C$17*24*375*1000*C$11</f>
        <v>8209912500</v>
      </c>
      <c r="M32" s="122">
        <f t="shared" ca="1" si="2"/>
        <v>13411162500</v>
      </c>
      <c r="N32" s="120">
        <f t="shared" ca="1" si="3"/>
        <v>0</v>
      </c>
      <c r="O32" s="48">
        <f t="shared" ca="1" si="4"/>
        <v>1.0042125878280861</v>
      </c>
      <c r="P32" s="115">
        <f ca="1">C32*Summary!$C$16</f>
        <v>52315.625</v>
      </c>
      <c r="Q32" s="115">
        <f ca="1">P32*Summary!$C$17</f>
        <v>20926.25</v>
      </c>
      <c r="R32" s="48">
        <f ca="1">Q32/'Alberta Electricity Profile'!$C$33</f>
        <v>1.4041635912232437</v>
      </c>
      <c r="S32" s="235">
        <f ca="1">P32/'Alberta Electricity Profile'!$D$49</f>
        <v>0.40075396612610403</v>
      </c>
      <c r="T32" s="236">
        <f t="shared" si="5"/>
        <v>347.92166666666662</v>
      </c>
      <c r="U32" s="236">
        <f t="shared" ca="1" si="12"/>
        <v>116.30684111643217</v>
      </c>
      <c r="V32" s="237">
        <f t="shared" ca="1" si="13"/>
        <v>6.3749861527019291</v>
      </c>
      <c r="W32" s="237">
        <f t="shared" ca="1" si="14"/>
        <v>12749.972305403859</v>
      </c>
    </row>
    <row r="33" spans="1:23">
      <c r="A33" s="183"/>
      <c r="B33" s="124">
        <f t="shared" si="6"/>
        <v>13</v>
      </c>
      <c r="C33" s="115">
        <f t="shared" ca="1" si="7"/>
        <v>11924.125</v>
      </c>
      <c r="D33" s="48">
        <f t="shared" ca="1" si="0"/>
        <v>0.16195462149995046</v>
      </c>
      <c r="E33" s="120">
        <f t="shared" ca="1" si="8"/>
        <v>1461</v>
      </c>
      <c r="F33" s="116">
        <f t="shared" ca="1" si="1"/>
        <v>1.4610000000000001</v>
      </c>
      <c r="G33" s="118">
        <f ca="1">C33/Summary!C$23</f>
        <v>0.17010164051355206</v>
      </c>
      <c r="H33" s="119">
        <f ca="1">H32+('Dev Plan (Wind)'!C32/Summary!C$23)*Summary!C$27</f>
        <v>732.51778387621505</v>
      </c>
      <c r="I33" s="119">
        <f t="shared" si="9"/>
        <v>646.31666666666683</v>
      </c>
      <c r="J33" s="119">
        <f t="shared" si="10"/>
        <v>3876.6649999999995</v>
      </c>
      <c r="K33" s="119">
        <f t="shared" si="11"/>
        <v>4522.9816666666666</v>
      </c>
      <c r="L33" s="122">
        <f ca="1">C32*Summary!C$16*Summary!C$17*24*375*1000*C$11</f>
        <v>9416812500</v>
      </c>
      <c r="M33" s="122">
        <f t="shared" ca="1" si="2"/>
        <v>14618062500</v>
      </c>
      <c r="N33" s="120">
        <f t="shared" ca="1" si="3"/>
        <v>0</v>
      </c>
      <c r="O33" s="48">
        <f t="shared" ca="1" si="4"/>
        <v>1.1333728830700351</v>
      </c>
      <c r="P33" s="115">
        <f ca="1">C33*Summary!$C$16</f>
        <v>59620.625</v>
      </c>
      <c r="Q33" s="115">
        <f ca="1">P33*Summary!$C$17</f>
        <v>23848.25</v>
      </c>
      <c r="R33" s="48">
        <f ca="1">Q33/'Alberta Electricity Profile'!$C$33</f>
        <v>1.6002314970140241</v>
      </c>
      <c r="S33" s="235">
        <f ca="1">P33/'Alberta Electricity Profile'!$D$49</f>
        <v>0.45671253916334081</v>
      </c>
      <c r="T33" s="236">
        <f t="shared" si="5"/>
        <v>347.92166666666662</v>
      </c>
      <c r="U33" s="236">
        <f t="shared" ca="1" si="12"/>
        <v>133.40455397797871</v>
      </c>
      <c r="V33" s="237">
        <f t="shared" ca="1" si="13"/>
        <v>6.3749861527019274</v>
      </c>
      <c r="W33" s="237">
        <f t="shared" ca="1" si="14"/>
        <v>12749.972305403855</v>
      </c>
    </row>
    <row r="34" spans="1:23">
      <c r="A34" s="183"/>
      <c r="B34" s="124">
        <f t="shared" si="6"/>
        <v>14</v>
      </c>
      <c r="C34" s="115">
        <f t="shared" ca="1" si="7"/>
        <v>13517.125</v>
      </c>
      <c r="D34" s="48">
        <f t="shared" ca="1" si="0"/>
        <v>0.181598768618358</v>
      </c>
      <c r="E34" s="120">
        <f t="shared" ca="1" si="8"/>
        <v>1593</v>
      </c>
      <c r="F34" s="116">
        <f t="shared" ca="1" si="1"/>
        <v>1.593</v>
      </c>
      <c r="G34" s="118">
        <f ca="1">C34/Summary!C$23</f>
        <v>0.19282631954350926</v>
      </c>
      <c r="H34" s="119">
        <f ca="1">H33+('Dev Plan (Wind)'!C33/Summary!C$23)*Summary!C$27</f>
        <v>884.55004739238882</v>
      </c>
      <c r="I34" s="119">
        <f t="shared" si="9"/>
        <v>696.03333333333353</v>
      </c>
      <c r="J34" s="119">
        <f t="shared" si="10"/>
        <v>4174.87</v>
      </c>
      <c r="K34" s="119">
        <f t="shared" si="11"/>
        <v>4870.9033333333336</v>
      </c>
      <c r="L34" s="122">
        <f ca="1">C33*Summary!C$16*Summary!C$17*24*375*1000*C$11</f>
        <v>10731712500</v>
      </c>
      <c r="M34" s="122">
        <f t="shared" ca="1" si="2"/>
        <v>15932962500</v>
      </c>
      <c r="N34" s="120">
        <f t="shared" ca="1" si="3"/>
        <v>0</v>
      </c>
      <c r="O34" s="48">
        <f t="shared" ca="1" si="4"/>
        <v>1.2708443763120376</v>
      </c>
      <c r="P34" s="115">
        <f ca="1">C34*Summary!$C$16</f>
        <v>67585.625</v>
      </c>
      <c r="Q34" s="115">
        <f ca="1">P34*Summary!$C$17</f>
        <v>27034.25</v>
      </c>
      <c r="R34" s="48">
        <f ca="1">Q34/'Alberta Electricity Profile'!$C$33</f>
        <v>1.8140139569214253</v>
      </c>
      <c r="S34" s="235">
        <f ca="1">P34/'Alberta Electricity Profile'!$D$49</f>
        <v>0.51772691756739164</v>
      </c>
      <c r="T34" s="236">
        <f t="shared" si="5"/>
        <v>347.92166666666662</v>
      </c>
      <c r="U34" s="236">
        <f t="shared" ca="1" si="12"/>
        <v>152.03226351617377</v>
      </c>
      <c r="V34" s="237">
        <f t="shared" ca="1" si="13"/>
        <v>6.3749861527019283</v>
      </c>
      <c r="W34" s="237">
        <f t="shared" ca="1" si="14"/>
        <v>12749.972305403857</v>
      </c>
    </row>
    <row r="35" spans="1:23">
      <c r="A35" s="183"/>
      <c r="B35" s="124">
        <f t="shared" si="6"/>
        <v>15</v>
      </c>
      <c r="C35" s="115">
        <f t="shared" ca="1" si="7"/>
        <v>15253.125</v>
      </c>
      <c r="D35" s="48">
        <f t="shared" ca="1" si="0"/>
        <v>0.20251551197656006</v>
      </c>
      <c r="E35" s="120">
        <f t="shared" ca="1" si="8"/>
        <v>1736</v>
      </c>
      <c r="F35" s="116">
        <f t="shared" ca="1" si="1"/>
        <v>1.736</v>
      </c>
      <c r="G35" s="118">
        <f ca="1">C35/Summary!C$23</f>
        <v>0.21759094151212555</v>
      </c>
      <c r="H35" s="119">
        <f ca="1">H34+('Dev Plan (Wind)'!C34/Summary!C$23)*Summary!C$27</f>
        <v>1056.893016791071</v>
      </c>
      <c r="I35" s="119">
        <f t="shared" si="9"/>
        <v>745.75000000000023</v>
      </c>
      <c r="J35" s="119">
        <f t="shared" si="10"/>
        <v>4473.0749999999998</v>
      </c>
      <c r="K35" s="119">
        <f t="shared" si="11"/>
        <v>5218.8249999999998</v>
      </c>
      <c r="L35" s="122">
        <f ca="1">C34*Summary!C$16*Summary!C$17*24*375*1000*C$11</f>
        <v>12165412500</v>
      </c>
      <c r="M35" s="122">
        <f t="shared" ca="1" si="2"/>
        <v>17366662500</v>
      </c>
      <c r="N35" s="120">
        <f t="shared" ca="1" si="3"/>
        <v>0</v>
      </c>
      <c r="O35" s="48">
        <f t="shared" ca="1" si="4"/>
        <v>1.4172216115200411</v>
      </c>
      <c r="P35" s="115">
        <f ca="1">C35*Summary!$C$16</f>
        <v>76265.625</v>
      </c>
      <c r="Q35" s="115">
        <f ca="1">P35*Summary!$C$17</f>
        <v>30506.25</v>
      </c>
      <c r="R35" s="48">
        <f ca="1">Q35/'Alberta Electricity Profile'!$C$33</f>
        <v>2.0469871837884988</v>
      </c>
      <c r="S35" s="235">
        <f ca="1">P35/'Alberta Electricity Profile'!$D$49</f>
        <v>0.5842184184521575</v>
      </c>
      <c r="T35" s="236">
        <f t="shared" si="5"/>
        <v>347.92166666666662</v>
      </c>
      <c r="U35" s="236">
        <f t="shared" ca="1" si="12"/>
        <v>172.34296939868216</v>
      </c>
      <c r="V35" s="237">
        <f t="shared" ca="1" si="13"/>
        <v>6.37498615270193</v>
      </c>
      <c r="W35" s="237">
        <f t="shared" ca="1" si="14"/>
        <v>12749.97230540386</v>
      </c>
    </row>
    <row r="36" spans="1:23">
      <c r="A36" s="183"/>
      <c r="B36" s="124">
        <f t="shared" si="6"/>
        <v>16</v>
      </c>
      <c r="C36" s="115">
        <f t="shared" ca="1" si="7"/>
        <v>17145.125</v>
      </c>
      <c r="D36" s="48">
        <f t="shared" ca="1" si="0"/>
        <v>0.22479376430133954</v>
      </c>
      <c r="E36" s="120">
        <f t="shared" ca="1" si="8"/>
        <v>1892</v>
      </c>
      <c r="F36" s="116">
        <f t="shared" ca="1" si="1"/>
        <v>1.8919999999999999</v>
      </c>
      <c r="G36" s="118">
        <f ca="1">C36/Summary!C$23</f>
        <v>0.24458095577746078</v>
      </c>
      <c r="H36" s="119">
        <f ca="1">H35+('Dev Plan (Wind)'!C35/Summary!C$23)*Summary!C$27</f>
        <v>1251.3699381119343</v>
      </c>
      <c r="I36" s="119">
        <f t="shared" si="9"/>
        <v>795.46666666666692</v>
      </c>
      <c r="J36" s="119">
        <f t="shared" si="10"/>
        <v>4771.28</v>
      </c>
      <c r="K36" s="119">
        <f t="shared" si="11"/>
        <v>5566.7466666666669</v>
      </c>
      <c r="L36" s="122">
        <f ca="1">C35*Summary!C$16*Summary!C$17*24*375*1000*C$11</f>
        <v>13727812500</v>
      </c>
      <c r="M36" s="122">
        <f t="shared" ca="1" si="2"/>
        <v>18929062500</v>
      </c>
      <c r="N36" s="120">
        <f t="shared" ca="1" si="3"/>
        <v>0</v>
      </c>
      <c r="O36" s="48">
        <f t="shared" ca="1" si="4"/>
        <v>1.5731268078845968</v>
      </c>
      <c r="P36" s="115">
        <f ca="1">C36*Summary!$C$16</f>
        <v>85725.625</v>
      </c>
      <c r="Q36" s="115">
        <f ca="1">P36*Summary!$C$17</f>
        <v>34290.25</v>
      </c>
      <c r="R36" s="48">
        <f ca="1">Q36/'Alberta Electricity Profile'!$C$33</f>
        <v>2.3008957927933973</v>
      </c>
      <c r="S36" s="235">
        <f ca="1">P36/'Alberta Electricity Profile'!$D$49</f>
        <v>0.65668496204315818</v>
      </c>
      <c r="T36" s="236">
        <f t="shared" si="5"/>
        <v>347.92166666666662</v>
      </c>
      <c r="U36" s="236">
        <f t="shared" ca="1" si="12"/>
        <v>194.47692132086331</v>
      </c>
      <c r="V36" s="237">
        <f t="shared" ca="1" si="13"/>
        <v>6.3749861527019318</v>
      </c>
      <c r="W36" s="237">
        <f t="shared" ca="1" si="14"/>
        <v>12749.972305403864</v>
      </c>
    </row>
    <row r="37" spans="1:23">
      <c r="A37" s="183"/>
      <c r="B37" s="124">
        <f t="shared" si="6"/>
        <v>17</v>
      </c>
      <c r="C37" s="115">
        <f t="shared" ca="1" si="7"/>
        <v>19208.125</v>
      </c>
      <c r="D37" s="48">
        <f t="shared" ca="1" si="0"/>
        <v>0.24852954116637507</v>
      </c>
      <c r="E37" s="120">
        <f t="shared" ca="1" si="8"/>
        <v>2063</v>
      </c>
      <c r="F37" s="116">
        <f t="shared" ca="1" si="1"/>
        <v>2.0630000000000002</v>
      </c>
      <c r="G37" s="118">
        <f ca="1">C37/Summary!C$23</f>
        <v>0.27401034236804567</v>
      </c>
      <c r="H37" s="119">
        <f ca="1">H36+('Dev Plan (Wind)'!C36/Summary!C$23)*Summary!C$27</f>
        <v>1469.9698070346217</v>
      </c>
      <c r="I37" s="119">
        <f t="shared" si="9"/>
        <v>845.18333333333362</v>
      </c>
      <c r="J37" s="119">
        <f t="shared" si="10"/>
        <v>5069.4849999999997</v>
      </c>
      <c r="K37" s="119">
        <f t="shared" si="11"/>
        <v>5914.6683333333331</v>
      </c>
      <c r="L37" s="122">
        <f ca="1">C36*Summary!C$16*Summary!C$17*24*375*1000*C$11</f>
        <v>15430612500</v>
      </c>
      <c r="M37" s="122">
        <f t="shared" ca="1" si="2"/>
        <v>20631862500</v>
      </c>
      <c r="N37" s="120">
        <f t="shared" ca="1" si="3"/>
        <v>0</v>
      </c>
      <c r="O37" s="48">
        <f t="shared" ca="1" si="4"/>
        <v>1.7392318909522051</v>
      </c>
      <c r="P37" s="115">
        <f ca="1">C37*Summary!$C$16</f>
        <v>96040.625</v>
      </c>
      <c r="Q37" s="115">
        <f ca="1">P37*Summary!$C$17</f>
        <v>38416.25</v>
      </c>
      <c r="R37" s="48">
        <f ca="1">Q37/'Alberta Electricity Profile'!$C$33</f>
        <v>2.5777528014493725</v>
      </c>
      <c r="S37" s="235">
        <f ca="1">P37/'Alberta Electricity Profile'!$D$49</f>
        <v>0.73570107167753152</v>
      </c>
      <c r="T37" s="236">
        <f t="shared" si="5"/>
        <v>347.92166666666662</v>
      </c>
      <c r="U37" s="236">
        <f t="shared" ca="1" si="12"/>
        <v>218.59986892268739</v>
      </c>
      <c r="V37" s="237">
        <f t="shared" ca="1" si="13"/>
        <v>6.3749861527019309</v>
      </c>
      <c r="W37" s="237">
        <f t="shared" ca="1" si="14"/>
        <v>12749.972305403862</v>
      </c>
    </row>
    <row r="38" spans="1:23">
      <c r="A38" s="183"/>
      <c r="B38" s="124">
        <f t="shared" si="6"/>
        <v>18</v>
      </c>
      <c r="C38" s="115">
        <f t="shared" ca="1" si="7"/>
        <v>21456.125</v>
      </c>
      <c r="D38" s="48">
        <f t="shared" ca="1" si="0"/>
        <v>0.27382805976814018</v>
      </c>
      <c r="E38" s="120">
        <f t="shared" ca="1" si="8"/>
        <v>2248</v>
      </c>
      <c r="F38" s="116">
        <f t="shared" ca="1" si="1"/>
        <v>2.2480000000000002</v>
      </c>
      <c r="G38" s="118">
        <f ca="1">C38/Summary!C$23</f>
        <v>0.30607881597717546</v>
      </c>
      <c r="H38" s="119">
        <f ca="1">H37+('Dev Plan (Wind)'!C37/Summary!C$23)*Summary!C$27</f>
        <v>1714.8728688233571</v>
      </c>
      <c r="I38" s="119">
        <f t="shared" si="9"/>
        <v>894.90000000000032</v>
      </c>
      <c r="J38" s="119">
        <f t="shared" si="10"/>
        <v>5367.69</v>
      </c>
      <c r="K38" s="119">
        <f t="shared" si="11"/>
        <v>6262.59</v>
      </c>
      <c r="L38" s="122">
        <f ca="1">C37*Summary!C$16*Summary!C$17*24*375*1000*C$11</f>
        <v>17287312500</v>
      </c>
      <c r="M38" s="122">
        <f t="shared" ca="1" si="2"/>
        <v>22488562500</v>
      </c>
      <c r="N38" s="120">
        <f t="shared" ca="1" si="3"/>
        <v>0</v>
      </c>
      <c r="O38" s="48">
        <f t="shared" ca="1" si="4"/>
        <v>1.9162731800462134</v>
      </c>
      <c r="P38" s="115">
        <f ca="1">C38*Summary!$C$16</f>
        <v>107280.625</v>
      </c>
      <c r="Q38" s="115">
        <f ca="1">P38*Summary!$C$17</f>
        <v>42912.25</v>
      </c>
      <c r="R38" s="48">
        <f ca="1">Q38/'Alberta Electricity Profile'!$C$33</f>
        <v>2.8794370261021269</v>
      </c>
      <c r="S38" s="235">
        <f ca="1">P38/'Alberta Electricity Profile'!$D$49</f>
        <v>0.82180296913660633</v>
      </c>
      <c r="T38" s="236">
        <f t="shared" si="5"/>
        <v>347.92166666666662</v>
      </c>
      <c r="U38" s="236">
        <f t="shared" ca="1" si="12"/>
        <v>244.90306178873539</v>
      </c>
      <c r="V38" s="237">
        <f t="shared" ca="1" si="13"/>
        <v>6.3749861527019265</v>
      </c>
      <c r="W38" s="237">
        <f t="shared" ca="1" si="14"/>
        <v>12749.972305403853</v>
      </c>
    </row>
    <row r="39" spans="1:23">
      <c r="A39" s="183"/>
      <c r="B39" s="124">
        <f t="shared" si="6"/>
        <v>19</v>
      </c>
      <c r="C39" s="115">
        <f t="shared" ca="1" si="7"/>
        <v>23907.125</v>
      </c>
      <c r="D39" s="48">
        <f t="shared" ca="1" si="0"/>
        <v>0.30079938870409789</v>
      </c>
      <c r="E39" s="120">
        <f t="shared" ca="1" si="8"/>
        <v>2451</v>
      </c>
      <c r="F39" s="116">
        <f t="shared" ca="1" si="1"/>
        <v>2.4510000000000001</v>
      </c>
      <c r="G39" s="118">
        <f ca="1">C39/Summary!C$23</f>
        <v>0.34104315263908702</v>
      </c>
      <c r="H39" s="119">
        <f ca="1">H38+('Dev Plan (Wind)'!C38/Summary!C$23)*Summary!C$27</f>
        <v>1988.4378683546404</v>
      </c>
      <c r="I39" s="119">
        <f t="shared" si="9"/>
        <v>944.61666666666702</v>
      </c>
      <c r="J39" s="119">
        <f t="shared" si="10"/>
        <v>5665.8949999999995</v>
      </c>
      <c r="K39" s="119">
        <f t="shared" si="11"/>
        <v>6610.5116666666663</v>
      </c>
      <c r="L39" s="122">
        <f ca="1">C38*Summary!C$16*Summary!C$17*24*375*1000*C$11</f>
        <v>19310512500</v>
      </c>
      <c r="M39" s="122">
        <f t="shared" ca="1" si="2"/>
        <v>24511762500</v>
      </c>
      <c r="N39" s="120">
        <f t="shared" ca="1" si="3"/>
        <v>0</v>
      </c>
      <c r="O39" s="48">
        <f t="shared" ca="1" si="4"/>
        <v>2.1050209450267019</v>
      </c>
      <c r="P39" s="115">
        <f ca="1">C39*Summary!$C$16</f>
        <v>119535.625</v>
      </c>
      <c r="Q39" s="115">
        <f ca="1">P39*Summary!$C$17</f>
        <v>47814.25</v>
      </c>
      <c r="R39" s="48">
        <f ca="1">Q39/'Alberta Electricity Profile'!$C$33</f>
        <v>3.2083640877675634</v>
      </c>
      <c r="S39" s="235">
        <f ca="1">P39/'Alberta Electricity Profile'!$D$49</f>
        <v>0.91568008242494814</v>
      </c>
      <c r="T39" s="236">
        <f t="shared" si="5"/>
        <v>347.92166666666662</v>
      </c>
      <c r="U39" s="236">
        <f t="shared" ca="1" si="12"/>
        <v>273.56499953128332</v>
      </c>
      <c r="V39" s="237">
        <f t="shared" ca="1" si="13"/>
        <v>6.3749861527019283</v>
      </c>
      <c r="W39" s="237">
        <f t="shared" ca="1" si="14"/>
        <v>12749.972305403857</v>
      </c>
    </row>
    <row r="40" spans="1:23">
      <c r="A40" s="183"/>
      <c r="B40" s="124">
        <f t="shared" si="6"/>
        <v>20</v>
      </c>
      <c r="C40" s="115">
        <f t="shared" ca="1" si="7"/>
        <v>26578.125</v>
      </c>
      <c r="D40" s="48">
        <f t="shared" ca="1" si="0"/>
        <v>0.32956456434251991</v>
      </c>
      <c r="E40" s="120">
        <f t="shared" ca="1" si="8"/>
        <v>2671</v>
      </c>
      <c r="F40" s="116">
        <f t="shared" ca="1" si="1"/>
        <v>2.6709999999999998</v>
      </c>
      <c r="G40" s="118">
        <f ca="1">C40/Summary!C$23</f>
        <v>0.37914586305278175</v>
      </c>
      <c r="H40" s="119">
        <f ca="1">H39+('Dev Plan (Wind)'!C39/Summary!C$23)*Summary!C$27</f>
        <v>2293.2530500064686</v>
      </c>
      <c r="I40" s="119">
        <f t="shared" si="9"/>
        <v>994.33333333333371</v>
      </c>
      <c r="J40" s="119">
        <f t="shared" si="10"/>
        <v>5964.0999999999995</v>
      </c>
      <c r="K40" s="119">
        <f t="shared" si="11"/>
        <v>6958.4333333333334</v>
      </c>
      <c r="L40" s="122">
        <f ca="1">C39*Summary!C$16*Summary!C$17*24*375*1000*C$11</f>
        <v>21516412500</v>
      </c>
      <c r="M40" s="122">
        <f t="shared" ca="1" si="2"/>
        <v>26717662500</v>
      </c>
      <c r="N40" s="120">
        <f t="shared" ca="1" si="3"/>
        <v>0</v>
      </c>
      <c r="O40" s="48">
        <f t="shared" ca="1" si="4"/>
        <v>2.3063222091918885</v>
      </c>
      <c r="P40" s="115">
        <f ca="1">C40*Summary!$C$16</f>
        <v>132890.625</v>
      </c>
      <c r="Q40" s="115">
        <f ca="1">P40*Summary!$C$17</f>
        <v>53156.25</v>
      </c>
      <c r="R40" s="48">
        <f ca="1">Q40/'Alberta Electricity Profile'!$C$33</f>
        <v>3.5668154062940349</v>
      </c>
      <c r="S40" s="235">
        <f ca="1">P40/'Alberta Electricity Profile'!$D$49</f>
        <v>1.0179835379913131</v>
      </c>
      <c r="T40" s="236">
        <f t="shared" si="5"/>
        <v>347.92166666666662</v>
      </c>
      <c r="U40" s="236">
        <f t="shared" ca="1" si="12"/>
        <v>304.8151816518282</v>
      </c>
      <c r="V40" s="237">
        <f t="shared" ca="1" si="13"/>
        <v>6.3749861527019283</v>
      </c>
      <c r="W40" s="237">
        <f t="shared" ca="1" si="14"/>
        <v>12749.972305403857</v>
      </c>
    </row>
    <row r="41" spans="1:23">
      <c r="A41" s="183"/>
      <c r="B41" s="124">
        <f t="shared" si="6"/>
        <v>21</v>
      </c>
      <c r="C41" s="115">
        <f t="shared" ca="1" si="7"/>
        <v>28969.125</v>
      </c>
      <c r="D41" s="48">
        <f t="shared" ca="1" si="0"/>
        <v>0.36025123439608814</v>
      </c>
      <c r="E41" s="120">
        <f t="shared" ca="1" si="8"/>
        <v>2912</v>
      </c>
      <c r="F41" s="116">
        <f t="shared" ca="1" si="1"/>
        <v>2.9119999999999999</v>
      </c>
      <c r="G41" s="118">
        <f ca="1">C41/Summary!C$23</f>
        <v>0.4132542796005706</v>
      </c>
      <c r="H41" s="119">
        <f ca="1">H40+('Dev Plan (Wind)'!C40/Summary!C$23)*Summary!C$27</f>
        <v>2632.1234076860305</v>
      </c>
      <c r="I41" s="119">
        <f t="shared" si="9"/>
        <v>1044.0500000000004</v>
      </c>
      <c r="J41" s="119">
        <f t="shared" si="10"/>
        <v>6262.3049999999994</v>
      </c>
      <c r="K41" s="119">
        <f t="shared" si="11"/>
        <v>7306.3549999999996</v>
      </c>
      <c r="L41" s="122">
        <f ca="1">C40*Summary!C$16*Summary!C$17*24*375*1000*C$11</f>
        <v>23920312500</v>
      </c>
      <c r="M41" s="122">
        <f t="shared" ca="1" si="2"/>
        <v>29121562500</v>
      </c>
      <c r="N41" s="120">
        <f t="shared" ca="1" si="3"/>
        <v>521</v>
      </c>
      <c r="O41" s="48">
        <f t="shared" ca="1" si="4"/>
        <v>2.521070262617719</v>
      </c>
      <c r="P41" s="115">
        <f ca="1">C41*Summary!$C$16</f>
        <v>144845.625</v>
      </c>
      <c r="Q41" s="115">
        <f ca="1">P41*Summary!$C$17</f>
        <v>57938.25</v>
      </c>
      <c r="R41" s="48">
        <f ca="1">Q41/'Alberta Electricity Profile'!$C$33</f>
        <v>3.8876903979064616</v>
      </c>
      <c r="S41" s="235">
        <f ca="1">P41/'Alberta Electricity Profile'!$D$49</f>
        <v>1.1095625579311033</v>
      </c>
      <c r="T41" s="236">
        <f t="shared" si="5"/>
        <v>347.92166666666662</v>
      </c>
      <c r="U41" s="236">
        <f t="shared" ca="1" si="12"/>
        <v>338.87035767956195</v>
      </c>
      <c r="V41" s="237">
        <f t="shared" ca="1" si="13"/>
        <v>6.3749861527019291</v>
      </c>
      <c r="W41" s="237">
        <f t="shared" ca="1" si="14"/>
        <v>12749.972305403859</v>
      </c>
    </row>
    <row r="42" spans="1:23">
      <c r="A42" s="183"/>
      <c r="B42" s="124">
        <f t="shared" si="6"/>
        <v>22</v>
      </c>
      <c r="C42" s="115">
        <f t="shared" ca="1" si="7"/>
        <v>31530.125</v>
      </c>
      <c r="D42" s="48">
        <f t="shared" ca="1" si="0"/>
        <v>0.39213097198574565</v>
      </c>
      <c r="E42" s="120">
        <f t="shared" ca="1" si="8"/>
        <v>3127</v>
      </c>
      <c r="F42" s="116">
        <f t="shared" ca="1" si="1"/>
        <v>3.1269999999999998</v>
      </c>
      <c r="G42" s="118">
        <f ca="1">C42/Summary!C$23</f>
        <v>0.44978780313837374</v>
      </c>
      <c r="H42" s="119">
        <f ca="1">H41+('Dev Plan (Wind)'!C41/Summary!C$23)*Summary!C$27</f>
        <v>3001.4789491478132</v>
      </c>
      <c r="I42" s="119">
        <f t="shared" si="9"/>
        <v>1093.7666666666671</v>
      </c>
      <c r="J42" s="119">
        <f t="shared" si="10"/>
        <v>6560.5099999999993</v>
      </c>
      <c r="K42" s="119">
        <f t="shared" si="11"/>
        <v>7654.2766666666666</v>
      </c>
      <c r="L42" s="122">
        <f ca="1">C41*Summary!C$16*Summary!C$17*24*375*1000*C$11</f>
        <v>26072212500</v>
      </c>
      <c r="M42" s="122">
        <f t="shared" ca="1" si="2"/>
        <v>31273462500</v>
      </c>
      <c r="N42" s="120">
        <f t="shared" ca="1" si="3"/>
        <v>566</v>
      </c>
      <c r="O42" s="48">
        <f t="shared" ca="1" si="4"/>
        <v>2.7441675090492903</v>
      </c>
      <c r="P42" s="115">
        <f ca="1">C42*Summary!$C$16</f>
        <v>157650.625</v>
      </c>
      <c r="Q42" s="115">
        <f ca="1">P42*Summary!$C$17</f>
        <v>63060.25</v>
      </c>
      <c r="R42" s="48">
        <f ca="1">Q42/'Alberta Electricity Profile'!$C$33</f>
        <v>4.2313795880024152</v>
      </c>
      <c r="S42" s="235">
        <f ca="1">P42/'Alberta Electricity Profile'!$D$49</f>
        <v>1.2076528423584565</v>
      </c>
      <c r="T42" s="236">
        <f t="shared" si="5"/>
        <v>347.92166666666662</v>
      </c>
      <c r="U42" s="236">
        <f t="shared" ca="1" si="12"/>
        <v>369.35554146178265</v>
      </c>
      <c r="V42" s="237">
        <f t="shared" ca="1" si="13"/>
        <v>6.3749861527019309</v>
      </c>
      <c r="W42" s="237">
        <f t="shared" ca="1" si="14"/>
        <v>12749.972305403862</v>
      </c>
    </row>
    <row r="43" spans="1:23">
      <c r="A43" s="183"/>
      <c r="B43" s="124">
        <f t="shared" si="6"/>
        <v>23</v>
      </c>
      <c r="C43" s="115">
        <f t="shared" ca="1" si="7"/>
        <v>34270.125</v>
      </c>
      <c r="D43" s="48">
        <f t="shared" ca="1" si="0"/>
        <v>0.42531902208752242</v>
      </c>
      <c r="E43" s="120">
        <f t="shared" ca="1" si="8"/>
        <v>3357</v>
      </c>
      <c r="F43" s="116">
        <f t="shared" ca="1" si="1"/>
        <v>3.3570000000000002</v>
      </c>
      <c r="G43" s="118">
        <f ca="1">C43/Summary!C$23</f>
        <v>0.48887482168330954</v>
      </c>
      <c r="H43" s="119">
        <f ca="1">H42+('Dev Plan (Wind)'!C42/Summary!C$23)*Summary!C$27</f>
        <v>3403.4871696837349</v>
      </c>
      <c r="I43" s="119">
        <f t="shared" si="9"/>
        <v>1143.4833333333338</v>
      </c>
      <c r="J43" s="119">
        <f t="shared" si="10"/>
        <v>6858.7149999999992</v>
      </c>
      <c r="K43" s="119">
        <f t="shared" si="11"/>
        <v>8002.1983333333328</v>
      </c>
      <c r="L43" s="122">
        <f ca="1">C42*Summary!C$16*Summary!C$17*24*375*1000*C$11</f>
        <v>28377112500</v>
      </c>
      <c r="M43" s="122">
        <f t="shared" ca="1" si="2"/>
        <v>33578362500</v>
      </c>
      <c r="N43" s="120">
        <f t="shared" ca="1" si="3"/>
        <v>617</v>
      </c>
      <c r="O43" s="48">
        <f t="shared" ca="1" si="4"/>
        <v>2.9764204431054821</v>
      </c>
      <c r="P43" s="115">
        <f ca="1">C43*Summary!$C$16</f>
        <v>171350.625</v>
      </c>
      <c r="Q43" s="115">
        <f ca="1">P43*Summary!$C$17</f>
        <v>68540.25</v>
      </c>
      <c r="R43" s="48">
        <f ca="1">Q43/'Alberta Electricity Profile'!$C$33</f>
        <v>4.5990907870898479</v>
      </c>
      <c r="S43" s="235">
        <f ca="1">P43/'Alberta Electricity Profile'!$D$49</f>
        <v>1.3125991052756563</v>
      </c>
      <c r="T43" s="236">
        <f t="shared" si="5"/>
        <v>347.92166666666662</v>
      </c>
      <c r="U43" s="236">
        <f t="shared" ca="1" si="12"/>
        <v>402.00822053592174</v>
      </c>
      <c r="V43" s="237">
        <f t="shared" ca="1" si="13"/>
        <v>6.3749861527019274</v>
      </c>
      <c r="W43" s="237">
        <f t="shared" ca="1" si="14"/>
        <v>12749.972305403855</v>
      </c>
    </row>
    <row r="44" spans="1:23">
      <c r="A44" s="183"/>
      <c r="B44" s="124">
        <f t="shared" si="6"/>
        <v>24</v>
      </c>
      <c r="C44" s="115">
        <f t="shared" ca="1" si="7"/>
        <v>37201.125</v>
      </c>
      <c r="D44" s="48">
        <f t="shared" ca="1" si="0"/>
        <v>0.45992516446906917</v>
      </c>
      <c r="E44" s="120">
        <f t="shared" ca="1" si="8"/>
        <v>3604</v>
      </c>
      <c r="F44" s="116">
        <f t="shared" ca="1" si="1"/>
        <v>3.6040000000000001</v>
      </c>
      <c r="G44" s="118">
        <f ca="1">C44/Summary!C$23</f>
        <v>0.53068651925820254</v>
      </c>
      <c r="H44" s="119">
        <f ca="1">H43+('Dev Plan (Wind)'!C43/Summary!C$23)*Summary!C$27</f>
        <v>3840.4303143364632</v>
      </c>
      <c r="I44" s="119">
        <f t="shared" si="9"/>
        <v>1193.2000000000005</v>
      </c>
      <c r="J44" s="119">
        <f t="shared" si="10"/>
        <v>7156.9199999999992</v>
      </c>
      <c r="K44" s="119">
        <f t="shared" si="11"/>
        <v>8350.119999999999</v>
      </c>
      <c r="L44" s="122">
        <f ca="1">C43*Summary!C$16*Summary!C$17*24*375*1000*C$11</f>
        <v>30843112500</v>
      </c>
      <c r="M44" s="122">
        <f t="shared" ca="1" si="2"/>
        <v>36044362500</v>
      </c>
      <c r="N44" s="120">
        <f t="shared" ca="1" si="3"/>
        <v>673</v>
      </c>
      <c r="O44" s="48">
        <f t="shared" ca="1" si="4"/>
        <v>3.2185973133895924</v>
      </c>
      <c r="P44" s="115">
        <f ca="1">C44*Summary!$C$16</f>
        <v>186005.625</v>
      </c>
      <c r="Q44" s="115">
        <f ca="1">P44*Summary!$C$17</f>
        <v>74402.25</v>
      </c>
      <c r="R44" s="48">
        <f ca="1">Q44/'Alberta Electricity Profile'!$C$33</f>
        <v>4.99243440917936</v>
      </c>
      <c r="S44" s="235">
        <f ca="1">P44/'Alberta Electricity Profile'!$D$49</f>
        <v>1.4248609653524127</v>
      </c>
      <c r="T44" s="236">
        <f t="shared" si="5"/>
        <v>347.92166666666662</v>
      </c>
      <c r="U44" s="236">
        <f t="shared" ca="1" si="12"/>
        <v>436.94314465272828</v>
      </c>
      <c r="V44" s="237">
        <f t="shared" ca="1" si="13"/>
        <v>6.3749861527019274</v>
      </c>
      <c r="W44" s="237">
        <f t="shared" ca="1" si="14"/>
        <v>12749.972305403855</v>
      </c>
    </row>
    <row r="45" spans="1:23">
      <c r="A45" s="183"/>
      <c r="B45" s="124">
        <f t="shared" si="6"/>
        <v>25</v>
      </c>
      <c r="C45" s="115">
        <f t="shared" ca="1" si="7"/>
        <v>40336.125</v>
      </c>
      <c r="D45" s="48">
        <f t="shared" ca="1" si="0"/>
        <v>0.49605920426337319</v>
      </c>
      <c r="E45" s="120">
        <f t="shared" ca="1" si="8"/>
        <v>3868</v>
      </c>
      <c r="F45" s="116">
        <f t="shared" ca="1" si="1"/>
        <v>3.8679999999999999</v>
      </c>
      <c r="G45" s="118">
        <f ca="1">C45/Summary!C$23</f>
        <v>0.57540834522111273</v>
      </c>
      <c r="H45" s="119">
        <f ca="1">H44+('Dev Plan (Wind)'!C44/Summary!C$23)*Summary!C$27</f>
        <v>4314.7436278163304</v>
      </c>
      <c r="I45" s="119">
        <f t="shared" si="9"/>
        <v>1242.9166666666672</v>
      </c>
      <c r="J45" s="119">
        <f t="shared" si="10"/>
        <v>7455.1249999999991</v>
      </c>
      <c r="K45" s="119">
        <f t="shared" si="11"/>
        <v>8698.0416666666661</v>
      </c>
      <c r="L45" s="122">
        <f ca="1">C44*Summary!C$16*Summary!C$17*24*375*1000*C$11</f>
        <v>33481012500</v>
      </c>
      <c r="M45" s="122">
        <f t="shared" ca="1" si="2"/>
        <v>38682262500</v>
      </c>
      <c r="N45" s="120">
        <f t="shared" ca="1" si="3"/>
        <v>733</v>
      </c>
      <c r="O45" s="48">
        <f t="shared" ca="1" si="4"/>
        <v>3.4714665460138079</v>
      </c>
      <c r="P45" s="115">
        <f ca="1">C45*Summary!$C$16</f>
        <v>201680.625</v>
      </c>
      <c r="Q45" s="115">
        <f ca="1">P45*Summary!$C$17</f>
        <v>80672.25</v>
      </c>
      <c r="R45" s="48">
        <f ca="1">Q45/'Alberta Electricity Profile'!$C$33</f>
        <v>5.413155069449104</v>
      </c>
      <c r="S45" s="235">
        <f ca="1">P45/'Alberta Electricity Profile'!$D$49</f>
        <v>1.5449363428142451</v>
      </c>
      <c r="T45" s="236">
        <f t="shared" si="5"/>
        <v>347.92166666666662</v>
      </c>
      <c r="U45" s="236">
        <f t="shared" ca="1" si="12"/>
        <v>474.31331347986725</v>
      </c>
      <c r="V45" s="237">
        <f t="shared" ca="1" si="13"/>
        <v>6.3749861527019309</v>
      </c>
      <c r="W45" s="237">
        <f t="shared" ca="1" si="14"/>
        <v>12749.972305403862</v>
      </c>
    </row>
    <row r="46" spans="1:23">
      <c r="A46" s="183"/>
      <c r="B46" s="124">
        <f t="shared" si="6"/>
        <v>26</v>
      </c>
      <c r="C46" s="115">
        <f t="shared" ca="1" si="7"/>
        <v>43687.125</v>
      </c>
      <c r="D46" s="48">
        <f t="shared" ca="1" si="0"/>
        <v>0.53383237655620663</v>
      </c>
      <c r="E46" s="120">
        <f t="shared" ca="1" si="8"/>
        <v>4150</v>
      </c>
      <c r="F46" s="116">
        <f t="shared" ca="1" si="1"/>
        <v>4.1500000000000004</v>
      </c>
      <c r="G46" s="118">
        <f ca="1">C46/Summary!C$23</f>
        <v>0.62321148359486445</v>
      </c>
      <c r="H46" s="119">
        <f ca="1">H45+('Dev Plan (Wind)'!C45/Summary!C$23)*Summary!C$27</f>
        <v>4829.0281044736385</v>
      </c>
      <c r="I46" s="119">
        <f t="shared" si="9"/>
        <v>1292.6333333333339</v>
      </c>
      <c r="J46" s="119">
        <f t="shared" si="10"/>
        <v>7753.329999999999</v>
      </c>
      <c r="K46" s="119">
        <f t="shared" si="11"/>
        <v>9045.9633333333331</v>
      </c>
      <c r="L46" s="122">
        <f ca="1">C45*Summary!C$16*Summary!C$17*24*375*1000*C$11</f>
        <v>36302512500</v>
      </c>
      <c r="M46" s="122">
        <f t="shared" ca="1" si="2"/>
        <v>41503762500</v>
      </c>
      <c r="N46" s="120">
        <f t="shared" ca="1" si="3"/>
        <v>799</v>
      </c>
      <c r="O46" s="48">
        <f t="shared" ca="1" si="4"/>
        <v>3.7358065740274142</v>
      </c>
      <c r="P46" s="115">
        <f ca="1">C46*Summary!$C$16</f>
        <v>218435.625</v>
      </c>
      <c r="Q46" s="115">
        <f ca="1">P46*Summary!$C$17</f>
        <v>87374.25</v>
      </c>
      <c r="R46" s="48">
        <f ca="1">Q46/'Alberta Electricity Profile'!$C$33</f>
        <v>5.8628631819096828</v>
      </c>
      <c r="S46" s="235">
        <f ca="1">P46/'Alberta Electricity Profile'!$D$49</f>
        <v>1.6732848563308642</v>
      </c>
      <c r="T46" s="236">
        <f t="shared" si="5"/>
        <v>347.92166666666662</v>
      </c>
      <c r="U46" s="236">
        <f t="shared" ca="1" si="12"/>
        <v>514.28447665730801</v>
      </c>
      <c r="V46" s="237">
        <f t="shared" ca="1" si="13"/>
        <v>6.3749861527019265</v>
      </c>
      <c r="W46" s="237">
        <f t="shared" ca="1" si="14"/>
        <v>12749.972305403853</v>
      </c>
    </row>
    <row r="47" spans="1:23">
      <c r="A47" s="183"/>
      <c r="B47" s="124">
        <f t="shared" si="6"/>
        <v>27</v>
      </c>
      <c r="C47" s="115">
        <f t="shared" ca="1" si="7"/>
        <v>47267.125</v>
      </c>
      <c r="D47" s="48">
        <f t="shared" ca="1" si="0"/>
        <v>0.57335572431708015</v>
      </c>
      <c r="E47" s="120">
        <f t="shared" ca="1" si="8"/>
        <v>4451</v>
      </c>
      <c r="F47" s="116">
        <f t="shared" ca="1" si="1"/>
        <v>4.4509999999999996</v>
      </c>
      <c r="G47" s="118">
        <f ca="1">C47/Summary!C$23</f>
        <v>0.67428138373751778</v>
      </c>
      <c r="H47" s="119">
        <f ca="1">H46+('Dev Plan (Wind)'!C46/Summary!C$23)*Summary!C$27</f>
        <v>5386.0377383263549</v>
      </c>
      <c r="I47" s="119">
        <f t="shared" si="9"/>
        <v>1342.3500000000006</v>
      </c>
      <c r="J47" s="119">
        <f t="shared" si="10"/>
        <v>8051.5349999999989</v>
      </c>
      <c r="K47" s="119">
        <f t="shared" si="11"/>
        <v>9393.8850000000002</v>
      </c>
      <c r="L47" s="122">
        <f ca="1">C46*Summary!C$16*Summary!C$17*24*375*1000*C$11</f>
        <v>39318412500</v>
      </c>
      <c r="M47" s="122">
        <f t="shared" ca="1" si="2"/>
        <v>44519662500</v>
      </c>
      <c r="N47" s="120">
        <f t="shared" ca="1" si="3"/>
        <v>871</v>
      </c>
      <c r="O47" s="48">
        <f t="shared" ca="1" si="4"/>
        <v>4.0123944860329663</v>
      </c>
      <c r="P47" s="115">
        <f ca="1">C47*Summary!$C$16</f>
        <v>236335.625</v>
      </c>
      <c r="Q47" s="115">
        <f ca="1">P47*Summary!$C$17</f>
        <v>94534.25</v>
      </c>
      <c r="R47" s="48">
        <f ca="1">Q47/'Alberta Electricity Profile'!$C$33</f>
        <v>6.3433033617392471</v>
      </c>
      <c r="S47" s="235">
        <f ca="1">P47/'Alberta Electricity Profile'!$D$49</f>
        <v>1.8104044261277894</v>
      </c>
      <c r="T47" s="236">
        <f t="shared" si="5"/>
        <v>347.92166666666662</v>
      </c>
      <c r="U47" s="236">
        <f t="shared" ca="1" si="12"/>
        <v>557.00963385271643</v>
      </c>
      <c r="V47" s="237">
        <f t="shared" ca="1" si="13"/>
        <v>6.3749861527019283</v>
      </c>
      <c r="W47" s="237">
        <f t="shared" ca="1" si="14"/>
        <v>12749.972305403857</v>
      </c>
    </row>
    <row r="48" spans="1:23">
      <c r="A48" s="183"/>
      <c r="B48" s="124">
        <f t="shared" si="6"/>
        <v>28</v>
      </c>
      <c r="C48" s="115">
        <f t="shared" ca="1" si="7"/>
        <v>51091.125</v>
      </c>
      <c r="D48" s="48">
        <f t="shared" ca="1" si="0"/>
        <v>0.61474144149501531</v>
      </c>
      <c r="E48" s="120">
        <f t="shared" ca="1" si="8"/>
        <v>4774</v>
      </c>
      <c r="F48" s="116">
        <f t="shared" ca="1" si="1"/>
        <v>4.774</v>
      </c>
      <c r="G48" s="118">
        <f ca="1">C48/Summary!C$23</f>
        <v>0.72883202567760341</v>
      </c>
      <c r="H48" s="119">
        <f ca="1">H47+('Dev Plan (Wind)'!C47/Summary!C$23)*Summary!C$27</f>
        <v>5988.6922730324168</v>
      </c>
      <c r="I48" s="119">
        <f t="shared" si="9"/>
        <v>1392.0666666666673</v>
      </c>
      <c r="J48" s="119">
        <f t="shared" si="10"/>
        <v>8349.74</v>
      </c>
      <c r="K48" s="119">
        <f t="shared" si="11"/>
        <v>9741.8066666666673</v>
      </c>
      <c r="L48" s="122">
        <f ca="1">C47*Summary!C$16*Summary!C$17*24*375*1000*C$11</f>
        <v>42540412500</v>
      </c>
      <c r="M48" s="122">
        <f t="shared" ca="1" si="2"/>
        <v>47741662500</v>
      </c>
      <c r="N48" s="120">
        <f t="shared" ca="1" si="3"/>
        <v>950</v>
      </c>
      <c r="O48" s="48">
        <f t="shared" ca="1" si="4"/>
        <v>4.302015425290274</v>
      </c>
      <c r="P48" s="115">
        <f ca="1">C48*Summary!$C$16</f>
        <v>255455.625</v>
      </c>
      <c r="Q48" s="115">
        <f ca="1">P48*Summary!$C$17</f>
        <v>102182.25</v>
      </c>
      <c r="R48" s="48">
        <f ca="1">Q48/'Alberta Electricity Profile'!$C$33</f>
        <v>6.8564886264510498</v>
      </c>
      <c r="S48" s="235">
        <f ca="1">P48/'Alberta Electricity Profile'!$D$49</f>
        <v>1.9568695755421586</v>
      </c>
      <c r="T48" s="236">
        <f t="shared" si="5"/>
        <v>347.92166666666662</v>
      </c>
      <c r="U48" s="236">
        <f t="shared" ca="1" si="12"/>
        <v>602.6545347060619</v>
      </c>
      <c r="V48" s="237">
        <f t="shared" ca="1" si="13"/>
        <v>6.3749861527019238</v>
      </c>
      <c r="W48" s="237">
        <f t="shared" ca="1" si="14"/>
        <v>12749.972305403848</v>
      </c>
    </row>
    <row r="49" spans="1:23">
      <c r="A49" s="183"/>
      <c r="B49" s="124">
        <f t="shared" si="6"/>
        <v>29</v>
      </c>
      <c r="C49" s="115">
        <f t="shared" ca="1" si="7"/>
        <v>55174.125</v>
      </c>
      <c r="D49" s="48">
        <f t="shared" ca="1" si="0"/>
        <v>0.65810520189106603</v>
      </c>
      <c r="E49" s="120">
        <f t="shared" ca="1" si="8"/>
        <v>5118</v>
      </c>
      <c r="F49" s="116">
        <f t="shared" ca="1" si="1"/>
        <v>5.1180000000000003</v>
      </c>
      <c r="G49" s="118">
        <f ca="1">C49/Summary!C$23</f>
        <v>0.78707738944365191</v>
      </c>
      <c r="H49" s="119">
        <f ca="1">H48+('Dev Plan (Wind)'!C48/Summary!C$23)*Summary!C$27</f>
        <v>6640.102701834343</v>
      </c>
      <c r="I49" s="119">
        <f t="shared" si="9"/>
        <v>1441.783333333334</v>
      </c>
      <c r="J49" s="119">
        <f t="shared" si="10"/>
        <v>8647.9449999999997</v>
      </c>
      <c r="K49" s="119">
        <f t="shared" si="11"/>
        <v>10089.728333333334</v>
      </c>
      <c r="L49" s="122">
        <f ca="1">C48*Summary!C$16*Summary!C$17*24*375*1000*C$11</f>
        <v>45982012500</v>
      </c>
      <c r="M49" s="122">
        <f t="shared" ca="1" si="2"/>
        <v>51183262500</v>
      </c>
      <c r="N49" s="120">
        <f t="shared" ca="1" si="3"/>
        <v>1035</v>
      </c>
      <c r="O49" s="48">
        <f t="shared" ca="1" si="4"/>
        <v>4.605478887373974</v>
      </c>
      <c r="P49" s="115">
        <f ca="1">C49*Summary!$C$16</f>
        <v>275870.625</v>
      </c>
      <c r="Q49" s="115">
        <f ca="1">P49*Summary!$C$17</f>
        <v>110348.25</v>
      </c>
      <c r="R49" s="48">
        <f ca="1">Q49/'Alberta Electricity Profile'!$C$33</f>
        <v>7.4044319935583438</v>
      </c>
      <c r="S49" s="235">
        <f ca="1">P49/'Alberta Electricity Profile'!$D$49</f>
        <v>2.1132548279111099</v>
      </c>
      <c r="T49" s="236">
        <f t="shared" si="5"/>
        <v>347.92166666666662</v>
      </c>
      <c r="U49" s="236">
        <f t="shared" ca="1" si="12"/>
        <v>651.41042880192617</v>
      </c>
      <c r="V49" s="237">
        <f t="shared" ca="1" si="13"/>
        <v>6.3749861527019238</v>
      </c>
      <c r="W49" s="237">
        <f t="shared" ca="1" si="14"/>
        <v>12749.972305403848</v>
      </c>
    </row>
    <row r="50" spans="1:23">
      <c r="A50" s="183"/>
      <c r="B50" s="164">
        <f t="shared" si="6"/>
        <v>30</v>
      </c>
      <c r="C50" s="115">
        <f t="shared" ca="1" si="7"/>
        <v>59531.125</v>
      </c>
      <c r="D50" s="48">
        <f t="shared" ca="1" si="0"/>
        <v>0.70356557918298024</v>
      </c>
      <c r="E50" s="120">
        <f t="shared" ca="1" si="8"/>
        <v>5485</v>
      </c>
      <c r="F50" s="116">
        <f t="shared" ca="1" si="1"/>
        <v>5.4850000000000003</v>
      </c>
      <c r="G50" s="118">
        <f ca="1">C50/Summary!C$23</f>
        <v>0.84923145506419406</v>
      </c>
      <c r="H50" s="119">
        <f ca="1">H49+('Dev Plan (Wind)'!C49/Summary!C$23)*Summary!C$27</f>
        <v>7343.5712675592331</v>
      </c>
      <c r="I50" s="119">
        <f t="shared" si="9"/>
        <v>1491.5000000000007</v>
      </c>
      <c r="J50" s="119">
        <f t="shared" si="10"/>
        <v>8946.15</v>
      </c>
      <c r="K50" s="119">
        <f t="shared" si="11"/>
        <v>10437.65</v>
      </c>
      <c r="L50" s="122">
        <f ca="1">C49*Summary!C$16*Summary!C$17*24*375*1000*C$11</f>
        <v>49656712500</v>
      </c>
      <c r="M50" s="122">
        <f t="shared" ca="1" si="2"/>
        <v>54857962500</v>
      </c>
      <c r="N50" s="120">
        <f t="shared" ca="1" si="3"/>
        <v>1128</v>
      </c>
      <c r="O50" s="48">
        <f t="shared" ca="1" si="4"/>
        <v>4.923614661454395</v>
      </c>
      <c r="P50" s="115">
        <f ca="1">C50*Summary!$C$16</f>
        <v>297655.625</v>
      </c>
      <c r="Q50" s="115">
        <f ca="1">P50*Summary!$C$17</f>
        <v>119062.25</v>
      </c>
      <c r="R50" s="48">
        <f ca="1">Q50/'Alberta Electricity Profile'!$C$33</f>
        <v>7.989146480574381</v>
      </c>
      <c r="S50" s="235">
        <f ca="1">P50/'Alberta Electricity Profile'!$D$49</f>
        <v>2.280134706571781</v>
      </c>
      <c r="T50" s="236">
        <f t="shared" si="5"/>
        <v>347.92166666666662</v>
      </c>
      <c r="U50" s="236">
        <f t="shared" ca="1" si="12"/>
        <v>703.46856572489014</v>
      </c>
      <c r="V50" s="237">
        <f t="shared" ca="1" si="13"/>
        <v>6.3749861527019247</v>
      </c>
      <c r="W50" s="237">
        <f t="shared" ca="1" si="14"/>
        <v>12749.97230540385</v>
      </c>
    </row>
    <row r="51" spans="1:23">
      <c r="A51" s="183"/>
      <c r="B51" s="124">
        <f t="shared" si="6"/>
        <v>31</v>
      </c>
      <c r="C51" s="115">
        <f t="shared" ca="1" si="7"/>
        <v>64178.125</v>
      </c>
      <c r="D51" s="48">
        <f t="shared" ca="1" si="0"/>
        <v>0.75124357920315166</v>
      </c>
      <c r="E51" s="120">
        <f t="shared" ca="1" si="8"/>
        <v>5877</v>
      </c>
      <c r="F51" s="116">
        <f t="shared" ca="1" si="1"/>
        <v>5.8769999999999998</v>
      </c>
      <c r="G51" s="118">
        <f ca="1">C51/Summary!C$23</f>
        <v>0.91552246790299574</v>
      </c>
      <c r="H51" s="119">
        <f ca="1">H50+('Dev Plan (Wind)'!C50/Summary!C$23)*Summary!C$27</f>
        <v>8102.5914626187687</v>
      </c>
      <c r="I51" s="119">
        <f t="shared" si="9"/>
        <v>1541.2166666666674</v>
      </c>
      <c r="J51" s="119">
        <f t="shared" si="10"/>
        <v>9244.3549999999996</v>
      </c>
      <c r="K51" s="119">
        <f t="shared" si="11"/>
        <v>10785.571666666667</v>
      </c>
      <c r="L51" s="122">
        <f ca="1">C50*Summary!C$16*Summary!C$17*24*375*1000*C$11</f>
        <v>53578012500</v>
      </c>
      <c r="M51" s="122">
        <f t="shared" ca="1" si="2"/>
        <v>58779262500</v>
      </c>
      <c r="N51" s="120">
        <f t="shared" ca="1" si="3"/>
        <v>1230</v>
      </c>
      <c r="O51" s="48">
        <f t="shared" ca="1" si="4"/>
        <v>5.2572695571369579</v>
      </c>
      <c r="P51" s="115">
        <f ca="1">C51*Summary!$C$16</f>
        <v>320890.625</v>
      </c>
      <c r="Q51" s="115">
        <f ca="1">P51*Summary!$C$17</f>
        <v>128356.25</v>
      </c>
      <c r="R51" s="48">
        <f ca="1">Q51/'Alberta Electricity Profile'!$C$33</f>
        <v>8.6127793061799629</v>
      </c>
      <c r="S51" s="235">
        <f ca="1">P51/'Alberta Electricity Profile'!$D$49</f>
        <v>2.4581220364171195</v>
      </c>
      <c r="T51" s="236">
        <f t="shared" si="5"/>
        <v>347.92166666666662</v>
      </c>
      <c r="U51" s="236">
        <f t="shared" ca="1" si="12"/>
        <v>759.02019505953558</v>
      </c>
      <c r="V51" s="237">
        <f t="shared" ca="1" si="13"/>
        <v>6.3749861527019318</v>
      </c>
      <c r="W51" s="237">
        <f t="shared" ca="1" si="14"/>
        <v>12749.972305403864</v>
      </c>
    </row>
    <row r="52" spans="1:23">
      <c r="A52" s="183"/>
      <c r="B52" s="124">
        <f t="shared" si="6"/>
        <v>32</v>
      </c>
      <c r="C52" s="115">
        <f t="shared" ca="1" si="7"/>
        <v>69133.125</v>
      </c>
      <c r="D52" s="48">
        <f t="shared" ca="1" si="0"/>
        <v>0.80126340510509275</v>
      </c>
      <c r="E52" s="120">
        <f t="shared" ca="1" si="8"/>
        <v>6296</v>
      </c>
      <c r="F52" s="116">
        <f t="shared" ca="1" si="1"/>
        <v>6.2960000000000003</v>
      </c>
      <c r="G52" s="118">
        <f ca="1">C52/Summary!C$23</f>
        <v>0.98620720399429385</v>
      </c>
      <c r="H52" s="119">
        <f ca="1">H51+('Dev Plan (Wind)'!C51/Summary!C$23)*Summary!C$27</f>
        <v>8920.860778981516</v>
      </c>
      <c r="I52" s="119">
        <f t="shared" si="9"/>
        <v>1590.9333333333341</v>
      </c>
      <c r="J52" s="119">
        <f t="shared" si="10"/>
        <v>9542.56</v>
      </c>
      <c r="K52" s="119">
        <f t="shared" si="11"/>
        <v>11133.493333333334</v>
      </c>
      <c r="L52" s="122">
        <f ca="1">C51*Summary!C$16*Summary!C$17*24*375*1000*C$11</f>
        <v>57760312500</v>
      </c>
      <c r="M52" s="122">
        <f t="shared" ca="1" si="2"/>
        <v>62961562500</v>
      </c>
      <c r="N52" s="120">
        <f t="shared" ca="1" si="3"/>
        <v>1341</v>
      </c>
      <c r="O52" s="48">
        <f t="shared" ca="1" si="4"/>
        <v>5.6073127591653824</v>
      </c>
      <c r="P52" s="115">
        <f ca="1">C52*Summary!$C$16</f>
        <v>345665.625</v>
      </c>
      <c r="Q52" s="115">
        <f ca="1">P52*Summary!$C$17</f>
        <v>138266.25</v>
      </c>
      <c r="R52" s="48">
        <f ca="1">Q52/'Alberta Electricity Profile'!$C$33</f>
        <v>9.2777460913909948</v>
      </c>
      <c r="S52" s="235">
        <f ca="1">P52/'Alberta Electricity Profile'!$D$49</f>
        <v>2.6479062454516904</v>
      </c>
      <c r="T52" s="236">
        <f t="shared" si="5"/>
        <v>347.92166666666662</v>
      </c>
      <c r="U52" s="236">
        <f t="shared" ca="1" si="12"/>
        <v>818.2693163627473</v>
      </c>
      <c r="V52" s="237">
        <f t="shared" ca="1" si="13"/>
        <v>6.3749861527019318</v>
      </c>
      <c r="W52" s="237">
        <f t="shared" ca="1" si="14"/>
        <v>12749.972305403864</v>
      </c>
    </row>
    <row r="53" spans="1:23">
      <c r="A53" s="183"/>
      <c r="B53" s="124">
        <f t="shared" si="6"/>
        <v>33</v>
      </c>
      <c r="C53" s="115">
        <f t="shared" ca="1" si="7"/>
        <v>74414.125</v>
      </c>
      <c r="D53" s="48">
        <f t="shared" ca="1" si="0"/>
        <v>0.853754193896618</v>
      </c>
      <c r="E53" s="120">
        <f t="shared" ca="1" si="8"/>
        <v>6742</v>
      </c>
      <c r="F53" s="116">
        <f t="shared" ca="1" si="1"/>
        <v>6.742</v>
      </c>
      <c r="G53" s="118">
        <f ca="1">C53/Summary!C$23</f>
        <v>1.0615424393723252</v>
      </c>
      <c r="H53" s="119">
        <f ca="1">H52+('Dev Plan (Wind)'!C52/Summary!C$23)*Summary!C$27</f>
        <v>9802.3062081175394</v>
      </c>
      <c r="I53" s="119">
        <f t="shared" si="9"/>
        <v>1640.6500000000008</v>
      </c>
      <c r="J53" s="119">
        <f t="shared" si="10"/>
        <v>9840.7649999999994</v>
      </c>
      <c r="K53" s="119">
        <f t="shared" si="11"/>
        <v>11481.415000000001</v>
      </c>
      <c r="L53" s="122">
        <f ca="1">C52*Summary!C$16*Summary!C$17*24*375*1000*C$11</f>
        <v>62219812500</v>
      </c>
      <c r="M53" s="122">
        <f t="shared" ca="1" si="2"/>
        <v>67421062500</v>
      </c>
      <c r="N53" s="120">
        <f t="shared" ca="1" si="3"/>
        <v>1461</v>
      </c>
      <c r="O53" s="48">
        <f t="shared" ca="1" si="4"/>
        <v>5.9746479798357575</v>
      </c>
      <c r="P53" s="115">
        <f ca="1">C53*Summary!$C$16</f>
        <v>372070.625</v>
      </c>
      <c r="Q53" s="115">
        <f ca="1">P53*Summary!$C$17</f>
        <v>148828.25</v>
      </c>
      <c r="R53" s="48">
        <f ca="1">Q53/'Alberta Electricity Profile'!$C$33</f>
        <v>9.9864624572233787</v>
      </c>
      <c r="S53" s="235">
        <f ca="1">P53/'Alberta Electricity Profile'!$D$49</f>
        <v>2.8501767616800593</v>
      </c>
      <c r="T53" s="236">
        <f t="shared" si="5"/>
        <v>347.92166666666662</v>
      </c>
      <c r="U53" s="236">
        <f t="shared" ca="1" si="12"/>
        <v>881.44542913602345</v>
      </c>
      <c r="V53" s="237">
        <f t="shared" ca="1" si="13"/>
        <v>6.3749861527019318</v>
      </c>
      <c r="W53" s="237">
        <f t="shared" ca="1" si="14"/>
        <v>12749.972305403864</v>
      </c>
    </row>
    <row r="54" spans="1:23">
      <c r="A54" s="183"/>
      <c r="B54" s="124">
        <f t="shared" si="6"/>
        <v>34</v>
      </c>
      <c r="C54" s="115">
        <f t="shared" ca="1" si="7"/>
        <v>80038.125</v>
      </c>
      <c r="D54" s="48">
        <f t="shared" ca="1" si="0"/>
        <v>0.90884929087303568</v>
      </c>
      <c r="E54" s="120">
        <f t="shared" ca="1" si="8"/>
        <v>7217</v>
      </c>
      <c r="F54" s="116">
        <f t="shared" ca="1" si="1"/>
        <v>7.2169999999999996</v>
      </c>
      <c r="G54" s="118">
        <f ca="1">C54/Summary!C$23</f>
        <v>1.1417706847360913</v>
      </c>
      <c r="H54" s="119">
        <f ca="1">H53+('Dev Plan (Wind)'!C53/Summary!C$23)*Summary!C$27</f>
        <v>10751.0842409984</v>
      </c>
      <c r="I54" s="119">
        <f t="shared" si="9"/>
        <v>1690.3666666666675</v>
      </c>
      <c r="J54" s="119">
        <f t="shared" si="10"/>
        <v>10138.969999999999</v>
      </c>
      <c r="K54" s="119">
        <f t="shared" si="11"/>
        <v>11829.336666666666</v>
      </c>
      <c r="L54" s="122">
        <f ca="1">C53*Summary!C$16*Summary!C$17*24*375*1000*C$11</f>
        <v>66972712500</v>
      </c>
      <c r="M54" s="122">
        <f t="shared" ca="1" si="2"/>
        <v>72173962500</v>
      </c>
      <c r="N54" s="120">
        <f t="shared" ca="1" si="3"/>
        <v>1593</v>
      </c>
      <c r="O54" s="48">
        <f t="shared" ca="1" si="4"/>
        <v>6.360208381415311</v>
      </c>
      <c r="P54" s="115">
        <f ca="1">C54*Summary!$C$16</f>
        <v>400190.625</v>
      </c>
      <c r="Q54" s="115">
        <f ca="1">P54*Summary!$C$17</f>
        <v>160076.25</v>
      </c>
      <c r="R54" s="48">
        <f ca="1">Q54/'Alberta Electricity Profile'!$C$33</f>
        <v>10.741209823525464</v>
      </c>
      <c r="S54" s="235">
        <f ca="1">P54/'Alberta Electricity Profile'!$D$49</f>
        <v>3.0655847115509833</v>
      </c>
      <c r="T54" s="236">
        <f t="shared" si="5"/>
        <v>347.92166666666662</v>
      </c>
      <c r="U54" s="236">
        <f t="shared" ca="1" si="12"/>
        <v>948.77803288086034</v>
      </c>
      <c r="V54" s="237">
        <f t="shared" ca="1" si="13"/>
        <v>6.3749861527019256</v>
      </c>
      <c r="W54" s="237">
        <f t="shared" ca="1" si="14"/>
        <v>12749.972305403851</v>
      </c>
    </row>
    <row r="55" spans="1:23">
      <c r="A55" s="183"/>
      <c r="B55" s="124">
        <f t="shared" si="6"/>
        <v>35</v>
      </c>
      <c r="C55" s="115">
        <f t="shared" ca="1" si="7"/>
        <v>86025.125</v>
      </c>
      <c r="D55" s="48">
        <f t="shared" ca="1" si="0"/>
        <v>0.96668460140178114</v>
      </c>
      <c r="E55" s="120">
        <f t="shared" ca="1" si="8"/>
        <v>7723</v>
      </c>
      <c r="F55" s="116">
        <f t="shared" ca="1" si="1"/>
        <v>7.7229999999999999</v>
      </c>
      <c r="G55" s="118">
        <f ca="1">C55/Summary!C$23</f>
        <v>1.2271772467902995</v>
      </c>
      <c r="H55" s="119">
        <f ca="1">H54+('Dev Plan (Wind)'!C54/Summary!C$23)*Summary!C$27</f>
        <v>11771.568118124851</v>
      </c>
      <c r="I55" s="119">
        <f t="shared" si="9"/>
        <v>1740.0833333333342</v>
      </c>
      <c r="J55" s="119">
        <f t="shared" si="10"/>
        <v>10437.174999999999</v>
      </c>
      <c r="K55" s="119">
        <f t="shared" si="11"/>
        <v>12177.258333333333</v>
      </c>
      <c r="L55" s="122">
        <f ca="1">C54*Summary!C$16*Summary!C$17*24*375*1000*C$11</f>
        <v>72034312500</v>
      </c>
      <c r="M55" s="122">
        <f t="shared" ca="1" si="2"/>
        <v>77235562500</v>
      </c>
      <c r="N55" s="120">
        <f t="shared" ca="1" si="3"/>
        <v>1736</v>
      </c>
      <c r="O55" s="48">
        <f t="shared" ca="1" si="4"/>
        <v>6.7649450417843084</v>
      </c>
      <c r="P55" s="115">
        <f ca="1">C55*Summary!$C$16</f>
        <v>430125.625</v>
      </c>
      <c r="Q55" s="115">
        <f ca="1">P55*Summary!$C$17</f>
        <v>172050.25</v>
      </c>
      <c r="R55" s="48">
        <f ca="1">Q55/'Alberta Electricity Profile'!$C$33</f>
        <v>11.544672213648258</v>
      </c>
      <c r="S55" s="235">
        <f ca="1">P55/'Alberta Electricity Profile'!$D$49</f>
        <v>3.2948961261806455</v>
      </c>
      <c r="T55" s="236">
        <f t="shared" si="5"/>
        <v>347.92166666666662</v>
      </c>
      <c r="U55" s="236">
        <f t="shared" ca="1" si="12"/>
        <v>1020.4838771264513</v>
      </c>
      <c r="V55" s="237">
        <f t="shared" ca="1" si="13"/>
        <v>6.3749861527019229</v>
      </c>
      <c r="W55" s="237">
        <f t="shared" ca="1" si="14"/>
        <v>12749.972305403846</v>
      </c>
    </row>
    <row r="56" spans="1:23">
      <c r="A56" s="183"/>
      <c r="B56" s="124">
        <f t="shared" si="6"/>
        <v>36</v>
      </c>
      <c r="C56" s="115">
        <f t="shared" ca="1" si="7"/>
        <v>92395.125</v>
      </c>
      <c r="D56" s="48">
        <f t="shared" ca="1" si="0"/>
        <v>1.0274012891985389</v>
      </c>
      <c r="E56" s="120">
        <f t="shared" ca="1" si="8"/>
        <v>8262</v>
      </c>
      <c r="F56" s="116">
        <f t="shared" ca="1" si="1"/>
        <v>8.2620000000000005</v>
      </c>
      <c r="G56" s="118">
        <f ca="1">C56/Summary!C$23</f>
        <v>1.3180474322396576</v>
      </c>
      <c r="H56" s="119">
        <f ca="1">H55+('Dev Plan (Wind)'!C55/Summary!C$23)*Summary!C$27</f>
        <v>12868.386079443757</v>
      </c>
      <c r="I56" s="119">
        <f t="shared" si="9"/>
        <v>1789.8000000000009</v>
      </c>
      <c r="J56" s="119">
        <f t="shared" si="10"/>
        <v>10735.38</v>
      </c>
      <c r="K56" s="119">
        <f t="shared" si="11"/>
        <v>12525.18</v>
      </c>
      <c r="L56" s="122">
        <f ca="1">C55*Summary!C$16*Summary!C$17*24*375*1000*C$11</f>
        <v>77422612500</v>
      </c>
      <c r="M56" s="122">
        <f t="shared" ca="1" si="2"/>
        <v>82623862500</v>
      </c>
      <c r="N56" s="120">
        <f t="shared" ca="1" si="3"/>
        <v>1892</v>
      </c>
      <c r="O56" s="48">
        <f t="shared" ca="1" si="4"/>
        <v>7.1898458372129568</v>
      </c>
      <c r="P56" s="115">
        <f ca="1">C56*Summary!$C$16</f>
        <v>461975.625</v>
      </c>
      <c r="Q56" s="115">
        <f ca="1">P56*Summary!$C$17</f>
        <v>184790.25</v>
      </c>
      <c r="R56" s="48">
        <f ca="1">Q56/'Alberta Electricity Profile'!$C$33</f>
        <v>12.399533650942763</v>
      </c>
      <c r="S56" s="235">
        <f ca="1">P56/'Alberta Electricity Profile'!$D$49</f>
        <v>3.5388770366852302</v>
      </c>
      <c r="T56" s="236">
        <f t="shared" si="5"/>
        <v>347.92166666666662</v>
      </c>
      <c r="U56" s="236">
        <f t="shared" ca="1" si="12"/>
        <v>1096.8179613189059</v>
      </c>
      <c r="V56" s="237">
        <f t="shared" ca="1" si="13"/>
        <v>6.3749861527019336</v>
      </c>
      <c r="W56" s="237">
        <f t="shared" ca="1" si="14"/>
        <v>12749.972305403868</v>
      </c>
    </row>
    <row r="57" spans="1:23">
      <c r="A57" s="183"/>
      <c r="B57" s="124">
        <f t="shared" si="6"/>
        <v>37</v>
      </c>
      <c r="C57" s="115">
        <f t="shared" ca="1" si="7"/>
        <v>99167.125</v>
      </c>
      <c r="D57" s="48">
        <f t="shared" ca="1" si="0"/>
        <v>1.0911450657396411</v>
      </c>
      <c r="E57" s="120">
        <f t="shared" ca="1" si="8"/>
        <v>8835</v>
      </c>
      <c r="F57" s="116">
        <f t="shared" ca="1" si="1"/>
        <v>8.8350000000000009</v>
      </c>
      <c r="G57" s="118">
        <f ca="1">C57/Summary!C$23</f>
        <v>1.4146522824536376</v>
      </c>
      <c r="H57" s="119">
        <f ca="1">H56+('Dev Plan (Wind)'!C56/Summary!C$23)*Summary!C$27</f>
        <v>14046.421364348083</v>
      </c>
      <c r="I57" s="119">
        <f t="shared" si="9"/>
        <v>1839.5166666666676</v>
      </c>
      <c r="J57" s="119">
        <f t="shared" si="10"/>
        <v>11033.584999999999</v>
      </c>
      <c r="K57" s="119">
        <f t="shared" si="11"/>
        <v>12873.101666666667</v>
      </c>
      <c r="L57" s="122">
        <f ca="1">C56*Summary!C$16*Summary!C$17*24*375*1000*C$11</f>
        <v>83155612500</v>
      </c>
      <c r="M57" s="122">
        <f t="shared" ca="1" si="2"/>
        <v>88356862500</v>
      </c>
      <c r="N57" s="120">
        <f t="shared" ca="1" si="3"/>
        <v>2063</v>
      </c>
      <c r="O57" s="48">
        <f t="shared" ca="1" si="4"/>
        <v>7.6359304696060066</v>
      </c>
      <c r="P57" s="115">
        <f ca="1">C57*Summary!$C$16</f>
        <v>495835.625</v>
      </c>
      <c r="Q57" s="115">
        <f ca="1">P57*Summary!$C$17</f>
        <v>198334.25</v>
      </c>
      <c r="R57" s="48">
        <f ca="1">Q57/'Alberta Electricity Profile'!$C$33</f>
        <v>13.308343957592431</v>
      </c>
      <c r="S57" s="235">
        <f ca="1">P57/'Alberta Electricity Profile'!$D$49</f>
        <v>3.7982551726251121</v>
      </c>
      <c r="T57" s="236">
        <f t="shared" si="5"/>
        <v>347.92166666666662</v>
      </c>
      <c r="U57" s="236">
        <f t="shared" ca="1" si="12"/>
        <v>1178.0352849043265</v>
      </c>
      <c r="V57" s="237">
        <f t="shared" ca="1" si="13"/>
        <v>6.3749861527019229</v>
      </c>
      <c r="W57" s="237">
        <f t="shared" ca="1" si="14"/>
        <v>12749.972305403846</v>
      </c>
    </row>
    <row r="58" spans="1:23">
      <c r="A58" s="183"/>
      <c r="B58" s="124">
        <f t="shared" si="6"/>
        <v>38</v>
      </c>
      <c r="C58" s="115">
        <f t="shared" ca="1" si="7"/>
        <v>106364.125</v>
      </c>
      <c r="D58" s="48">
        <f t="shared" ca="1" si="0"/>
        <v>1.158064627501447</v>
      </c>
      <c r="E58" s="120">
        <f t="shared" ca="1" si="8"/>
        <v>9445</v>
      </c>
      <c r="F58" s="116">
        <f t="shared" ca="1" si="1"/>
        <v>9.4450000000000003</v>
      </c>
      <c r="G58" s="118">
        <f ca="1">C58/Summary!C$23</f>
        <v>1.5173199001426534</v>
      </c>
      <c r="H58" s="119">
        <f ca="1">H57+('Dev Plan (Wind)'!C57/Summary!C$23)*Summary!C$27</f>
        <v>15310.799461704606</v>
      </c>
      <c r="I58" s="119">
        <f t="shared" si="9"/>
        <v>1889.2333333333343</v>
      </c>
      <c r="J58" s="119">
        <f t="shared" si="10"/>
        <v>11331.789999999999</v>
      </c>
      <c r="K58" s="119">
        <f t="shared" si="11"/>
        <v>13221.023333333333</v>
      </c>
      <c r="L58" s="122">
        <f ca="1">C57*Summary!C$16*Summary!C$17*24*375*1000*C$11</f>
        <v>89250412500</v>
      </c>
      <c r="M58" s="122">
        <f t="shared" ca="1" si="2"/>
        <v>94451662500</v>
      </c>
      <c r="N58" s="120">
        <f t="shared" ca="1" si="3"/>
        <v>2248</v>
      </c>
      <c r="O58" s="48">
        <f t="shared" ca="1" si="4"/>
        <v>8.1042395301645804</v>
      </c>
      <c r="P58" s="115">
        <f ca="1">C58*Summary!$C$16</f>
        <v>531820.625</v>
      </c>
      <c r="Q58" s="115">
        <f ca="1">P58*Summary!$C$17</f>
        <v>212728.25</v>
      </c>
      <c r="R58" s="48">
        <f ca="1">Q58/'Alberta Electricity Profile'!$C$33</f>
        <v>14.274189760450916</v>
      </c>
      <c r="S58" s="235">
        <f ca="1">P58/'Alberta Electricity Profile'!$D$49</f>
        <v>4.0739114697839023</v>
      </c>
      <c r="T58" s="236">
        <f t="shared" si="5"/>
        <v>347.92166666666662</v>
      </c>
      <c r="U58" s="236">
        <f t="shared" ca="1" si="12"/>
        <v>1264.3780973565226</v>
      </c>
      <c r="V58" s="237">
        <f t="shared" ca="1" si="13"/>
        <v>6.3749861527019291</v>
      </c>
      <c r="W58" s="237">
        <f t="shared" ca="1" si="14"/>
        <v>12749.972305403859</v>
      </c>
    </row>
    <row r="59" spans="1:23">
      <c r="A59" s="183"/>
      <c r="B59" s="124">
        <f t="shared" si="6"/>
        <v>39</v>
      </c>
      <c r="C59" s="115">
        <f t="shared" ca="1" si="7"/>
        <v>114005.125</v>
      </c>
      <c r="D59" s="48">
        <f t="shared" ca="1" si="0"/>
        <v>1.2283150318424256</v>
      </c>
      <c r="E59" s="120">
        <f t="shared" ca="1" si="8"/>
        <v>10092</v>
      </c>
      <c r="F59" s="116">
        <f t="shared" ca="1" si="1"/>
        <v>10.092000000000001</v>
      </c>
      <c r="G59" s="118">
        <f ca="1">C59/Summary!C$23</f>
        <v>1.6263213266761769</v>
      </c>
      <c r="H59" s="119">
        <f ca="1">H58+('Dev Plan (Wind)'!C58/Summary!C$23)*Summary!C$27</f>
        <v>16666.939109743122</v>
      </c>
      <c r="I59" s="119">
        <f t="shared" si="9"/>
        <v>1938.950000000001</v>
      </c>
      <c r="J59" s="119">
        <f t="shared" si="10"/>
        <v>11629.994999999999</v>
      </c>
      <c r="K59" s="119">
        <f t="shared" si="11"/>
        <v>13568.945</v>
      </c>
      <c r="L59" s="122">
        <f ca="1">C58*Summary!C$16*Summary!C$17*24*375*1000*C$11</f>
        <v>95727712500</v>
      </c>
      <c r="M59" s="122">
        <f t="shared" ca="1" si="2"/>
        <v>100928962500</v>
      </c>
      <c r="N59" s="120">
        <f t="shared" ca="1" si="3"/>
        <v>2451</v>
      </c>
      <c r="O59" s="48">
        <f t="shared" ca="1" si="4"/>
        <v>8.5958581241100145</v>
      </c>
      <c r="P59" s="115">
        <f ca="1">C59*Summary!$C$16</f>
        <v>570025.625</v>
      </c>
      <c r="Q59" s="115">
        <f ca="1">P59*Summary!$C$17</f>
        <v>228010.25</v>
      </c>
      <c r="R59" s="48">
        <f ca="1">Q59/'Alberta Electricity Profile'!$C$33</f>
        <v>15.299620881701671</v>
      </c>
      <c r="S59" s="235">
        <f ca="1">P59/'Alberta Electricity Profile'!$D$49</f>
        <v>4.3665736577219763</v>
      </c>
      <c r="T59" s="236">
        <f t="shared" si="5"/>
        <v>347.92166666666662</v>
      </c>
      <c r="U59" s="236">
        <f t="shared" ca="1" si="12"/>
        <v>1356.1396480385156</v>
      </c>
      <c r="V59" s="237">
        <f t="shared" ca="1" si="13"/>
        <v>6.3749861527019362</v>
      </c>
      <c r="W59" s="237">
        <f t="shared" ca="1" si="14"/>
        <v>12749.972305403873</v>
      </c>
    </row>
    <row r="60" spans="1:23">
      <c r="A60" s="183"/>
      <c r="B60" s="124">
        <f t="shared" si="6"/>
        <v>40</v>
      </c>
      <c r="C60" s="115">
        <f t="shared" ca="1" si="7"/>
        <v>122114.125</v>
      </c>
      <c r="D60" s="48">
        <f t="shared" ca="1" si="0"/>
        <v>1.3020532372828577</v>
      </c>
      <c r="E60" s="120">
        <f t="shared" ca="1" si="8"/>
        <v>10780</v>
      </c>
      <c r="F60" s="116">
        <f t="shared" ca="1" si="1"/>
        <v>10.78</v>
      </c>
      <c r="G60" s="118">
        <f ca="1">C60/Summary!C$23</f>
        <v>1.7419989300998573</v>
      </c>
      <c r="H60" s="119">
        <f ca="1">H59+('Dev Plan (Wind)'!C59/Summary!C$23)*Summary!C$27</f>
        <v>18120.501296167226</v>
      </c>
      <c r="I60" s="119">
        <f t="shared" si="9"/>
        <v>1988.6666666666677</v>
      </c>
      <c r="J60" s="119">
        <f t="shared" si="10"/>
        <v>11928.199999999999</v>
      </c>
      <c r="K60" s="119">
        <f t="shared" si="11"/>
        <v>13916.866666666667</v>
      </c>
      <c r="L60" s="122">
        <f ca="1">C59*Summary!C$16*Summary!C$17*24*375*1000*C$11</f>
        <v>102604612500</v>
      </c>
      <c r="M60" s="122">
        <f t="shared" ca="1" si="2"/>
        <v>107805862500</v>
      </c>
      <c r="N60" s="120">
        <f t="shared" ca="1" si="3"/>
        <v>2671</v>
      </c>
      <c r="O60" s="48">
        <f t="shared" ca="1" si="4"/>
        <v>9.1118846611635345</v>
      </c>
      <c r="P60" s="115">
        <f ca="1">C60*Summary!$C$16</f>
        <v>610570.625</v>
      </c>
      <c r="Q60" s="115">
        <f ca="1">P60*Summary!$C$17</f>
        <v>244228.25</v>
      </c>
      <c r="R60" s="48">
        <f ca="1">Q60/'Alberta Electricity Profile'!$C$33</f>
        <v>16.387858149365901</v>
      </c>
      <c r="S60" s="235">
        <f ca="1">P60/'Alberta Electricity Profile'!$D$49</f>
        <v>4.6771609737787552</v>
      </c>
      <c r="T60" s="236">
        <f t="shared" si="5"/>
        <v>347.92166666666662</v>
      </c>
      <c r="U60" s="236">
        <f t="shared" ca="1" si="12"/>
        <v>1453.5621864241039</v>
      </c>
      <c r="V60" s="237">
        <f t="shared" ca="1" si="13"/>
        <v>6.3749861527019238</v>
      </c>
      <c r="W60" s="237">
        <f t="shared" ca="1" si="14"/>
        <v>12749.972305403848</v>
      </c>
    </row>
    <row r="61" spans="1:23">
      <c r="A61" s="183"/>
      <c r="B61" s="124">
        <f t="shared" si="6"/>
        <v>41</v>
      </c>
      <c r="C61" s="115">
        <f t="shared" ca="1" si="7"/>
        <v>130712.125</v>
      </c>
      <c r="D61" s="48">
        <f t="shared" ca="1" si="0"/>
        <v>1.3794423406924614</v>
      </c>
      <c r="E61" s="120">
        <f t="shared" ca="1" si="8"/>
        <v>11510</v>
      </c>
      <c r="F61" s="116">
        <f t="shared" ca="1" si="1"/>
        <v>11.51</v>
      </c>
      <c r="G61" s="118">
        <f ca="1">C61/Summary!C$23</f>
        <v>1.8646522824536376</v>
      </c>
      <c r="H61" s="119">
        <f ca="1">H60+('Dev Plan (Wind)'!C60/Summary!C$23)*Summary!C$27</f>
        <v>19677.453008015851</v>
      </c>
      <c r="I61" s="119">
        <f t="shared" si="9"/>
        <v>2038.3833333333343</v>
      </c>
      <c r="J61" s="119">
        <f t="shared" si="10"/>
        <v>12226.404999999999</v>
      </c>
      <c r="K61" s="119">
        <f t="shared" si="11"/>
        <v>14264.788333333334</v>
      </c>
      <c r="L61" s="122">
        <f ca="1">C60*Summary!C$16*Summary!C$17*24*375*1000*C$11</f>
        <v>109902712500</v>
      </c>
      <c r="M61" s="122">
        <f t="shared" ca="1" si="2"/>
        <v>115103962500</v>
      </c>
      <c r="N61" s="120">
        <f t="shared" ca="1" si="3"/>
        <v>2912</v>
      </c>
      <c r="O61" s="48">
        <f t="shared" ca="1" si="4"/>
        <v>9.6534605077630999</v>
      </c>
      <c r="P61" s="115">
        <f ca="1">C61*Summary!$C$16</f>
        <v>653560.625</v>
      </c>
      <c r="Q61" s="115">
        <f ca="1">P61*Summary!$C$17</f>
        <v>261424.25</v>
      </c>
      <c r="R61" s="48">
        <f ca="1">Q61/'Alberta Electricity Profile'!$C$33</f>
        <v>17.541719787962155</v>
      </c>
      <c r="S61" s="235">
        <f ca="1">P61/'Alberta Electricity Profile'!$D$49</f>
        <v>5.0064777506262308</v>
      </c>
      <c r="T61" s="236">
        <f t="shared" si="5"/>
        <v>347.92166666666662</v>
      </c>
      <c r="U61" s="236">
        <f t="shared" ca="1" si="12"/>
        <v>1556.9517118486256</v>
      </c>
      <c r="V61" s="237">
        <f t="shared" ca="1" si="13"/>
        <v>6.3749861527019318</v>
      </c>
      <c r="W61" s="237">
        <f t="shared" ca="1" si="14"/>
        <v>12749.972305403864</v>
      </c>
    </row>
    <row r="62" spans="1:23">
      <c r="A62" s="183"/>
      <c r="B62" s="124">
        <f t="shared" si="6"/>
        <v>42</v>
      </c>
      <c r="C62" s="115">
        <f t="shared" ca="1" si="7"/>
        <v>139869.125</v>
      </c>
      <c r="D62" s="48">
        <f t="shared" ca="1" si="0"/>
        <v>1.4606482289559117</v>
      </c>
      <c r="E62" s="120">
        <f t="shared" ca="1" si="8"/>
        <v>12284</v>
      </c>
      <c r="F62" s="116">
        <f t="shared" ca="1" si="1"/>
        <v>12.284000000000001</v>
      </c>
      <c r="G62" s="118">
        <f ca="1">C62/Summary!C$23</f>
        <v>1.9952799572039943</v>
      </c>
      <c r="H62" s="119">
        <f ca="1">H61+('Dev Plan (Wind)'!C61/Summary!C$23)*Summary!C$27</f>
        <v>21344.028981746338</v>
      </c>
      <c r="I62" s="119">
        <f t="shared" si="9"/>
        <v>2088.1000000000008</v>
      </c>
      <c r="J62" s="119">
        <f t="shared" si="10"/>
        <v>12524.609999999999</v>
      </c>
      <c r="K62" s="119">
        <f t="shared" si="11"/>
        <v>14612.71</v>
      </c>
      <c r="L62" s="122">
        <f ca="1">C61*Summary!C$16*Summary!C$17*24*375*1000*C$11</f>
        <v>117640912500</v>
      </c>
      <c r="M62" s="122">
        <f t="shared" ca="1" si="2"/>
        <v>122842162500</v>
      </c>
      <c r="N62" s="120">
        <f t="shared" ca="1" si="3"/>
        <v>3127</v>
      </c>
      <c r="O62" s="48">
        <f t="shared" ca="1" si="4"/>
        <v>10.221746555120124</v>
      </c>
      <c r="P62" s="115">
        <f ca="1">C62*Summary!$C$16</f>
        <v>699345.625</v>
      </c>
      <c r="Q62" s="115">
        <f ca="1">P62*Summary!$C$17</f>
        <v>279738.25</v>
      </c>
      <c r="R62" s="48">
        <f ca="1">Q62/'Alberta Electricity Profile'!$C$33</f>
        <v>18.770599879218949</v>
      </c>
      <c r="S62" s="235">
        <f ca="1">P62/'Alberta Electricity Profile'!$D$49</f>
        <v>5.3572050971710468</v>
      </c>
      <c r="T62" s="236">
        <f t="shared" si="5"/>
        <v>347.92166666666662</v>
      </c>
      <c r="U62" s="236">
        <f t="shared" ca="1" si="12"/>
        <v>1666.575973730487</v>
      </c>
      <c r="V62" s="237">
        <f t="shared" ca="1" si="13"/>
        <v>6.3749861527019283</v>
      </c>
      <c r="W62" s="237">
        <f t="shared" ca="1" si="14"/>
        <v>12749.972305403857</v>
      </c>
    </row>
    <row r="63" spans="1:23">
      <c r="A63" s="183"/>
      <c r="B63" s="124">
        <f t="shared" si="6"/>
        <v>43</v>
      </c>
      <c r="C63" s="115">
        <f t="shared" ca="1" si="7"/>
        <v>149620.125</v>
      </c>
      <c r="D63" s="48">
        <f t="shared" ca="1" si="0"/>
        <v>1.5458810140621786</v>
      </c>
      <c r="E63" s="120">
        <f t="shared" ca="1" si="8"/>
        <v>13108</v>
      </c>
      <c r="F63" s="116">
        <f t="shared" ca="1" si="1"/>
        <v>13.108000000000001</v>
      </c>
      <c r="G63" s="118">
        <f ca="1">C63/Summary!C$23</f>
        <v>2.1343812410841654</v>
      </c>
      <c r="H63" s="119">
        <f ca="1">H62+('Dev Plan (Wind)'!C62/Summary!C$23)*Summary!C$27</f>
        <v>23127.356451877407</v>
      </c>
      <c r="I63" s="119">
        <f t="shared" si="9"/>
        <v>2137.8166666666675</v>
      </c>
      <c r="J63" s="119">
        <f t="shared" si="10"/>
        <v>12822.814999999999</v>
      </c>
      <c r="K63" s="119">
        <f t="shared" si="11"/>
        <v>14960.631666666666</v>
      </c>
      <c r="L63" s="122">
        <f ca="1">C62*Summary!C$16*Summary!C$17*24*375*1000*C$11</f>
        <v>125882212500</v>
      </c>
      <c r="M63" s="122">
        <f t="shared" ca="1" si="2"/>
        <v>131083462500</v>
      </c>
      <c r="N63" s="120">
        <f t="shared" ca="1" si="3"/>
        <v>3357</v>
      </c>
      <c r="O63" s="48">
        <f t="shared" ca="1" si="4"/>
        <v>10.818213185669523</v>
      </c>
      <c r="P63" s="115">
        <f ca="1">C63*Summary!$C$16</f>
        <v>748100.625</v>
      </c>
      <c r="Q63" s="115">
        <f ca="1">P63*Summary!$C$17</f>
        <v>299240.25</v>
      </c>
      <c r="R63" s="48">
        <f ca="1">Q63/'Alberta Electricity Profile'!$C$33</f>
        <v>20.079195464000538</v>
      </c>
      <c r="S63" s="235">
        <f ca="1">P63/'Alberta Electricity Profile'!$D$49</f>
        <v>5.7306835678665271</v>
      </c>
      <c r="T63" s="236">
        <f t="shared" si="5"/>
        <v>347.92166666666662</v>
      </c>
      <c r="U63" s="236">
        <f t="shared" ca="1" si="12"/>
        <v>1783.3274701310693</v>
      </c>
      <c r="V63" s="237">
        <f t="shared" ca="1" si="13"/>
        <v>6.3749861527019247</v>
      </c>
      <c r="W63" s="237">
        <f t="shared" ca="1" si="14"/>
        <v>12749.97230540385</v>
      </c>
    </row>
    <row r="64" spans="1:23">
      <c r="A64" s="183"/>
      <c r="B64" s="124">
        <f t="shared" si="6"/>
        <v>44</v>
      </c>
      <c r="C64" s="115">
        <f t="shared" ca="1" si="7"/>
        <v>160001.125</v>
      </c>
      <c r="D64" s="48">
        <f t="shared" ca="1" si="0"/>
        <v>1.6353608572174121</v>
      </c>
      <c r="E64" s="120">
        <f t="shared" ca="1" si="8"/>
        <v>13985</v>
      </c>
      <c r="F64" s="116">
        <f t="shared" ca="1" si="1"/>
        <v>13.984999999999999</v>
      </c>
      <c r="G64" s="118">
        <f ca="1">C64/Summary!C$23</f>
        <v>2.2824696861626248</v>
      </c>
      <c r="H64" s="119">
        <f ca="1">H63+('Dev Plan (Wind)'!C63/Summary!C$23)*Summary!C$27</f>
        <v>25035.00890195847</v>
      </c>
      <c r="I64" s="119">
        <f t="shared" si="9"/>
        <v>2187.5333333333342</v>
      </c>
      <c r="J64" s="119">
        <f t="shared" si="10"/>
        <v>13121.019999999999</v>
      </c>
      <c r="K64" s="119">
        <f t="shared" si="11"/>
        <v>15308.553333333333</v>
      </c>
      <c r="L64" s="122">
        <f ca="1">C63*Summary!C$16*Summary!C$17*24*375*1000*C$11</f>
        <v>134658112500</v>
      </c>
      <c r="M64" s="122">
        <f t="shared" ca="1" si="2"/>
        <v>139859362500</v>
      </c>
      <c r="N64" s="120">
        <f t="shared" ca="1" si="3"/>
        <v>3604</v>
      </c>
      <c r="O64" s="48">
        <f t="shared" ca="1" si="4"/>
        <v>11.44440110716414</v>
      </c>
      <c r="P64" s="115">
        <f ca="1">C64*Summary!$C$16</f>
        <v>800005.625</v>
      </c>
      <c r="Q64" s="115">
        <f ca="1">P64*Summary!$C$17</f>
        <v>320002.25</v>
      </c>
      <c r="R64" s="48">
        <f ca="1">Q64/'Alberta Electricity Profile'!$C$33</f>
        <v>21.472337784338723</v>
      </c>
      <c r="S64" s="235">
        <f ca="1">P64/'Alberta Electricity Profile'!$D$49</f>
        <v>6.1282920187218002</v>
      </c>
      <c r="T64" s="236">
        <f t="shared" si="5"/>
        <v>347.92166666666662</v>
      </c>
      <c r="U64" s="236">
        <f t="shared" ca="1" si="12"/>
        <v>1907.6524500810629</v>
      </c>
      <c r="V64" s="237">
        <f t="shared" ca="1" si="13"/>
        <v>6.3749861527019274</v>
      </c>
      <c r="W64" s="237">
        <f t="shared" ca="1" si="14"/>
        <v>12749.972305403855</v>
      </c>
    </row>
    <row r="65" spans="1:23">
      <c r="A65" s="183"/>
      <c r="B65" s="124">
        <f t="shared" si="6"/>
        <v>45</v>
      </c>
      <c r="C65" s="115">
        <f t="shared" ca="1" si="7"/>
        <v>171053.125</v>
      </c>
      <c r="D65" s="48">
        <f t="shared" ca="1" si="0"/>
        <v>1.7293176666230383</v>
      </c>
      <c r="E65" s="120">
        <f t="shared" ca="1" si="8"/>
        <v>14920</v>
      </c>
      <c r="F65" s="116">
        <f t="shared" ca="1" si="1"/>
        <v>14.92</v>
      </c>
      <c r="G65" s="118">
        <f ca="1">C65/Summary!C$23</f>
        <v>2.4401301711840229</v>
      </c>
      <c r="H65" s="119">
        <f ca="1">H64+('Dev Plan (Wind)'!C64/Summary!C$23)*Summary!C$27</f>
        <v>27075.018814541931</v>
      </c>
      <c r="I65" s="119">
        <f t="shared" si="9"/>
        <v>2237.2500000000009</v>
      </c>
      <c r="J65" s="119">
        <f t="shared" si="10"/>
        <v>13419.224999999999</v>
      </c>
      <c r="K65" s="119">
        <f t="shared" si="11"/>
        <v>15656.474999999999</v>
      </c>
      <c r="L65" s="122">
        <f ca="1">C64*Summary!C$16*Summary!C$17*24*375*1000*C$11</f>
        <v>144001012500</v>
      </c>
      <c r="M65" s="122">
        <f t="shared" ca="1" si="2"/>
        <v>149202262500</v>
      </c>
      <c r="N65" s="120">
        <f t="shared" ca="1" si="3"/>
        <v>3868</v>
      </c>
      <c r="O65" s="48">
        <f t="shared" ca="1" si="4"/>
        <v>12.101919237698924</v>
      </c>
      <c r="P65" s="115">
        <f ca="1">C65*Summary!$C$16</f>
        <v>855265.625</v>
      </c>
      <c r="Q65" s="115">
        <f ca="1">P65*Summary!$C$17</f>
        <v>342106.25</v>
      </c>
      <c r="R65" s="48">
        <f ca="1">Q65/'Alberta Electricity Profile'!$C$33</f>
        <v>22.955529088103066</v>
      </c>
      <c r="S65" s="235">
        <f ca="1">P65/'Alberta Electricity Profile'!$D$49</f>
        <v>6.5516008135250452</v>
      </c>
      <c r="T65" s="236">
        <f t="shared" si="5"/>
        <v>347.92166666666662</v>
      </c>
      <c r="U65" s="236">
        <f t="shared" ca="1" si="12"/>
        <v>2040.0099125834604</v>
      </c>
      <c r="V65" s="237">
        <f t="shared" ca="1" si="13"/>
        <v>6.3749861527019274</v>
      </c>
      <c r="W65" s="237">
        <f t="shared" ca="1" si="14"/>
        <v>12749.972305403855</v>
      </c>
    </row>
    <row r="66" spans="1:23">
      <c r="A66" s="183"/>
      <c r="B66" s="124">
        <f t="shared" si="6"/>
        <v>46</v>
      </c>
      <c r="C66" s="115">
        <f t="shared" ca="1" si="7"/>
        <v>182817.125</v>
      </c>
      <c r="D66" s="48">
        <f t="shared" ca="1" si="0"/>
        <v>1.8279940212915273</v>
      </c>
      <c r="E66" s="120">
        <f t="shared" ca="1" si="8"/>
        <v>15914</v>
      </c>
      <c r="F66" s="116">
        <f t="shared" ca="1" si="1"/>
        <v>15.914</v>
      </c>
      <c r="G66" s="118">
        <f ca="1">C66/Summary!C$23</f>
        <v>2.6079475748930099</v>
      </c>
      <c r="H66" s="119">
        <f ca="1">H65+('Dev Plan (Wind)'!C65/Summary!C$23)*Summary!C$27</f>
        <v>29255.941421044714</v>
      </c>
      <c r="I66" s="119">
        <f t="shared" si="9"/>
        <v>2286.9666666666676</v>
      </c>
      <c r="J66" s="119">
        <f t="shared" si="10"/>
        <v>13717.429999999998</v>
      </c>
      <c r="K66" s="119">
        <f t="shared" si="11"/>
        <v>16004.396666666666</v>
      </c>
      <c r="L66" s="122">
        <f ca="1">C65*Summary!C$16*Summary!C$17*24*375*1000*C$11</f>
        <v>153947812500</v>
      </c>
      <c r="M66" s="122">
        <f t="shared" ca="1" si="2"/>
        <v>159149062500</v>
      </c>
      <c r="N66" s="120">
        <f t="shared" ca="1" si="3"/>
        <v>4150</v>
      </c>
      <c r="O66" s="48">
        <f t="shared" ca="1" si="4"/>
        <v>12.792465166834395</v>
      </c>
      <c r="P66" s="115">
        <f ca="1">C66*Summary!$C$16</f>
        <v>914085.625</v>
      </c>
      <c r="Q66" s="115">
        <f ca="1">P66*Summary!$C$17</f>
        <v>365634.25</v>
      </c>
      <c r="R66" s="48">
        <f ca="1">Q66/'Alberta Electricity Profile'!$C$33</f>
        <v>24.534271623163121</v>
      </c>
      <c r="S66" s="235">
        <f ca="1">P66/'Alberta Electricity Profile'!$D$49</f>
        <v>7.0021803160644387</v>
      </c>
      <c r="T66" s="236">
        <f t="shared" si="5"/>
        <v>347.92166666666662</v>
      </c>
      <c r="U66" s="236">
        <f t="shared" ca="1" si="12"/>
        <v>2180.9226065027833</v>
      </c>
      <c r="V66" s="237">
        <f t="shared" ca="1" si="13"/>
        <v>6.3749861527019256</v>
      </c>
      <c r="W66" s="237">
        <f t="shared" ca="1" si="14"/>
        <v>12749.972305403851</v>
      </c>
    </row>
    <row r="67" spans="1:23">
      <c r="A67" s="183"/>
      <c r="B67" s="124">
        <f t="shared" si="6"/>
        <v>47</v>
      </c>
      <c r="C67" s="115">
        <f t="shared" ca="1" si="7"/>
        <v>195339.125</v>
      </c>
      <c r="D67" s="48">
        <f t="shared" ca="1" si="0"/>
        <v>1.9316438230877724</v>
      </c>
      <c r="E67" s="120">
        <f t="shared" ca="1" si="8"/>
        <v>16973</v>
      </c>
      <c r="F67" s="116">
        <f t="shared" ca="1" si="1"/>
        <v>16.972999999999999</v>
      </c>
      <c r="G67" s="118">
        <f ca="1">C67/Summary!C$23</f>
        <v>2.7865781027104135</v>
      </c>
      <c r="H67" s="119">
        <f ca="1">H66+('Dev Plan (Wind)'!C66/Summary!C$23)*Summary!C$27</f>
        <v>31586.854701748271</v>
      </c>
      <c r="I67" s="119">
        <f t="shared" si="9"/>
        <v>2336.6833333333343</v>
      </c>
      <c r="J67" s="119">
        <f t="shared" si="10"/>
        <v>14015.634999999998</v>
      </c>
      <c r="K67" s="119">
        <f t="shared" si="11"/>
        <v>16352.318333333333</v>
      </c>
      <c r="L67" s="122">
        <f ca="1">C66*Summary!C$16*Summary!C$17*24*375*1000*C$11</f>
        <v>164535412500</v>
      </c>
      <c r="M67" s="122">
        <f t="shared" ca="1" si="2"/>
        <v>169736662500</v>
      </c>
      <c r="N67" s="120">
        <f t="shared" ca="1" si="3"/>
        <v>4451</v>
      </c>
      <c r="O67" s="48">
        <f t="shared" ca="1" si="4"/>
        <v>13.517815722462004</v>
      </c>
      <c r="P67" s="115">
        <f ca="1">C67*Summary!$C$16</f>
        <v>976695.625</v>
      </c>
      <c r="Q67" s="115">
        <f ca="1">P67*Summary!$C$17</f>
        <v>390678.25</v>
      </c>
      <c r="R67" s="48">
        <f ca="1">Q67/'Alberta Electricity Profile'!$C$33</f>
        <v>26.214738643226195</v>
      </c>
      <c r="S67" s="235">
        <f ca="1">P67/'Alberta Electricity Profile'!$D$49</f>
        <v>7.4817923979072027</v>
      </c>
      <c r="T67" s="236">
        <f t="shared" si="5"/>
        <v>347.92166666666662</v>
      </c>
      <c r="U67" s="236">
        <f t="shared" ca="1" si="12"/>
        <v>2330.9132807035567</v>
      </c>
      <c r="V67" s="237">
        <f t="shared" ca="1" si="13"/>
        <v>6.3749861527019327</v>
      </c>
      <c r="W67" s="237">
        <f t="shared" ca="1" si="14"/>
        <v>12749.972305403866</v>
      </c>
    </row>
    <row r="68" spans="1:23">
      <c r="A68" s="183"/>
      <c r="B68" s="124">
        <f t="shared" si="6"/>
        <v>48</v>
      </c>
      <c r="C68" s="115">
        <f t="shared" ca="1" si="7"/>
        <v>208665.125</v>
      </c>
      <c r="D68" s="48">
        <f t="shared" ca="1" si="0"/>
        <v>2.0405349345674133</v>
      </c>
      <c r="E68" s="120">
        <f t="shared" ca="1" si="8"/>
        <v>18100</v>
      </c>
      <c r="F68" s="116">
        <f t="shared" ca="1" si="1"/>
        <v>18.100000000000001</v>
      </c>
      <c r="G68" s="118">
        <f ca="1">C68/Summary!C$23</f>
        <v>2.9766779600570614</v>
      </c>
      <c r="H68" s="119">
        <f ca="1">H67+('Dev Plan (Wind)'!C67/Summary!C$23)*Summary!C$27</f>
        <v>34077.423135660094</v>
      </c>
      <c r="I68" s="119">
        <f t="shared" si="9"/>
        <v>2386.400000000001</v>
      </c>
      <c r="J68" s="119">
        <f t="shared" si="10"/>
        <v>14313.839999999998</v>
      </c>
      <c r="K68" s="119">
        <f t="shared" si="11"/>
        <v>16700.239999999998</v>
      </c>
      <c r="L68" s="122">
        <f ca="1">C67*Summary!C$16*Summary!C$17*24*375*1000*C$11</f>
        <v>175805212500</v>
      </c>
      <c r="M68" s="122">
        <f t="shared" ca="1" si="2"/>
        <v>181006462500</v>
      </c>
      <c r="N68" s="120">
        <f t="shared" ca="1" si="3"/>
        <v>4774</v>
      </c>
      <c r="O68" s="48">
        <f t="shared" ca="1" si="4"/>
        <v>14.279845430631948</v>
      </c>
      <c r="P68" s="115">
        <f ca="1">C68*Summary!$C$16</f>
        <v>1043325.625</v>
      </c>
      <c r="Q68" s="115">
        <f ca="1">P68*Summary!$C$17</f>
        <v>417330.25</v>
      </c>
      <c r="R68" s="48">
        <f ca="1">Q68/'Alberta Electricity Profile'!$C$33</f>
        <v>28.003103401999596</v>
      </c>
      <c r="S68" s="235">
        <f ca="1">P68/'Alberta Electricity Profile'!$D$49</f>
        <v>7.9921989306205621</v>
      </c>
      <c r="T68" s="236">
        <f t="shared" si="5"/>
        <v>347.92166666666662</v>
      </c>
      <c r="U68" s="236">
        <f t="shared" ca="1" si="12"/>
        <v>2490.5684339118234</v>
      </c>
      <c r="V68" s="237">
        <f t="shared" ca="1" si="13"/>
        <v>6.3749861527019318</v>
      </c>
      <c r="W68" s="237">
        <f t="shared" ca="1" si="14"/>
        <v>12749.972305403864</v>
      </c>
    </row>
    <row r="69" spans="1:23">
      <c r="A69" s="183"/>
      <c r="B69" s="124">
        <f t="shared" si="6"/>
        <v>49</v>
      </c>
      <c r="C69" s="115">
        <f t="shared" ca="1" si="7"/>
        <v>222846.125</v>
      </c>
      <c r="D69" s="48">
        <f t="shared" ca="1" si="0"/>
        <v>2.154947754416555</v>
      </c>
      <c r="E69" s="120">
        <f t="shared" ca="1" si="8"/>
        <v>19299</v>
      </c>
      <c r="F69" s="116">
        <f t="shared" ca="1" si="1"/>
        <v>19.298999999999999</v>
      </c>
      <c r="G69" s="118">
        <f ca="1">C69/Summary!C$23</f>
        <v>3.1789746790299573</v>
      </c>
      <c r="H69" s="119">
        <f ca="1">H68+('Dev Plan (Wind)'!C68/Summary!C$23)*Summary!C$27</f>
        <v>36737.897700513728</v>
      </c>
      <c r="I69" s="119">
        <f t="shared" si="9"/>
        <v>2436.1166666666677</v>
      </c>
      <c r="J69" s="119">
        <f t="shared" si="10"/>
        <v>14612.044999999998</v>
      </c>
      <c r="K69" s="119">
        <f t="shared" si="11"/>
        <v>17048.161666666667</v>
      </c>
      <c r="L69" s="122">
        <f ca="1">C68*Summary!C$16*Summary!C$17*24*375*1000*C$11</f>
        <v>187798612500</v>
      </c>
      <c r="M69" s="122">
        <f t="shared" ca="1" si="2"/>
        <v>192999862500</v>
      </c>
      <c r="N69" s="120">
        <f t="shared" ca="1" si="3"/>
        <v>5118</v>
      </c>
      <c r="O69" s="48">
        <f t="shared" ca="1" si="4"/>
        <v>15.0805165463533</v>
      </c>
      <c r="P69" s="115">
        <f ca="1">C69*Summary!$C$16</f>
        <v>1114230.625</v>
      </c>
      <c r="Q69" s="115">
        <f ca="1">P69*Summary!$C$17</f>
        <v>445692.25</v>
      </c>
      <c r="R69" s="48">
        <f ca="1">Q69/'Alberta Electricity Profile'!$C$33</f>
        <v>29.906210159028383</v>
      </c>
      <c r="S69" s="235">
        <f ca="1">P69/'Alberta Electricity Profile'!$D$49</f>
        <v>8.5353532935507843</v>
      </c>
      <c r="T69" s="236">
        <f t="shared" si="5"/>
        <v>347.92166666666662</v>
      </c>
      <c r="U69" s="236">
        <f t="shared" ca="1" si="12"/>
        <v>2660.4745648536336</v>
      </c>
      <c r="V69" s="237">
        <f t="shared" ca="1" si="13"/>
        <v>6.3749861527019274</v>
      </c>
      <c r="W69" s="237">
        <f t="shared" ca="1" si="14"/>
        <v>12749.972305403855</v>
      </c>
    </row>
    <row r="70" spans="1:23">
      <c r="A70" s="183"/>
      <c r="B70" s="124">
        <f t="shared" si="6"/>
        <v>50</v>
      </c>
      <c r="C70" s="115">
        <f t="shared" ca="1" si="7"/>
        <v>237937.125</v>
      </c>
      <c r="D70" s="48">
        <f t="shared" ca="1" si="0"/>
        <v>2.2751776284487581</v>
      </c>
      <c r="E70" s="120">
        <f t="shared" ca="1" si="8"/>
        <v>20576</v>
      </c>
      <c r="F70" s="116">
        <f t="shared" ca="1" si="1"/>
        <v>20.576000000000001</v>
      </c>
      <c r="G70" s="118">
        <f ca="1">C70/Summary!C$23</f>
        <v>3.394252853067047</v>
      </c>
      <c r="H70" s="119">
        <f ca="1">H69+('Dev Plan (Wind)'!C69/Summary!C$23)*Summary!C$27</f>
        <v>39579.179622630298</v>
      </c>
      <c r="I70" s="119">
        <f t="shared" si="9"/>
        <v>2485.8333333333344</v>
      </c>
      <c r="J70" s="119">
        <f t="shared" si="10"/>
        <v>14910.249999999998</v>
      </c>
      <c r="K70" s="119">
        <f t="shared" si="11"/>
        <v>17396.083333333332</v>
      </c>
      <c r="L70" s="122">
        <f ca="1">C69*Summary!C$16*Summary!C$17*24*375*1000*C$11</f>
        <v>200561512500</v>
      </c>
      <c r="M70" s="122">
        <f t="shared" ca="1" si="2"/>
        <v>205762762500</v>
      </c>
      <c r="N70" s="120">
        <f t="shared" ca="1" si="3"/>
        <v>5485</v>
      </c>
      <c r="O70" s="48">
        <f t="shared" ca="1" si="4"/>
        <v>15.92189592596592</v>
      </c>
      <c r="P70" s="115">
        <f ca="1">C70*Summary!$C$16</f>
        <v>1189685.625</v>
      </c>
      <c r="Q70" s="115">
        <f ca="1">P70*Summary!$C$17</f>
        <v>475874.25</v>
      </c>
      <c r="R70" s="48">
        <f ca="1">Q70/'Alberta Electricity Profile'!$C$33</f>
        <v>31.931439978527813</v>
      </c>
      <c r="S70" s="235">
        <f ca="1">P70/'Alberta Electricity Profile'!$D$49</f>
        <v>9.1133620722673747</v>
      </c>
      <c r="T70" s="236">
        <f t="shared" si="5"/>
        <v>347.92166666666662</v>
      </c>
      <c r="U70" s="236">
        <f t="shared" ca="1" si="12"/>
        <v>2841.2819221165701</v>
      </c>
      <c r="V70" s="237">
        <f t="shared" ca="1" si="13"/>
        <v>6.3749861527019371</v>
      </c>
      <c r="W70" s="237">
        <f t="shared" ca="1" si="14"/>
        <v>12749.972305403875</v>
      </c>
    </row>
    <row r="71" spans="1:23">
      <c r="A71" s="183"/>
      <c r="B71" s="124">
        <f t="shared" si="6"/>
        <v>51</v>
      </c>
      <c r="C71" s="115">
        <f t="shared" ca="1" si="7"/>
        <v>253994.125</v>
      </c>
      <c r="D71" s="48">
        <f t="shared" ca="1" si="0"/>
        <v>2.4015362584043296</v>
      </c>
      <c r="E71" s="120">
        <f t="shared" ca="1" si="8"/>
        <v>21934</v>
      </c>
      <c r="F71" s="116">
        <f t="shared" ca="1" si="1"/>
        <v>21.934000000000001</v>
      </c>
      <c r="G71" s="118">
        <f ca="1">C71/Summary!C$23</f>
        <v>3.6233113409415121</v>
      </c>
      <c r="H71" s="119">
        <f ca="1">H70+('Dev Plan (Wind)'!C70/Summary!C$23)*Summary!C$27</f>
        <v>42612.871376807714</v>
      </c>
      <c r="I71" s="119">
        <f t="shared" si="9"/>
        <v>2535.5500000000011</v>
      </c>
      <c r="J71" s="119">
        <f t="shared" si="10"/>
        <v>15208.454999999998</v>
      </c>
      <c r="K71" s="119">
        <f t="shared" si="11"/>
        <v>17744.004999999997</v>
      </c>
      <c r="L71" s="122">
        <f ca="1">C70*Summary!C$16*Summary!C$17*24*375*1000*C$11</f>
        <v>214143412500</v>
      </c>
      <c r="M71" s="122">
        <f t="shared" ca="1" si="2"/>
        <v>219344662500</v>
      </c>
      <c r="N71" s="120">
        <f t="shared" ca="1" si="3"/>
        <v>5877</v>
      </c>
      <c r="O71" s="48">
        <f t="shared" ca="1" si="4"/>
        <v>16.80616488604354</v>
      </c>
      <c r="P71" s="115">
        <f ca="1">C71*Summary!$C$16</f>
        <v>1269970.625</v>
      </c>
      <c r="Q71" s="115">
        <f ca="1">P71*Summary!$C$17</f>
        <v>507988.25</v>
      </c>
      <c r="R71" s="48">
        <f ca="1">Q71/'Alberta Electricity Profile'!$C$33</f>
        <v>34.086308125880699</v>
      </c>
      <c r="S71" s="235">
        <f ca="1">P71/'Alberta Electricity Profile'!$D$49</f>
        <v>9.7283701538956517</v>
      </c>
      <c r="T71" s="236">
        <f t="shared" si="5"/>
        <v>347.92166666666662</v>
      </c>
      <c r="U71" s="236">
        <f t="shared" ca="1" si="12"/>
        <v>3033.6917541774164</v>
      </c>
      <c r="V71" s="237">
        <f t="shared" ca="1" si="13"/>
        <v>6.37498615270193</v>
      </c>
      <c r="W71" s="237">
        <f t="shared" ca="1" si="14"/>
        <v>12749.97230540386</v>
      </c>
    </row>
    <row r="72" spans="1:23">
      <c r="A72" s="183"/>
      <c r="B72" s="124">
        <f t="shared" si="6"/>
        <v>52</v>
      </c>
      <c r="C72" s="115">
        <f t="shared" ca="1" si="7"/>
        <v>271077.125</v>
      </c>
      <c r="D72" s="48">
        <f t="shared" ca="1" si="0"/>
        <v>2.5343508339977614</v>
      </c>
      <c r="E72" s="120">
        <f t="shared" ca="1" si="8"/>
        <v>23379</v>
      </c>
      <c r="F72" s="116">
        <f t="shared" ca="1" si="1"/>
        <v>23.379000000000001</v>
      </c>
      <c r="G72" s="118">
        <f ca="1">C72/Summary!C$23</f>
        <v>3.8670060627674752</v>
      </c>
      <c r="H72" s="119">
        <f ca="1">H71+('Dev Plan (Wind)'!C71/Summary!C$23)*Summary!C$27</f>
        <v>45851.289436293002</v>
      </c>
      <c r="I72" s="119">
        <f t="shared" si="9"/>
        <v>2585.2666666666678</v>
      </c>
      <c r="J72" s="119">
        <f t="shared" si="10"/>
        <v>15506.659999999998</v>
      </c>
      <c r="K72" s="119">
        <f t="shared" si="11"/>
        <v>18091.926666666666</v>
      </c>
      <c r="L72" s="122">
        <f ca="1">C71*Summary!C$16*Summary!C$17*24*375*1000*C$11</f>
        <v>228594712500</v>
      </c>
      <c r="M72" s="122">
        <f t="shared" ca="1" si="2"/>
        <v>233795962500</v>
      </c>
      <c r="N72" s="120">
        <f t="shared" ca="1" si="3"/>
        <v>6296</v>
      </c>
      <c r="O72" s="48">
        <f t="shared" ca="1" si="4"/>
        <v>17.735613129384326</v>
      </c>
      <c r="P72" s="115">
        <f ca="1">C72*Summary!$C$16</f>
        <v>1355385.625</v>
      </c>
      <c r="Q72" s="115">
        <f ca="1">P72*Summary!$C$17</f>
        <v>542154.25</v>
      </c>
      <c r="R72" s="48">
        <f ca="1">Q72/'Alberta Electricity Profile'!$C$33</f>
        <v>36.378866671140038</v>
      </c>
      <c r="S72" s="235">
        <f ca="1">P72/'Alberta Electricity Profile'!$D$49</f>
        <v>10.382675631784164</v>
      </c>
      <c r="T72" s="236">
        <f t="shared" si="5"/>
        <v>347.92166666666662</v>
      </c>
      <c r="U72" s="236">
        <f t="shared" ca="1" si="12"/>
        <v>3238.4180594852878</v>
      </c>
      <c r="V72" s="237">
        <f t="shared" ca="1" si="13"/>
        <v>6.3749861527019336</v>
      </c>
      <c r="W72" s="237">
        <f t="shared" ca="1" si="14"/>
        <v>12749.972305403868</v>
      </c>
    </row>
    <row r="73" spans="1:23">
      <c r="A73" s="183"/>
      <c r="B73" s="124">
        <f t="shared" si="6"/>
        <v>53</v>
      </c>
      <c r="C73" s="115">
        <f t="shared" ca="1" si="7"/>
        <v>289252.125</v>
      </c>
      <c r="D73" s="48">
        <f t="shared" ca="1" si="0"/>
        <v>2.6739653375315093</v>
      </c>
      <c r="E73" s="120">
        <f t="shared" ca="1" si="8"/>
        <v>24917</v>
      </c>
      <c r="F73" s="116">
        <f t="shared" ca="1" si="1"/>
        <v>24.917000000000002</v>
      </c>
      <c r="G73" s="118">
        <f ca="1">C73/Summary!C$23</f>
        <v>4.1262785306704703</v>
      </c>
      <c r="H73" s="119">
        <f ca="1">H72+('Dev Plan (Wind)'!C72/Summary!C$23)*Summary!C$27</f>
        <v>49307.515272671502</v>
      </c>
      <c r="I73" s="119">
        <f t="shared" si="9"/>
        <v>2634.9833333333345</v>
      </c>
      <c r="J73" s="119">
        <f t="shared" si="10"/>
        <v>15804.864999999998</v>
      </c>
      <c r="K73" s="119">
        <f t="shared" si="11"/>
        <v>18439.848333333332</v>
      </c>
      <c r="L73" s="122">
        <f ca="1">C72*Summary!C$16*Summary!C$17*24*375*1000*C$11</f>
        <v>243969412500</v>
      </c>
      <c r="M73" s="122">
        <f t="shared" ca="1" si="2"/>
        <v>249170662500</v>
      </c>
      <c r="N73" s="120">
        <f t="shared" ca="1" si="3"/>
        <v>6742</v>
      </c>
      <c r="O73" s="48">
        <f t="shared" ca="1" si="4"/>
        <v>18.712647874814444</v>
      </c>
      <c r="P73" s="115">
        <f ca="1">C73*Summary!$C$16</f>
        <v>1446260.625</v>
      </c>
      <c r="Q73" s="115">
        <f ca="1">P73*Summary!$C$17</f>
        <v>578504.25</v>
      </c>
      <c r="R73" s="48">
        <f ca="1">Q73/'Alberta Electricity Profile'!$C$33</f>
        <v>38.817972891364157</v>
      </c>
      <c r="S73" s="235">
        <f ca="1">P73/'Alberta Electricity Profile'!$D$49</f>
        <v>11.078806408616318</v>
      </c>
      <c r="T73" s="236">
        <f t="shared" si="5"/>
        <v>347.92166666666662</v>
      </c>
      <c r="U73" s="236">
        <f t="shared" ca="1" si="12"/>
        <v>3456.2258363785004</v>
      </c>
      <c r="V73" s="237">
        <f t="shared" ca="1" si="13"/>
        <v>6.37498615270193</v>
      </c>
      <c r="W73" s="237">
        <f t="shared" ca="1" si="14"/>
        <v>12749.97230540386</v>
      </c>
    </row>
    <row r="74" spans="1:23">
      <c r="A74" s="183"/>
      <c r="B74" s="124">
        <f t="shared" si="6"/>
        <v>54</v>
      </c>
      <c r="C74" s="115">
        <f t="shared" ca="1" si="7"/>
        <v>308587.125</v>
      </c>
      <c r="D74" s="48">
        <f t="shared" ca="1" si="0"/>
        <v>2.8207430608156643</v>
      </c>
      <c r="E74" s="120">
        <f t="shared" ca="1" si="8"/>
        <v>26552</v>
      </c>
      <c r="F74" s="116">
        <f t="shared" ca="1" si="1"/>
        <v>26.552</v>
      </c>
      <c r="G74" s="118">
        <f ca="1">C74/Summary!C$23</f>
        <v>4.402098787446505</v>
      </c>
      <c r="H74" s="119">
        <f ca="1">H73+('Dev Plan (Wind)'!C73/Summary!C$23)*Summary!C$27</f>
        <v>52995.471855700715</v>
      </c>
      <c r="I74" s="119">
        <f t="shared" si="9"/>
        <v>2684.7000000000012</v>
      </c>
      <c r="J74" s="119">
        <f t="shared" si="10"/>
        <v>16103.069999999998</v>
      </c>
      <c r="K74" s="119">
        <f t="shared" si="11"/>
        <v>18787.77</v>
      </c>
      <c r="L74" s="122">
        <f ca="1">C73*Summary!C$16*Summary!C$17*24*375*1000*C$11</f>
        <v>260326912500</v>
      </c>
      <c r="M74" s="122">
        <f t="shared" ca="1" si="2"/>
        <v>265528162500</v>
      </c>
      <c r="N74" s="120">
        <f t="shared" ca="1" si="3"/>
        <v>7217</v>
      </c>
      <c r="O74" s="48">
        <f t="shared" ca="1" si="4"/>
        <v>19.739811470816363</v>
      </c>
      <c r="P74" s="115">
        <f ca="1">C74*Summary!$C$16</f>
        <v>1542935.625</v>
      </c>
      <c r="Q74" s="115">
        <f ca="1">P74*Summary!$C$17</f>
        <v>617174.25</v>
      </c>
      <c r="R74" s="48">
        <f ca="1">Q74/'Alberta Electricity Profile'!$C$33</f>
        <v>41.412752465946454</v>
      </c>
      <c r="S74" s="235">
        <f ca="1">P74/'Alberta Electricity Profile'!$D$49</f>
        <v>11.819366990187142</v>
      </c>
      <c r="T74" s="236">
        <f t="shared" si="5"/>
        <v>347.92166666666662</v>
      </c>
      <c r="U74" s="236">
        <f t="shared" ca="1" si="12"/>
        <v>3687.9565830292122</v>
      </c>
      <c r="V74" s="237">
        <f t="shared" ca="1" si="13"/>
        <v>6.3749861527019238</v>
      </c>
      <c r="W74" s="237">
        <f t="shared" ca="1" si="14"/>
        <v>12749.972305403848</v>
      </c>
    </row>
    <row r="75" spans="1:23">
      <c r="A75" s="183"/>
      <c r="B75" s="124">
        <f t="shared" si="6"/>
        <v>55</v>
      </c>
      <c r="C75" s="115">
        <f t="shared" ca="1" si="7"/>
        <v>329156.125</v>
      </c>
      <c r="D75" s="48">
        <f t="shared" ca="1" si="0"/>
        <v>2.9750661823436353</v>
      </c>
      <c r="E75" s="120">
        <f t="shared" ca="1" si="8"/>
        <v>28292</v>
      </c>
      <c r="F75" s="116">
        <f t="shared" ca="1" si="1"/>
        <v>28.292000000000002</v>
      </c>
      <c r="G75" s="118">
        <f ca="1">C75/Summary!C$23</f>
        <v>4.6955224679029959</v>
      </c>
      <c r="H75" s="119">
        <f ca="1">H74+('Dev Plan (Wind)'!C74/Summary!C$23)*Summary!C$27</f>
        <v>56929.949153254915</v>
      </c>
      <c r="I75" s="119">
        <f t="shared" si="9"/>
        <v>2734.4166666666679</v>
      </c>
      <c r="J75" s="119">
        <f t="shared" si="10"/>
        <v>16401.274999999998</v>
      </c>
      <c r="K75" s="119">
        <f t="shared" si="11"/>
        <v>19135.691666666666</v>
      </c>
      <c r="L75" s="122">
        <f ca="1">C74*Summary!C$16*Summary!C$17*24*375*1000*C$11</f>
        <v>277728412500</v>
      </c>
      <c r="M75" s="122">
        <f t="shared" ca="1" si="2"/>
        <v>282929662500</v>
      </c>
      <c r="N75" s="120">
        <f t="shared" ca="1" si="3"/>
        <v>7723</v>
      </c>
      <c r="O75" s="48">
        <f t="shared" ca="1" si="4"/>
        <v>20.819778436566565</v>
      </c>
      <c r="P75" s="115">
        <f ca="1">C75*Summary!$C$16</f>
        <v>1645780.625</v>
      </c>
      <c r="Q75" s="115">
        <f ca="1">P75*Summary!$C$17</f>
        <v>658312.25</v>
      </c>
      <c r="R75" s="48">
        <f ca="1">Q75/'Alberta Electricity Profile'!$C$33</f>
        <v>44.17313628128565</v>
      </c>
      <c r="S75" s="235">
        <f ca="1">P75/'Alberta Electricity Profile'!$D$49</f>
        <v>12.607191691626515</v>
      </c>
      <c r="T75" s="236">
        <f t="shared" si="5"/>
        <v>347.92166666666662</v>
      </c>
      <c r="U75" s="236">
        <f t="shared" ca="1" si="12"/>
        <v>3934.4772975542</v>
      </c>
      <c r="V75" s="237">
        <f t="shared" ca="1" si="13"/>
        <v>6.3749861527019318</v>
      </c>
      <c r="W75" s="237">
        <f t="shared" ca="1" si="14"/>
        <v>12749.972305403864</v>
      </c>
    </row>
    <row r="76" spans="1:23">
      <c r="A76" s="183"/>
      <c r="B76" s="124">
        <f t="shared" si="6"/>
        <v>56</v>
      </c>
      <c r="C76" s="115">
        <f t="shared" ca="1" si="7"/>
        <v>351038.125</v>
      </c>
      <c r="D76" s="48">
        <f t="shared" ca="1" si="0"/>
        <v>3.1373380073490287</v>
      </c>
      <c r="E76" s="120">
        <f t="shared" ca="1" si="8"/>
        <v>30144</v>
      </c>
      <c r="F76" s="116">
        <f t="shared" ca="1" si="1"/>
        <v>30.143999999999998</v>
      </c>
      <c r="G76" s="118">
        <f ca="1">C76/Summary!C$23</f>
        <v>5.0076765335235374</v>
      </c>
      <c r="H76" s="119">
        <f ca="1">H75+('Dev Plan (Wind)'!C75/Summary!C$23)*Summary!C$27</f>
        <v>61126.680631158968</v>
      </c>
      <c r="I76" s="119">
        <f t="shared" si="9"/>
        <v>2784.1333333333346</v>
      </c>
      <c r="J76" s="119">
        <f t="shared" si="10"/>
        <v>16699.48</v>
      </c>
      <c r="K76" s="119">
        <f t="shared" si="11"/>
        <v>19483.613333333335</v>
      </c>
      <c r="L76" s="122">
        <f ca="1">C75*Summary!C$16*Summary!C$17*24*375*1000*C$11</f>
        <v>296240512500</v>
      </c>
      <c r="M76" s="122">
        <f t="shared" ca="1" si="2"/>
        <v>301441762500</v>
      </c>
      <c r="N76" s="120">
        <f t="shared" ca="1" si="3"/>
        <v>8262</v>
      </c>
      <c r="O76" s="48">
        <f t="shared" ca="1" si="4"/>
        <v>21.955371138053351</v>
      </c>
      <c r="P76" s="115">
        <f ca="1">C76*Summary!$C$16</f>
        <v>1755190.625</v>
      </c>
      <c r="Q76" s="115">
        <f ca="1">P76*Summary!$C$17</f>
        <v>702076.25</v>
      </c>
      <c r="R76" s="48">
        <f ca="1">Q76/'Alberta Electricity Profile'!$C$33</f>
        <v>47.109726229618197</v>
      </c>
      <c r="S76" s="235">
        <f ca="1">P76/'Alberta Electricity Profile'!$D$49</f>
        <v>13.445306335843362</v>
      </c>
      <c r="T76" s="236">
        <f t="shared" si="5"/>
        <v>347.92166666666662</v>
      </c>
      <c r="U76" s="236">
        <f t="shared" ca="1" si="12"/>
        <v>4196.7314779040535</v>
      </c>
      <c r="V76" s="237">
        <f t="shared" ca="1" si="13"/>
        <v>6.3749861527019336</v>
      </c>
      <c r="W76" s="237">
        <f t="shared" ca="1" si="14"/>
        <v>12749.972305403868</v>
      </c>
    </row>
    <row r="77" spans="1:23">
      <c r="A77" s="183"/>
      <c r="B77" s="124">
        <f t="shared" si="6"/>
        <v>57</v>
      </c>
      <c r="C77" s="115">
        <f t="shared" ca="1" si="7"/>
        <v>374316.125</v>
      </c>
      <c r="D77" s="48">
        <f t="shared" ca="1" si="0"/>
        <v>3.3079843291530313</v>
      </c>
      <c r="E77" s="120">
        <f t="shared" ca="1" si="8"/>
        <v>32113</v>
      </c>
      <c r="F77" s="116">
        <f t="shared" ca="1" si="1"/>
        <v>32.113</v>
      </c>
      <c r="G77" s="118">
        <f ca="1">C77/Summary!C$23</f>
        <v>5.3397450071326675</v>
      </c>
      <c r="H77" s="119">
        <f ca="1">H76+('Dev Plan (Wind)'!C76/Summary!C$23)*Summary!C$27</f>
        <v>65602.40700304987</v>
      </c>
      <c r="I77" s="119">
        <f t="shared" si="9"/>
        <v>2833.8500000000013</v>
      </c>
      <c r="J77" s="119">
        <f t="shared" si="10"/>
        <v>16997.685000000001</v>
      </c>
      <c r="K77" s="119">
        <f t="shared" si="11"/>
        <v>19831.535000000003</v>
      </c>
      <c r="L77" s="122">
        <f ca="1">C76*Summary!C$16*Summary!C$17*24*375*1000*C$11</f>
        <v>315934312500</v>
      </c>
      <c r="M77" s="122">
        <f t="shared" ca="1" si="2"/>
        <v>321135562500</v>
      </c>
      <c r="N77" s="120">
        <f t="shared" ca="1" si="3"/>
        <v>8835</v>
      </c>
      <c r="O77" s="48">
        <f t="shared" ca="1" si="4"/>
        <v>23.149569314907225</v>
      </c>
      <c r="P77" s="115">
        <f ca="1">C77*Summary!$C$16</f>
        <v>1871580.625</v>
      </c>
      <c r="Q77" s="115">
        <f ca="1">P77*Summary!$C$17</f>
        <v>748632.25</v>
      </c>
      <c r="R77" s="48">
        <f ca="1">Q77/'Alberta Electricity Profile'!$C$33</f>
        <v>50.23366100785077</v>
      </c>
      <c r="S77" s="235">
        <f ca="1">P77/'Alberta Electricity Profile'!$D$49</f>
        <v>14.33688995196985</v>
      </c>
      <c r="T77" s="236">
        <f t="shared" si="5"/>
        <v>347.92166666666662</v>
      </c>
      <c r="U77" s="236">
        <f t="shared" ca="1" si="12"/>
        <v>4475.7263718909016</v>
      </c>
      <c r="V77" s="237">
        <f t="shared" ca="1" si="13"/>
        <v>6.3749861527019345</v>
      </c>
      <c r="W77" s="237">
        <f t="shared" ca="1" si="14"/>
        <v>12749.97230540387</v>
      </c>
    </row>
    <row r="78" spans="1:23">
      <c r="A78" s="183"/>
      <c r="B78" s="124">
        <f t="shared" si="6"/>
        <v>58</v>
      </c>
      <c r="C78" s="115">
        <f t="shared" ca="1" si="7"/>
        <v>399079.125</v>
      </c>
      <c r="D78" s="48">
        <f t="shared" ca="1" si="0"/>
        <v>3.4874540178534339</v>
      </c>
      <c r="E78" s="120">
        <f t="shared" ca="1" si="8"/>
        <v>34208</v>
      </c>
      <c r="F78" s="116">
        <f t="shared" ca="1" si="1"/>
        <v>34.207999999999998</v>
      </c>
      <c r="G78" s="118">
        <f ca="1">C78/Summary!C$23</f>
        <v>5.6929975035663336</v>
      </c>
      <c r="H78" s="119">
        <f ca="1">H77+('Dev Plan (Wind)'!C77/Summary!C$23)*Summary!C$27</f>
        <v>70374.927230265952</v>
      </c>
      <c r="I78" s="119">
        <f t="shared" si="9"/>
        <v>2883.566666666668</v>
      </c>
      <c r="J78" s="119">
        <f t="shared" si="10"/>
        <v>17295.890000000003</v>
      </c>
      <c r="K78" s="119">
        <f t="shared" si="11"/>
        <v>20179.456666666672</v>
      </c>
      <c r="L78" s="122">
        <f ca="1">C77*Summary!C$16*Summary!C$17*24*375*1000*C$11</f>
        <v>336884512500</v>
      </c>
      <c r="M78" s="122">
        <f t="shared" ca="1" si="2"/>
        <v>342085762500</v>
      </c>
      <c r="N78" s="120">
        <f t="shared" ca="1" si="3"/>
        <v>9445</v>
      </c>
      <c r="O78" s="48">
        <f t="shared" ca="1" si="4"/>
        <v>24.405514200099155</v>
      </c>
      <c r="P78" s="115">
        <f ca="1">C78*Summary!$C$16</f>
        <v>1995395.625</v>
      </c>
      <c r="Q78" s="115">
        <f ca="1">P78*Summary!$C$17</f>
        <v>798158.25</v>
      </c>
      <c r="R78" s="48">
        <f ca="1">Q78/'Alberta Electricity Profile'!$C$33</f>
        <v>53.55688451989532</v>
      </c>
      <c r="S78" s="235">
        <f ca="1">P78/'Alberta Electricity Profile'!$D$49</f>
        <v>15.285351378472994</v>
      </c>
      <c r="T78" s="236">
        <f t="shared" si="5"/>
        <v>347.92166666666662</v>
      </c>
      <c r="U78" s="236">
        <f t="shared" ca="1" si="12"/>
        <v>4772.5202272160823</v>
      </c>
      <c r="V78" s="237">
        <f t="shared" ca="1" si="13"/>
        <v>6.3749861527019203</v>
      </c>
      <c r="W78" s="237">
        <f t="shared" ca="1" si="14"/>
        <v>12749.97230540384</v>
      </c>
    </row>
    <row r="79" spans="1:23">
      <c r="A79" s="183"/>
      <c r="B79" s="124">
        <f t="shared" si="6"/>
        <v>59</v>
      </c>
      <c r="C79" s="115">
        <f t="shared" ca="1" si="7"/>
        <v>425424.125</v>
      </c>
      <c r="D79" s="48">
        <f t="shared" ca="1" si="0"/>
        <v>3.6762207913876677</v>
      </c>
      <c r="E79" s="120">
        <f t="shared" ca="1" si="8"/>
        <v>36437</v>
      </c>
      <c r="F79" s="116">
        <f t="shared" ca="1" si="1"/>
        <v>36.436999999999998</v>
      </c>
      <c r="G79" s="118">
        <f ca="1">C79/Summary!C$23</f>
        <v>6.0688177603423679</v>
      </c>
      <c r="H79" s="119">
        <f ca="1">H78+('Dev Plan (Wind)'!C78/Summary!C$23)*Summary!C$27</f>
        <v>75463.175021680756</v>
      </c>
      <c r="I79" s="119">
        <f t="shared" si="9"/>
        <v>2933.2833333333347</v>
      </c>
      <c r="J79" s="119">
        <f t="shared" si="10"/>
        <v>17594.095000000005</v>
      </c>
      <c r="K79" s="119">
        <f t="shared" si="11"/>
        <v>20527.378333333341</v>
      </c>
      <c r="L79" s="122">
        <f ca="1">C78*Summary!C$16*Summary!C$17*24*375*1000*C$11</f>
        <v>359171212500</v>
      </c>
      <c r="M79" s="122">
        <f t="shared" ca="1" si="2"/>
        <v>364372462500</v>
      </c>
      <c r="N79" s="120">
        <f t="shared" ca="1" si="3"/>
        <v>10092</v>
      </c>
      <c r="O79" s="48">
        <f t="shared" ca="1" si="4"/>
        <v>25.726520913997643</v>
      </c>
      <c r="P79" s="115">
        <f ca="1">C79*Summary!$C$16</f>
        <v>2127120.625</v>
      </c>
      <c r="Q79" s="115">
        <f ca="1">P79*Summary!$C$17</f>
        <v>850848.25</v>
      </c>
      <c r="R79" s="48">
        <f ca="1">Q79/'Alberta Electricity Profile'!$C$33</f>
        <v>57.092414279004224</v>
      </c>
      <c r="S79" s="235">
        <f ca="1">P79/'Alberta Electricity Profile'!$D$49</f>
        <v>16.294405866266288</v>
      </c>
      <c r="T79" s="236">
        <f t="shared" si="5"/>
        <v>347.92166666666662</v>
      </c>
      <c r="U79" s="236">
        <f t="shared" ca="1" si="12"/>
        <v>5088.2477914148039</v>
      </c>
      <c r="V79" s="237">
        <f t="shared" ca="1" si="13"/>
        <v>6.3749861527019283</v>
      </c>
      <c r="W79" s="237">
        <f t="shared" ca="1" si="14"/>
        <v>12749.972305403857</v>
      </c>
    </row>
    <row r="80" spans="1:23" ht="15.75" customHeight="1" thickBot="1">
      <c r="A80" s="183"/>
      <c r="B80" s="165">
        <f t="shared" si="6"/>
        <v>60</v>
      </c>
      <c r="C80" s="166">
        <f t="shared" ca="1" si="7"/>
        <v>453452.125</v>
      </c>
      <c r="D80" s="56">
        <f t="shared" ca="1" si="0"/>
        <v>3.8747860310262081</v>
      </c>
      <c r="E80" s="167">
        <f t="shared" ca="1" si="8"/>
        <v>38808</v>
      </c>
      <c r="F80" s="168">
        <f t="shared" ca="1" si="1"/>
        <v>38.808</v>
      </c>
      <c r="G80" s="169">
        <f ca="1">C80/Summary!C$23</f>
        <v>6.4686465763195438</v>
      </c>
      <c r="H80" s="170">
        <f ca="1">H79+('Dev Plan (Wind)'!C79/Summary!C$23)*Summary!C$27</f>
        <v>80887.320833481426</v>
      </c>
      <c r="I80" s="170">
        <f t="shared" si="9"/>
        <v>2983.0000000000014</v>
      </c>
      <c r="J80" s="170">
        <f t="shared" si="10"/>
        <v>17892.300000000007</v>
      </c>
      <c r="K80" s="170">
        <f t="shared" si="11"/>
        <v>20875.300000000007</v>
      </c>
      <c r="L80" s="171">
        <f ca="1">C79*Summary!C$16*Summary!C$17*24*375*1000*C$11</f>
        <v>382881712500</v>
      </c>
      <c r="M80" s="171">
        <f t="shared" ca="1" si="2"/>
        <v>388082962500</v>
      </c>
      <c r="N80" s="120">
        <f t="shared" ca="1" si="3"/>
        <v>10780</v>
      </c>
      <c r="O80" s="56">
        <f t="shared" ca="1" si="4"/>
        <v>27.116098167442637</v>
      </c>
      <c r="P80" s="166">
        <f ca="1">C80*Summary!$C$16</f>
        <v>2267260.625</v>
      </c>
      <c r="Q80" s="166">
        <f ca="1">P80*Summary!$C$17</f>
        <v>906904.25</v>
      </c>
      <c r="R80" s="56">
        <f ca="1">Q80/'Alberta Electricity Profile'!$C$33</f>
        <v>60.853804603100045</v>
      </c>
      <c r="S80" s="235">
        <f ca="1">P80/'Alberta Electricity Profile'!$D$49</f>
        <v>17.367921872486459</v>
      </c>
      <c r="T80" s="236">
        <f t="shared" si="5"/>
        <v>347.92166666666662</v>
      </c>
      <c r="U80" s="236">
        <f t="shared" ca="1" si="12"/>
        <v>5424.1458118006703</v>
      </c>
      <c r="V80" s="237">
        <f t="shared" ca="1" si="13"/>
        <v>6.37498615270193</v>
      </c>
      <c r="W80" s="237">
        <f t="shared" ca="1" si="14"/>
        <v>12749.97230540386</v>
      </c>
    </row>
    <row r="81" spans="1:23">
      <c r="A81" s="183"/>
      <c r="B81" s="124">
        <f t="shared" si="6"/>
        <v>61</v>
      </c>
      <c r="C81" s="115">
        <f t="shared" ca="1" si="7"/>
        <v>483272.125</v>
      </c>
      <c r="D81" s="48">
        <f t="shared" ca="1" si="0"/>
        <v>4.0836789169092338</v>
      </c>
      <c r="E81" s="120">
        <f t="shared" ca="1" si="8"/>
        <v>41330</v>
      </c>
      <c r="F81" s="116">
        <f t="shared" ca="1" si="1"/>
        <v>41.33</v>
      </c>
      <c r="G81" s="118">
        <f ca="1">C81/Summary!C$23</f>
        <v>6.8940388730385163</v>
      </c>
      <c r="H81" s="119">
        <f ca="1">H80+('Dev Plan (Wind)'!C80/Summary!C$23)*Summary!C$27</f>
        <v>86668.822869057956</v>
      </c>
      <c r="I81" s="119">
        <f t="shared" si="9"/>
        <v>3032.7166666666681</v>
      </c>
      <c r="J81" s="119">
        <f t="shared" si="10"/>
        <v>18190.505000000008</v>
      </c>
      <c r="K81" s="119">
        <f t="shared" si="11"/>
        <v>21223.221666666675</v>
      </c>
      <c r="L81" s="122">
        <f ca="1">C80*Summary!C$16*Summary!C$17*24*375*1000*C$11</f>
        <v>408106912500</v>
      </c>
      <c r="M81" s="122">
        <f t="shared" ca="1" si="2"/>
        <v>413308162500</v>
      </c>
      <c r="N81" s="120">
        <f t="shared" ca="1" si="3"/>
        <v>11510</v>
      </c>
      <c r="O81" s="48">
        <f t="shared" ca="1" si="4"/>
        <v>28.577949210243155</v>
      </c>
      <c r="P81" s="115">
        <f ca="1">C81*Summary!$C$16</f>
        <v>2416360.625</v>
      </c>
      <c r="Q81" s="115">
        <f ca="1">P81*Summary!$C$17</f>
        <v>966544.25</v>
      </c>
      <c r="R81" s="48">
        <f ca="1">Q81/'Alberta Electricity Profile'!$C$33</f>
        <v>64.855683419445754</v>
      </c>
      <c r="S81" s="235">
        <f ca="1">P81/'Alberta Electricity Profile'!$D$49</f>
        <v>18.510074266716714</v>
      </c>
      <c r="T81" s="236">
        <f t="shared" si="5"/>
        <v>347.92166666666662</v>
      </c>
      <c r="U81" s="236">
        <f t="shared" ca="1" si="12"/>
        <v>5781.50203557653</v>
      </c>
      <c r="V81" s="237">
        <f t="shared" ca="1" si="13"/>
        <v>6.3749861527019309</v>
      </c>
      <c r="W81" s="237">
        <f t="shared" ca="1" si="14"/>
        <v>12749.972305403862</v>
      </c>
    </row>
    <row r="82" spans="1:23">
      <c r="A82" s="183"/>
      <c r="B82" s="124">
        <f t="shared" si="6"/>
        <v>62</v>
      </c>
      <c r="C82" s="115">
        <f t="shared" ca="1" si="7"/>
        <v>515002.125</v>
      </c>
      <c r="D82" s="48">
        <f t="shared" ca="1" si="0"/>
        <v>4.3034589147313742</v>
      </c>
      <c r="E82" s="120">
        <f t="shared" ca="1" si="8"/>
        <v>44014</v>
      </c>
      <c r="F82" s="116">
        <f t="shared" ca="1" si="1"/>
        <v>44.014000000000003</v>
      </c>
      <c r="G82" s="118">
        <f ca="1">C82/Summary!C$23</f>
        <v>7.3466779600570611</v>
      </c>
      <c r="H82" s="119">
        <f ca="1">H81+('Dev Plan (Wind)'!C81/Summary!C$23)*Summary!C$27</f>
        <v>92830.529078781634</v>
      </c>
      <c r="I82" s="119">
        <f t="shared" si="9"/>
        <v>3082.4333333333348</v>
      </c>
      <c r="J82" s="119">
        <f t="shared" si="10"/>
        <v>18488.71000000001</v>
      </c>
      <c r="K82" s="119">
        <f t="shared" si="11"/>
        <v>21571.143333333344</v>
      </c>
      <c r="L82" s="122">
        <f ca="1">C81*Summary!C$16*Summary!C$17*24*375*1000*C$11</f>
        <v>434944912500</v>
      </c>
      <c r="M82" s="122">
        <f t="shared" ca="1" si="2"/>
        <v>440146162500</v>
      </c>
      <c r="N82" s="120">
        <f t="shared" ca="1" si="3"/>
        <v>12284</v>
      </c>
      <c r="O82" s="48">
        <f t="shared" ca="1" si="4"/>
        <v>30.115989233218862</v>
      </c>
      <c r="P82" s="115">
        <f ca="1">C82*Summary!$C$16</f>
        <v>2575010.625</v>
      </c>
      <c r="Q82" s="115">
        <f ca="1">P82*Summary!$C$17</f>
        <v>1030004.25</v>
      </c>
      <c r="R82" s="48">
        <f ca="1">Q82/'Alberta Electricity Profile'!$C$33</f>
        <v>69.113886465812257</v>
      </c>
      <c r="S82" s="235">
        <f ca="1">P82/'Alberta Electricity Profile'!$D$49</f>
        <v>19.725382632542534</v>
      </c>
      <c r="T82" s="236">
        <f t="shared" si="5"/>
        <v>347.92166666666662</v>
      </c>
      <c r="U82" s="236">
        <f t="shared" ca="1" si="12"/>
        <v>6161.7062097236776</v>
      </c>
      <c r="V82" s="237">
        <f t="shared" ca="1" si="13"/>
        <v>6.3749861527019354</v>
      </c>
      <c r="W82" s="237">
        <f t="shared" ca="1" si="14"/>
        <v>12749.972305403871</v>
      </c>
    </row>
    <row r="83" spans="1:23">
      <c r="A83" s="183"/>
      <c r="B83" s="164">
        <f t="shared" si="6"/>
        <v>63</v>
      </c>
      <c r="C83" s="115">
        <f t="shared" ca="1" si="7"/>
        <v>548764.125</v>
      </c>
      <c r="D83" s="48">
        <f t="shared" ca="1" si="0"/>
        <v>4.5347186072834633</v>
      </c>
      <c r="E83" s="120">
        <f t="shared" ca="1" si="8"/>
        <v>46870</v>
      </c>
      <c r="F83" s="116">
        <f t="shared" ca="1" si="1"/>
        <v>46.87</v>
      </c>
      <c r="G83" s="118">
        <f ca="1">C83/Summary!C$23</f>
        <v>7.8283042082738943</v>
      </c>
      <c r="H83" s="119">
        <f ca="1">H82+('Dev Plan (Wind)'!C82/Summary!C$23)*Summary!C$27</f>
        <v>99396.791909755775</v>
      </c>
      <c r="I83" s="119">
        <f t="shared" si="9"/>
        <v>3132.1500000000015</v>
      </c>
      <c r="J83" s="119">
        <f t="shared" si="10"/>
        <v>18786.915000000012</v>
      </c>
      <c r="K83" s="119">
        <f t="shared" si="11"/>
        <v>21919.065000000013</v>
      </c>
      <c r="L83" s="122">
        <f ca="1">C82*Summary!C$16*Summary!C$17*24*375*1000*C$11</f>
        <v>463501912500</v>
      </c>
      <c r="M83" s="122">
        <f t="shared" ca="1" si="2"/>
        <v>468703162500</v>
      </c>
      <c r="N83" s="120">
        <f t="shared" ca="1" si="3"/>
        <v>13108</v>
      </c>
      <c r="O83" s="48">
        <f t="shared" ca="1" si="4"/>
        <v>31.734365183581797</v>
      </c>
      <c r="P83" s="115">
        <f ca="1">C83*Summary!$C$16</f>
        <v>2743820.625</v>
      </c>
      <c r="Q83" s="115">
        <f ca="1">P83*Summary!$C$17</f>
        <v>1097528.25</v>
      </c>
      <c r="R83" s="48">
        <f ca="1">Q83/'Alberta Electricity Profile'!$C$33</f>
        <v>73.644786284640674</v>
      </c>
      <c r="S83" s="235">
        <f ca="1">P83/'Alberta Electricity Profile'!$D$49</f>
        <v>21.018519759772641</v>
      </c>
      <c r="T83" s="236">
        <f t="shared" si="5"/>
        <v>347.92166666666662</v>
      </c>
      <c r="U83" s="236">
        <f t="shared" ca="1" si="12"/>
        <v>6566.2628309741413</v>
      </c>
      <c r="V83" s="237">
        <f t="shared" ca="1" si="13"/>
        <v>6.3749861527019345</v>
      </c>
      <c r="W83" s="237">
        <f t="shared" ca="1" si="14"/>
        <v>12749.97230540387</v>
      </c>
    </row>
    <row r="84" spans="1:23">
      <c r="A84" s="183"/>
      <c r="B84" s="124">
        <f t="shared" si="6"/>
        <v>64</v>
      </c>
      <c r="C84" s="115">
        <f t="shared" ca="1" si="7"/>
        <v>584687.125</v>
      </c>
      <c r="D84" s="48">
        <f t="shared" ca="1" si="0"/>
        <v>4.7780833975606738</v>
      </c>
      <c r="E84" s="120">
        <f t="shared" ca="1" si="8"/>
        <v>49908</v>
      </c>
      <c r="F84" s="116">
        <f t="shared" ca="1" si="1"/>
        <v>49.908000000000001</v>
      </c>
      <c r="G84" s="118">
        <f ca="1">C84/Summary!C$23</f>
        <v>8.3407578459343803</v>
      </c>
      <c r="H84" s="119">
        <f ca="1">H83+('Dev Plan (Wind)'!C83/Summary!C$23)*Summary!C$27</f>
        <v>106393.51930570496</v>
      </c>
      <c r="I84" s="119">
        <f t="shared" si="9"/>
        <v>3181.8666666666682</v>
      </c>
      <c r="J84" s="119">
        <f t="shared" si="10"/>
        <v>19085.120000000014</v>
      </c>
      <c r="K84" s="119">
        <f t="shared" si="11"/>
        <v>22266.986666666682</v>
      </c>
      <c r="L84" s="122">
        <f ca="1">C83*Summary!C$16*Summary!C$17*24*375*1000*C$11</f>
        <v>493887712500</v>
      </c>
      <c r="M84" s="122">
        <f t="shared" ca="1" si="2"/>
        <v>499088962500</v>
      </c>
      <c r="N84" s="120">
        <f t="shared" ca="1" si="3"/>
        <v>13985</v>
      </c>
      <c r="O84" s="48">
        <f t="shared" ca="1" si="4"/>
        <v>33.437453687260593</v>
      </c>
      <c r="P84" s="115">
        <f ca="1">C84*Summary!$C$16</f>
        <v>2923435.625</v>
      </c>
      <c r="Q84" s="115">
        <f ca="1">P84*Summary!$C$17</f>
        <v>1169374.25</v>
      </c>
      <c r="R84" s="48">
        <f ca="1">Q84/'Alberta Electricity Profile'!$C$33</f>
        <v>78.46569482654499</v>
      </c>
      <c r="S84" s="235">
        <f ca="1">P84/'Alberta Electricity Profile'!$D$49</f>
        <v>22.394426549106424</v>
      </c>
      <c r="T84" s="236">
        <f t="shared" si="5"/>
        <v>347.92166666666662</v>
      </c>
      <c r="U84" s="236">
        <f t="shared" ca="1" si="12"/>
        <v>6996.7273959491868</v>
      </c>
      <c r="V84" s="237">
        <f t="shared" ca="1" si="13"/>
        <v>6.3749861527019345</v>
      </c>
      <c r="W84" s="237">
        <f t="shared" ca="1" si="14"/>
        <v>12749.97230540387</v>
      </c>
    </row>
    <row r="85" spans="1:23">
      <c r="A85" s="183"/>
      <c r="B85" s="124">
        <f t="shared" si="6"/>
        <v>65</v>
      </c>
      <c r="C85" s="115">
        <f t="shared" ca="1" si="7"/>
        <v>622908.125</v>
      </c>
      <c r="D85" s="48">
        <f t="shared" ca="1" si="0"/>
        <v>5.0342129306345225</v>
      </c>
      <c r="E85" s="120">
        <f t="shared" ca="1" si="8"/>
        <v>53141</v>
      </c>
      <c r="F85" s="116">
        <f t="shared" ca="1" si="1"/>
        <v>53.140999999999998</v>
      </c>
      <c r="G85" s="118">
        <f ca="1">C85/Summary!C$23</f>
        <v>8.8859932239657624</v>
      </c>
      <c r="H85" s="119">
        <f ca="1">H84+('Dev Plan (Wind)'!C84/Summary!C$23)*Summary!C$27</f>
        <v>113848.26395678117</v>
      </c>
      <c r="I85" s="119">
        <f t="shared" si="9"/>
        <v>3231.5833333333348</v>
      </c>
      <c r="J85" s="119">
        <f t="shared" si="10"/>
        <v>19383.325000000015</v>
      </c>
      <c r="K85" s="119">
        <f t="shared" si="11"/>
        <v>22614.908333333351</v>
      </c>
      <c r="L85" s="122">
        <f ca="1">C84*Summary!C$16*Summary!C$17*24*375*1000*C$11</f>
        <v>526218412500</v>
      </c>
      <c r="M85" s="122">
        <f t="shared" ca="1" si="2"/>
        <v>531419662500</v>
      </c>
      <c r="N85" s="120">
        <f t="shared" ca="1" si="3"/>
        <v>14920</v>
      </c>
      <c r="O85" s="48">
        <f t="shared" ca="1" si="4"/>
        <v>35.229870999287591</v>
      </c>
      <c r="P85" s="115">
        <f ca="1">C85*Summary!$C$16</f>
        <v>3114540.625</v>
      </c>
      <c r="Q85" s="115">
        <f ca="1">P85*Summary!$C$17</f>
        <v>1245816.25</v>
      </c>
      <c r="R85" s="48">
        <f ca="1">Q85/'Alberta Electricity Profile'!$C$33</f>
        <v>83.594997651479574</v>
      </c>
      <c r="S85" s="235">
        <f ca="1">P85/'Alberta Electricity Profile'!$D$49</f>
        <v>23.858350313689741</v>
      </c>
      <c r="T85" s="236">
        <f t="shared" si="5"/>
        <v>347.92166666666662</v>
      </c>
      <c r="U85" s="236">
        <f t="shared" ca="1" si="12"/>
        <v>7454.7446510762093</v>
      </c>
      <c r="V85" s="237">
        <f t="shared" ca="1" si="13"/>
        <v>6.3749861527019336</v>
      </c>
      <c r="W85" s="237">
        <f t="shared" ca="1" si="14"/>
        <v>12749.972305403868</v>
      </c>
    </row>
    <row r="86" spans="1:23">
      <c r="A86" s="183"/>
      <c r="B86" s="124">
        <f t="shared" si="6"/>
        <v>66</v>
      </c>
      <c r="C86" s="115">
        <f t="shared" ca="1" si="7"/>
        <v>663575.125</v>
      </c>
      <c r="D86" s="48">
        <f t="shared" ca="1" si="0"/>
        <v>5.3038029415077377</v>
      </c>
      <c r="E86" s="120">
        <f t="shared" ca="1" si="8"/>
        <v>56581</v>
      </c>
      <c r="F86" s="116">
        <f t="shared" ca="1" si="1"/>
        <v>56.581000000000003</v>
      </c>
      <c r="G86" s="118">
        <f ca="1">C86/Summary!C$23</f>
        <v>9.4661216119828815</v>
      </c>
      <c r="H86" s="119">
        <f ca="1">H85+('Dev Plan (Wind)'!C85/Summary!C$23)*Summary!C$27</f>
        <v>121790.32529934222</v>
      </c>
      <c r="I86" s="119">
        <f t="shared" si="9"/>
        <v>3281.3000000000015</v>
      </c>
      <c r="J86" s="119">
        <f t="shared" si="10"/>
        <v>19681.530000000017</v>
      </c>
      <c r="K86" s="119">
        <f t="shared" si="11"/>
        <v>22962.83000000002</v>
      </c>
      <c r="L86" s="122">
        <f ca="1">C85*Summary!C$16*Summary!C$17*24*375*1000*C$11</f>
        <v>560617312500</v>
      </c>
      <c r="M86" s="122">
        <f t="shared" ca="1" si="2"/>
        <v>565818562500</v>
      </c>
      <c r="N86" s="120">
        <f t="shared" ca="1" si="3"/>
        <v>15914</v>
      </c>
      <c r="O86" s="48">
        <f t="shared" ca="1" si="4"/>
        <v>37.11648593525193</v>
      </c>
      <c r="P86" s="115">
        <f ca="1">C86*Summary!$C$16</f>
        <v>3317875.625</v>
      </c>
      <c r="Q86" s="115">
        <f ca="1">P86*Summary!$C$17</f>
        <v>1327150.25</v>
      </c>
      <c r="R86" s="48">
        <f ca="1">Q86/'Alberta Electricity Profile'!$C$33</f>
        <v>89.052556532241837</v>
      </c>
      <c r="S86" s="235">
        <f ca="1">P86/'Alberta Electricity Profile'!$D$49</f>
        <v>25.415959683782354</v>
      </c>
      <c r="T86" s="236">
        <f t="shared" si="5"/>
        <v>347.92166666666662</v>
      </c>
      <c r="U86" s="236">
        <f t="shared" ca="1" si="12"/>
        <v>7942.06134256105</v>
      </c>
      <c r="V86" s="237">
        <f t="shared" ca="1" si="13"/>
        <v>6.3749861527019336</v>
      </c>
      <c r="W86" s="237">
        <f t="shared" ca="1" si="14"/>
        <v>12749.972305403868</v>
      </c>
    </row>
    <row r="87" spans="1:23">
      <c r="A87" s="183"/>
      <c r="B87" s="124">
        <f t="shared" si="6"/>
        <v>67</v>
      </c>
      <c r="C87" s="115">
        <f t="shared" ca="1" si="7"/>
        <v>706843.125</v>
      </c>
      <c r="D87" s="48">
        <f t="shared" ca="1" si="0"/>
        <v>5.5875885783597434</v>
      </c>
      <c r="E87" s="120">
        <f t="shared" ca="1" si="8"/>
        <v>60241</v>
      </c>
      <c r="F87" s="116">
        <f t="shared" ca="1" si="1"/>
        <v>60.241</v>
      </c>
      <c r="G87" s="118">
        <f ca="1">C87/Summary!C$23</f>
        <v>10.083354136947218</v>
      </c>
      <c r="H87" s="119">
        <f ca="1">H86+('Dev Plan (Wind)'!C86/Summary!C$23)*Summary!C$27</f>
        <v>130250.88976564712</v>
      </c>
      <c r="I87" s="119">
        <f t="shared" si="9"/>
        <v>3331.0166666666682</v>
      </c>
      <c r="J87" s="119">
        <f t="shared" si="10"/>
        <v>19979.735000000019</v>
      </c>
      <c r="K87" s="119">
        <f t="shared" si="11"/>
        <v>23310.751666666685</v>
      </c>
      <c r="L87" s="122">
        <f ca="1">C86*Summary!C$16*Summary!C$17*24*375*1000*C$11</f>
        <v>597217612500</v>
      </c>
      <c r="M87" s="122">
        <f t="shared" ca="1" si="2"/>
        <v>602418862500</v>
      </c>
      <c r="N87" s="120">
        <f t="shared" ca="1" si="3"/>
        <v>16973</v>
      </c>
      <c r="O87" s="48">
        <f t="shared" ca="1" si="4"/>
        <v>39.102443127667847</v>
      </c>
      <c r="P87" s="115">
        <f ca="1">C87*Summary!$C$16</f>
        <v>3534215.625</v>
      </c>
      <c r="Q87" s="115">
        <f ca="1">P87*Summary!$C$17</f>
        <v>1413686.25</v>
      </c>
      <c r="R87" s="48">
        <f ca="1">Q87/'Alberta Electricity Profile'!$C$33</f>
        <v>94.859172649802048</v>
      </c>
      <c r="S87" s="235">
        <f ca="1">P87/'Alberta Electricity Profile'!$D$49</f>
        <v>27.073191400534689</v>
      </c>
      <c r="T87" s="236">
        <f t="shared" si="5"/>
        <v>347.92166666666662</v>
      </c>
      <c r="U87" s="236">
        <f t="shared" ca="1" si="12"/>
        <v>8460.5644663049025</v>
      </c>
      <c r="V87" s="237">
        <f t="shared" ca="1" si="13"/>
        <v>6.3749861527019283</v>
      </c>
      <c r="W87" s="237">
        <f t="shared" ca="1" si="14"/>
        <v>12749.972305403857</v>
      </c>
    </row>
    <row r="88" spans="1:23">
      <c r="A88" s="183"/>
      <c r="B88" s="124">
        <f t="shared" si="6"/>
        <v>68</v>
      </c>
      <c r="C88" s="115">
        <f t="shared" ca="1" si="7"/>
        <v>752879.125</v>
      </c>
      <c r="D88" s="48">
        <f t="shared" ca="1" si="0"/>
        <v>5.8863452769116433</v>
      </c>
      <c r="E88" s="120">
        <f t="shared" ca="1" si="8"/>
        <v>64136</v>
      </c>
      <c r="F88" s="116">
        <f t="shared" ca="1" si="1"/>
        <v>64.135999999999996</v>
      </c>
      <c r="G88" s="118">
        <f ca="1">C88/Summary!C$23</f>
        <v>10.740073109843081</v>
      </c>
      <c r="H88" s="119">
        <f ca="1">H87+('Dev Plan (Wind)'!C87/Summary!C$23)*Summary!C$27</f>
        <v>139263.12003366224</v>
      </c>
      <c r="I88" s="119">
        <f t="shared" si="9"/>
        <v>3380.7333333333349</v>
      </c>
      <c r="J88" s="119">
        <f t="shared" si="10"/>
        <v>20277.940000000021</v>
      </c>
      <c r="K88" s="119">
        <f t="shared" si="11"/>
        <v>23658.673333333354</v>
      </c>
      <c r="L88" s="122">
        <f ca="1">C87*Summary!C$16*Summary!C$17*24*375*1000*C$11</f>
        <v>636158812500</v>
      </c>
      <c r="M88" s="122">
        <f t="shared" ca="1" si="2"/>
        <v>641360062500</v>
      </c>
      <c r="N88" s="120">
        <f t="shared" ca="1" si="3"/>
        <v>18100</v>
      </c>
      <c r="O88" s="48">
        <f t="shared" ca="1" si="4"/>
        <v>41.193169144858764</v>
      </c>
      <c r="P88" s="115">
        <f ca="1">C88*Summary!$C$16</f>
        <v>3764395.625</v>
      </c>
      <c r="Q88" s="115">
        <f ca="1">P88*Summary!$C$17</f>
        <v>1505758.25</v>
      </c>
      <c r="R88" s="48">
        <f ca="1">Q88/'Alberta Electricity Profile'!$C$33</f>
        <v>101.03725759914111</v>
      </c>
      <c r="S88" s="235">
        <f ca="1">P88/'Alberta Electricity Profile'!$D$49</f>
        <v>28.836441823766883</v>
      </c>
      <c r="T88" s="236">
        <f t="shared" si="5"/>
        <v>347.92166666666662</v>
      </c>
      <c r="U88" s="236">
        <f t="shared" ca="1" si="12"/>
        <v>9012.2302680151188</v>
      </c>
      <c r="V88" s="237">
        <f t="shared" ca="1" si="13"/>
        <v>6.37498615270193</v>
      </c>
      <c r="W88" s="237">
        <f t="shared" ca="1" si="14"/>
        <v>12749.97230540386</v>
      </c>
    </row>
    <row r="89" spans="1:23">
      <c r="A89" s="183"/>
      <c r="B89" s="124">
        <f t="shared" si="6"/>
        <v>69</v>
      </c>
      <c r="C89" s="115">
        <f t="shared" ca="1" si="7"/>
        <v>801859.125</v>
      </c>
      <c r="D89" s="48">
        <f t="shared" ca="1" si="0"/>
        <v>6.2008922142739848</v>
      </c>
      <c r="E89" s="120">
        <f t="shared" ca="1" si="8"/>
        <v>68279</v>
      </c>
      <c r="F89" s="116">
        <f t="shared" ca="1" si="1"/>
        <v>68.278999999999996</v>
      </c>
      <c r="G89" s="118">
        <f ca="1">C89/Summary!C$23</f>
        <v>11.438789229671897</v>
      </c>
      <c r="H89" s="119">
        <f ca="1">H88+('Dev Plan (Wind)'!C88/Summary!C$23)*Summary!C$27</f>
        <v>148862.30802672892</v>
      </c>
      <c r="I89" s="119">
        <f t="shared" si="9"/>
        <v>3430.4500000000016</v>
      </c>
      <c r="J89" s="119">
        <f t="shared" si="10"/>
        <v>20576.145000000022</v>
      </c>
      <c r="K89" s="119">
        <f t="shared" si="11"/>
        <v>24006.595000000023</v>
      </c>
      <c r="L89" s="122">
        <f ca="1">C88*Summary!C$16*Summary!C$17*24*375*1000*C$11</f>
        <v>677591212500</v>
      </c>
      <c r="M89" s="122">
        <f t="shared" ca="1" si="2"/>
        <v>682792462500</v>
      </c>
      <c r="N89" s="120">
        <f t="shared" ca="1" si="3"/>
        <v>19299</v>
      </c>
      <c r="O89" s="48">
        <f t="shared" ca="1" si="4"/>
        <v>43.394396661291914</v>
      </c>
      <c r="P89" s="115">
        <f ca="1">C89*Summary!$C$16</f>
        <v>4009295.625</v>
      </c>
      <c r="Q89" s="115">
        <f ca="1">P89*Summary!$C$17</f>
        <v>1603718.25</v>
      </c>
      <c r="R89" s="48">
        <f ca="1">Q89/'Alberta Electricity Profile'!$C$33</f>
        <v>107.61043078574784</v>
      </c>
      <c r="S89" s="235">
        <f ca="1">P89/'Alberta Electricity Profile'!$D$49</f>
        <v>30.712452027301349</v>
      </c>
      <c r="T89" s="236">
        <f t="shared" si="5"/>
        <v>347.92166666666662</v>
      </c>
      <c r="U89" s="236">
        <f t="shared" ca="1" si="12"/>
        <v>9599.1879930666764</v>
      </c>
      <c r="V89" s="237">
        <f t="shared" ca="1" si="13"/>
        <v>6.3749861527019203</v>
      </c>
      <c r="W89" s="237">
        <f t="shared" ca="1" si="14"/>
        <v>12749.97230540384</v>
      </c>
    </row>
    <row r="90" spans="1:23">
      <c r="A90" s="183"/>
      <c r="B90" s="124">
        <f t="shared" si="6"/>
        <v>70</v>
      </c>
      <c r="C90" s="115">
        <f t="shared" ca="1" si="7"/>
        <v>853970.125</v>
      </c>
      <c r="D90" s="48">
        <f t="shared" ca="1" si="0"/>
        <v>6.5320938962032686</v>
      </c>
      <c r="E90" s="120">
        <f t="shared" ca="1" si="8"/>
        <v>72687</v>
      </c>
      <c r="F90" s="116">
        <f t="shared" ca="1" si="1"/>
        <v>72.686999999999998</v>
      </c>
      <c r="G90" s="118">
        <f ca="1">C90/Summary!C$23</f>
        <v>12.182170114122682</v>
      </c>
      <c r="H90" s="119">
        <f ca="1">H89+('Dev Plan (Wind)'!C89/Summary!C$23)*Summary!C$27</f>
        <v>159085.98966331428</v>
      </c>
      <c r="I90" s="119">
        <f t="shared" si="9"/>
        <v>3480.1666666666683</v>
      </c>
      <c r="J90" s="119">
        <f t="shared" si="10"/>
        <v>20874.350000000024</v>
      </c>
      <c r="K90" s="119">
        <f t="shared" si="11"/>
        <v>24354.516666666692</v>
      </c>
      <c r="L90" s="122">
        <f ca="1">C89*Summary!C$16*Summary!C$17*24*375*1000*C$11</f>
        <v>721673212500</v>
      </c>
      <c r="M90" s="122">
        <f t="shared" ca="1" si="2"/>
        <v>726874462500</v>
      </c>
      <c r="N90" s="120">
        <f t="shared" ca="1" si="3"/>
        <v>20576</v>
      </c>
      <c r="O90" s="48">
        <f t="shared" ca="1" si="4"/>
        <v>45.712175565340992</v>
      </c>
      <c r="P90" s="115">
        <f ca="1">C90*Summary!$C$16</f>
        <v>4269850.625</v>
      </c>
      <c r="Q90" s="115">
        <f ca="1">P90*Summary!$C$17</f>
        <v>1707940.25</v>
      </c>
      <c r="R90" s="48">
        <f ca="1">Q90/'Alberta Electricity Profile'!$C$33</f>
        <v>114.60378782795411</v>
      </c>
      <c r="S90" s="235">
        <f ca="1">P90/'Alberta Electricity Profile'!$D$49</f>
        <v>32.708384402074415</v>
      </c>
      <c r="T90" s="236">
        <f t="shared" si="5"/>
        <v>347.92166666666662</v>
      </c>
      <c r="U90" s="236">
        <f t="shared" ca="1" si="12"/>
        <v>10223.681636585359</v>
      </c>
      <c r="V90" s="237">
        <f t="shared" ca="1" si="13"/>
        <v>6.374986152701922</v>
      </c>
      <c r="W90" s="237">
        <f t="shared" ca="1" si="14"/>
        <v>12749.972305403844</v>
      </c>
    </row>
    <row r="91" spans="1:23">
      <c r="A91" s="183"/>
      <c r="B91" s="124">
        <f t="shared" si="6"/>
        <v>71</v>
      </c>
      <c r="C91" s="115">
        <f t="shared" ca="1" si="7"/>
        <v>909413.125</v>
      </c>
      <c r="D91" s="48">
        <f t="shared" ca="1" si="0"/>
        <v>6.8808626425086246</v>
      </c>
      <c r="E91" s="120">
        <f t="shared" ca="1" si="8"/>
        <v>77377</v>
      </c>
      <c r="F91" s="116">
        <f t="shared" ca="1" si="1"/>
        <v>77.376999999999995</v>
      </c>
      <c r="G91" s="118">
        <f ca="1">C91/Summary!C$23</f>
        <v>12.973083095577746</v>
      </c>
      <c r="H91" s="119">
        <f ca="1">H90+('Dev Plan (Wind)'!C90/Summary!C$23)*Summary!C$27</f>
        <v>169974.08510670654</v>
      </c>
      <c r="I91" s="119">
        <f t="shared" si="9"/>
        <v>3529.883333333335</v>
      </c>
      <c r="J91" s="119">
        <f t="shared" si="10"/>
        <v>21172.555000000026</v>
      </c>
      <c r="K91" s="119">
        <f t="shared" si="11"/>
        <v>24702.438333333361</v>
      </c>
      <c r="L91" s="122">
        <f ca="1">C90*Summary!C$16*Summary!C$17*24*375*1000*C$11</f>
        <v>768573112500</v>
      </c>
      <c r="M91" s="122">
        <f t="shared" ca="1" si="2"/>
        <v>773774362500</v>
      </c>
      <c r="N91" s="120">
        <f t="shared" ca="1" si="3"/>
        <v>21934</v>
      </c>
      <c r="O91" s="48">
        <f t="shared" ca="1" si="4"/>
        <v>48.152890352383636</v>
      </c>
      <c r="P91" s="115">
        <f ca="1">C91*Summary!$C$16</f>
        <v>4547065.625</v>
      </c>
      <c r="Q91" s="115">
        <f ca="1">P91*Summary!$C$17</f>
        <v>1818826.25</v>
      </c>
      <c r="R91" s="48">
        <f ca="1">Q91/'Alberta Electricity Profile'!$C$33</f>
        <v>122.04430316043749</v>
      </c>
      <c r="S91" s="235">
        <f ca="1">P91/'Alberta Electricity Profile'!$D$49</f>
        <v>34.831937560803723</v>
      </c>
      <c r="T91" s="236">
        <f t="shared" si="5"/>
        <v>347.92166666666662</v>
      </c>
      <c r="U91" s="236">
        <f t="shared" ca="1" si="12"/>
        <v>10888.09544339226</v>
      </c>
      <c r="V91" s="237">
        <f t="shared" ca="1" si="13"/>
        <v>6.374986152701922</v>
      </c>
      <c r="W91" s="237">
        <f t="shared" ca="1" si="14"/>
        <v>12749.972305403844</v>
      </c>
    </row>
    <row r="92" spans="1:23">
      <c r="A92" s="183"/>
      <c r="B92" s="124">
        <f t="shared" si="6"/>
        <v>72</v>
      </c>
      <c r="C92" s="115">
        <f t="shared" ca="1" si="7"/>
        <v>968401.125</v>
      </c>
      <c r="D92" s="48">
        <f t="shared" ca="1" si="0"/>
        <v>7.2481623922621115</v>
      </c>
      <c r="E92" s="120">
        <f t="shared" ca="1" si="8"/>
        <v>82367</v>
      </c>
      <c r="F92" s="116">
        <f t="shared" ca="1" si="1"/>
        <v>82.367000000000004</v>
      </c>
      <c r="G92" s="118">
        <f ca="1">C92/Summary!C$23</f>
        <v>13.814566690442225</v>
      </c>
      <c r="H92" s="119">
        <f ca="1">H91+('Dev Plan (Wind)'!C91/Summary!C$23)*Summary!C$27</f>
        <v>181569.07726462733</v>
      </c>
      <c r="I92" s="119">
        <f t="shared" si="9"/>
        <v>3579.6000000000017</v>
      </c>
      <c r="J92" s="119">
        <f t="shared" si="10"/>
        <v>21470.760000000028</v>
      </c>
      <c r="K92" s="119">
        <f t="shared" si="11"/>
        <v>25050.36000000003</v>
      </c>
      <c r="L92" s="122">
        <f ca="1">C91*Summary!C$16*Summary!C$17*24*375*1000*C$11</f>
        <v>818471812500</v>
      </c>
      <c r="M92" s="122">
        <f t="shared" ca="1" si="2"/>
        <v>823673062500</v>
      </c>
      <c r="N92" s="120">
        <f t="shared" ca="1" si="3"/>
        <v>23379</v>
      </c>
      <c r="O92" s="48">
        <f t="shared" ca="1" si="4"/>
        <v>50.723286754002466</v>
      </c>
      <c r="P92" s="115">
        <f ca="1">C92*Summary!$C$16</f>
        <v>4842005.625</v>
      </c>
      <c r="Q92" s="115">
        <f ca="1">P92*Summary!$C$17</f>
        <v>1936802.25</v>
      </c>
      <c r="R92" s="48">
        <f ca="1">Q92/'Alberta Electricity Profile'!$C$33</f>
        <v>129.96056163188621</v>
      </c>
      <c r="S92" s="235">
        <f ca="1">P92/'Alberta Electricity Profile'!$D$49</f>
        <v>37.091269734876633</v>
      </c>
      <c r="T92" s="236">
        <f t="shared" si="5"/>
        <v>347.92166666666662</v>
      </c>
      <c r="U92" s="236">
        <f t="shared" ca="1" si="12"/>
        <v>11594.992157920788</v>
      </c>
      <c r="V92" s="237">
        <f t="shared" ca="1" si="13"/>
        <v>6.3749861527019345</v>
      </c>
      <c r="W92" s="237">
        <f t="shared" ca="1" si="14"/>
        <v>12749.97230540387</v>
      </c>
    </row>
    <row r="93" spans="1:23">
      <c r="A93" s="183"/>
      <c r="B93" s="124">
        <f t="shared" si="6"/>
        <v>73</v>
      </c>
      <c r="C93" s="115">
        <f t="shared" ca="1" si="7"/>
        <v>1031160.125</v>
      </c>
      <c r="D93" s="48">
        <f t="shared" ca="1" si="0"/>
        <v>7.6350111922492534</v>
      </c>
      <c r="E93" s="120">
        <f t="shared" ca="1" si="8"/>
        <v>87676</v>
      </c>
      <c r="F93" s="116">
        <f t="shared" ca="1" si="1"/>
        <v>87.676000000000002</v>
      </c>
      <c r="G93" s="118">
        <f ca="1">C93/Summary!C$23</f>
        <v>14.709844864479315</v>
      </c>
      <c r="H93" s="119">
        <f ca="1">H92+('Dev Plan (Wind)'!C92/Summary!C$23)*Summary!C$27</f>
        <v>193916.16478889927</v>
      </c>
      <c r="I93" s="119">
        <f t="shared" si="9"/>
        <v>3629.3166666666684</v>
      </c>
      <c r="J93" s="119">
        <f t="shared" si="10"/>
        <v>21768.965000000029</v>
      </c>
      <c r="K93" s="119">
        <f t="shared" si="11"/>
        <v>25398.281666666699</v>
      </c>
      <c r="L93" s="122">
        <f ca="1">C92*Summary!C$16*Summary!C$17*24*375*1000*C$11</f>
        <v>871561012500</v>
      </c>
      <c r="M93" s="122">
        <f t="shared" ca="1" si="2"/>
        <v>876762262500</v>
      </c>
      <c r="N93" s="120">
        <f t="shared" ca="1" si="3"/>
        <v>24917</v>
      </c>
      <c r="O93" s="48">
        <f t="shared" ca="1" si="4"/>
        <v>53.430489152383835</v>
      </c>
      <c r="P93" s="115">
        <f ca="1">C93*Summary!$C$16</f>
        <v>5155800.625</v>
      </c>
      <c r="Q93" s="115">
        <f ca="1">P93*Summary!$C$17</f>
        <v>2062320.25</v>
      </c>
      <c r="R93" s="48">
        <f ca="1">Q93/'Alberta Electricity Profile'!$C$33</f>
        <v>138.38289270616653</v>
      </c>
      <c r="S93" s="235">
        <f ca="1">P93/'Alberta Electricity Profile'!$D$49</f>
        <v>39.495037075906026</v>
      </c>
      <c r="T93" s="236">
        <f t="shared" si="5"/>
        <v>347.92166666666662</v>
      </c>
      <c r="U93" s="236">
        <f t="shared" ca="1" si="12"/>
        <v>12347.087524271948</v>
      </c>
      <c r="V93" s="237">
        <f t="shared" ca="1" si="13"/>
        <v>6.3749861527019336</v>
      </c>
      <c r="W93" s="237">
        <f t="shared" ca="1" si="14"/>
        <v>12749.972305403868</v>
      </c>
    </row>
    <row r="94" spans="1:23">
      <c r="A94" s="183"/>
      <c r="B94" s="124">
        <f t="shared" si="6"/>
        <v>74</v>
      </c>
      <c r="C94" s="115">
        <f t="shared" ca="1" si="7"/>
        <v>1097932.125</v>
      </c>
      <c r="D94" s="48">
        <f t="shared" ca="1" si="0"/>
        <v>8.0424839788708962</v>
      </c>
      <c r="E94" s="120">
        <f t="shared" ca="1" si="8"/>
        <v>93324</v>
      </c>
      <c r="F94" s="116">
        <f t="shared" ca="1" si="1"/>
        <v>93.323999999999998</v>
      </c>
      <c r="G94" s="118">
        <f ca="1">C94/Summary!C$23</f>
        <v>15.662369828815978</v>
      </c>
      <c r="H94" s="119">
        <f ca="1">H93+('Dev Plan (Wind)'!C93/Summary!C$23)*Summary!C$27</f>
        <v>207063.42782508605</v>
      </c>
      <c r="I94" s="119">
        <f t="shared" si="9"/>
        <v>3679.0333333333351</v>
      </c>
      <c r="J94" s="119">
        <f t="shared" si="10"/>
        <v>22067.170000000031</v>
      </c>
      <c r="K94" s="119">
        <f t="shared" si="11"/>
        <v>25746.203333333367</v>
      </c>
      <c r="L94" s="122">
        <f ca="1">C93*Summary!C$16*Summary!C$17*24*375*1000*C$11</f>
        <v>928044112500</v>
      </c>
      <c r="M94" s="122">
        <f t="shared" ca="1" si="2"/>
        <v>933245362500</v>
      </c>
      <c r="N94" s="120">
        <f t="shared" ca="1" si="3"/>
        <v>26552</v>
      </c>
      <c r="O94" s="48">
        <f t="shared" ca="1" si="4"/>
        <v>56.282020048315033</v>
      </c>
      <c r="P94" s="115">
        <f ca="1">C94*Summary!$C$16</f>
        <v>5489660.625</v>
      </c>
      <c r="Q94" s="115">
        <f ca="1">P94*Summary!$C$17</f>
        <v>2195864.25</v>
      </c>
      <c r="R94" s="48">
        <f ca="1">Q94/'Alberta Electricity Profile'!$C$33</f>
        <v>147.34377306582567</v>
      </c>
      <c r="S94" s="235">
        <f ca="1">P94/'Alberta Electricity Profile'!$D$49</f>
        <v>42.052508560397726</v>
      </c>
      <c r="T94" s="236">
        <f t="shared" si="5"/>
        <v>347.92166666666662</v>
      </c>
      <c r="U94" s="236">
        <f t="shared" ca="1" si="12"/>
        <v>13147.263036186778</v>
      </c>
      <c r="V94" s="237">
        <f t="shared" ca="1" si="13"/>
        <v>6.3749861527019274</v>
      </c>
      <c r="W94" s="237">
        <f t="shared" ca="1" si="14"/>
        <v>12749.972305403855</v>
      </c>
    </row>
    <row r="95" spans="1:23">
      <c r="A95" s="183"/>
      <c r="B95" s="124">
        <f t="shared" si="6"/>
        <v>75</v>
      </c>
      <c r="C95" s="115">
        <f t="shared" ca="1" si="7"/>
        <v>1168974.125</v>
      </c>
      <c r="D95" s="48">
        <f t="shared" ca="1" si="0"/>
        <v>8.4717166033369171</v>
      </c>
      <c r="E95" s="120">
        <f t="shared" ca="1" si="8"/>
        <v>99334</v>
      </c>
      <c r="F95" s="116">
        <f t="shared" ca="1" si="1"/>
        <v>99.334000000000003</v>
      </c>
      <c r="G95" s="118">
        <f ca="1">C95/Summary!C$23</f>
        <v>16.675807774607705</v>
      </c>
      <c r="H95" s="119">
        <f ca="1">H94+('Dev Plan (Wind)'!C94/Summary!C$23)*Summary!C$27</f>
        <v>221062.03201204925</v>
      </c>
      <c r="I95" s="119">
        <f t="shared" si="9"/>
        <v>3728.7500000000018</v>
      </c>
      <c r="J95" s="119">
        <f t="shared" si="10"/>
        <v>22365.375000000033</v>
      </c>
      <c r="K95" s="119">
        <f t="shared" si="11"/>
        <v>26094.125000000036</v>
      </c>
      <c r="L95" s="122">
        <f ca="1">C94*Summary!C$16*Summary!C$17*24*375*1000*C$11</f>
        <v>988138912500</v>
      </c>
      <c r="M95" s="122">
        <f t="shared" ca="1" si="2"/>
        <v>993340162500</v>
      </c>
      <c r="N95" s="120">
        <f t="shared" ca="1" si="3"/>
        <v>28292</v>
      </c>
      <c r="O95" s="48">
        <f t="shared" ca="1" si="4"/>
        <v>59.285828229848917</v>
      </c>
      <c r="P95" s="115">
        <f ca="1">C95*Summary!$C$16</f>
        <v>5844870.625</v>
      </c>
      <c r="Q95" s="115">
        <f ca="1">P95*Summary!$C$17</f>
        <v>2337948.25</v>
      </c>
      <c r="R95" s="48">
        <f ca="1">Q95/'Alberta Electricity Profile'!$C$33</f>
        <v>156.87769241092397</v>
      </c>
      <c r="S95" s="235">
        <f ca="1">P95/'Alberta Electricity Profile'!$D$49</f>
        <v>44.773527688194697</v>
      </c>
      <c r="T95" s="236">
        <f t="shared" si="5"/>
        <v>347.92166666666662</v>
      </c>
      <c r="U95" s="236">
        <f t="shared" ca="1" si="12"/>
        <v>13998.604186963203</v>
      </c>
      <c r="V95" s="237">
        <f t="shared" ca="1" si="13"/>
        <v>6.3749861527019274</v>
      </c>
      <c r="W95" s="237">
        <f t="shared" ca="1" si="14"/>
        <v>12749.972305403855</v>
      </c>
    </row>
    <row r="96" spans="1:23">
      <c r="A96" s="183"/>
      <c r="B96" s="124">
        <f t="shared" si="6"/>
        <v>76</v>
      </c>
      <c r="C96" s="115">
        <f t="shared" ca="1" si="7"/>
        <v>1244557.125</v>
      </c>
      <c r="D96" s="48">
        <f t="shared" ca="1" si="0"/>
        <v>8.9239090568959725</v>
      </c>
      <c r="E96" s="120">
        <f t="shared" ca="1" si="8"/>
        <v>105727</v>
      </c>
      <c r="F96" s="116">
        <f t="shared" ca="1" si="1"/>
        <v>105.727</v>
      </c>
      <c r="G96" s="118">
        <f ca="1">C96/Summary!C$23</f>
        <v>17.754024607703283</v>
      </c>
      <c r="H96" s="119">
        <f ca="1">H95+('Dev Plan (Wind)'!C95/Summary!C$23)*Summary!C$27</f>
        <v>235966.41973153295</v>
      </c>
      <c r="I96" s="119">
        <f t="shared" si="9"/>
        <v>3778.4666666666685</v>
      </c>
      <c r="J96" s="119">
        <f t="shared" si="10"/>
        <v>22663.580000000034</v>
      </c>
      <c r="K96" s="119">
        <f t="shared" si="11"/>
        <v>26442.046666666702</v>
      </c>
      <c r="L96" s="122">
        <f ca="1">C95*Summary!C$16*Summary!C$17*24*375*1000*C$11</f>
        <v>1052076712500</v>
      </c>
      <c r="M96" s="122">
        <f t="shared" ca="1" si="2"/>
        <v>1057277962500</v>
      </c>
      <c r="N96" s="120">
        <f t="shared" ca="1" si="3"/>
        <v>30144</v>
      </c>
      <c r="O96" s="48">
        <f t="shared" ca="1" si="4"/>
        <v>62.450311342749131</v>
      </c>
      <c r="P96" s="115">
        <f ca="1">C96*Summary!$C$16</f>
        <v>6222785.625</v>
      </c>
      <c r="Q96" s="115">
        <f ca="1">P96*Summary!$C$17</f>
        <v>2489114.25</v>
      </c>
      <c r="R96" s="48">
        <f ca="1">Q96/'Alberta Electricity Profile'!$C$33</f>
        <v>167.02101925786755</v>
      </c>
      <c r="S96" s="235">
        <f ca="1">P96/'Alberta Electricity Profile'!$D$49</f>
        <v>47.66847418092123</v>
      </c>
      <c r="T96" s="236">
        <f t="shared" si="5"/>
        <v>347.92166666666662</v>
      </c>
      <c r="U96" s="236">
        <f t="shared" ca="1" si="12"/>
        <v>14904.387719483697</v>
      </c>
      <c r="V96" s="237">
        <f t="shared" ca="1" si="13"/>
        <v>6.3749861527019238</v>
      </c>
      <c r="W96" s="237">
        <f t="shared" ca="1" si="14"/>
        <v>12749.972305403848</v>
      </c>
    </row>
    <row r="97" spans="1:23">
      <c r="A97" s="183"/>
      <c r="B97" s="124">
        <f t="shared" si="6"/>
        <v>77</v>
      </c>
      <c r="C97" s="115">
        <f t="shared" ca="1" si="7"/>
        <v>1324974.125</v>
      </c>
      <c r="D97" s="48">
        <f t="shared" ca="1" si="0"/>
        <v>9.4003279688252324</v>
      </c>
      <c r="E97" s="120">
        <f t="shared" ca="1" si="8"/>
        <v>112530</v>
      </c>
      <c r="F97" s="116">
        <f t="shared" ca="1" si="1"/>
        <v>112.53</v>
      </c>
      <c r="G97" s="118">
        <f ca="1">C97/Summary!C$23</f>
        <v>18.901200071326677</v>
      </c>
      <c r="H97" s="119">
        <f ca="1">H96+('Dev Plan (Wind)'!C96/Summary!C$23)*Summary!C$27</f>
        <v>251834.488607776</v>
      </c>
      <c r="I97" s="119">
        <f t="shared" si="9"/>
        <v>3828.1833333333352</v>
      </c>
      <c r="J97" s="119">
        <f t="shared" si="10"/>
        <v>22961.785000000036</v>
      </c>
      <c r="K97" s="119">
        <f t="shared" si="11"/>
        <v>26789.968333333371</v>
      </c>
      <c r="L97" s="122">
        <f ca="1">C96*Summary!C$16*Summary!C$17*24*375*1000*C$11</f>
        <v>1120101412500</v>
      </c>
      <c r="M97" s="122">
        <f t="shared" ca="1" si="2"/>
        <v>1125302662500</v>
      </c>
      <c r="N97" s="120">
        <f t="shared" ca="1" si="3"/>
        <v>32113</v>
      </c>
      <c r="O97" s="48">
        <f t="shared" ca="1" si="4"/>
        <v>65.784333371645175</v>
      </c>
      <c r="P97" s="115">
        <f ca="1">C97*Summary!$C$16</f>
        <v>6624870.625</v>
      </c>
      <c r="Q97" s="115">
        <f ca="1">P97*Summary!$C$17</f>
        <v>2649948.25</v>
      </c>
      <c r="R97" s="48">
        <f ca="1">Q97/'Alberta Electricity Profile'!$C$33</f>
        <v>177.81307454874857</v>
      </c>
      <c r="S97" s="235">
        <f ca="1">P97/'Alberta Electricity Profile'!$D$49</f>
        <v>50.748570394429422</v>
      </c>
      <c r="T97" s="236">
        <f t="shared" si="5"/>
        <v>347.92166666666662</v>
      </c>
      <c r="U97" s="236">
        <f t="shared" ca="1" si="12"/>
        <v>15868.068876243051</v>
      </c>
      <c r="V97" s="237">
        <f t="shared" ca="1" si="13"/>
        <v>6.37498615270193</v>
      </c>
      <c r="W97" s="237">
        <f t="shared" ca="1" si="14"/>
        <v>12749.97230540386</v>
      </c>
    </row>
    <row r="98" spans="1:23">
      <c r="A98" s="183"/>
      <c r="B98" s="124">
        <f t="shared" si="6"/>
        <v>78</v>
      </c>
      <c r="C98" s="115">
        <f t="shared" ca="1" si="7"/>
        <v>1410533.125</v>
      </c>
      <c r="D98" s="48">
        <f t="shared" ca="1" si="0"/>
        <v>9.9023126708414804</v>
      </c>
      <c r="E98" s="120">
        <f t="shared" ca="1" si="8"/>
        <v>119767</v>
      </c>
      <c r="F98" s="116">
        <f t="shared" ca="1" si="1"/>
        <v>119.767</v>
      </c>
      <c r="G98" s="118">
        <f ca="1">C98/Summary!C$23</f>
        <v>20.121727888730383</v>
      </c>
      <c r="H98" s="119">
        <f ca="1">H97+('Dev Plan (Wind)'!C97/Summary!C$23)*Summary!C$27</f>
        <v>268727.8720069027</v>
      </c>
      <c r="I98" s="119">
        <f t="shared" si="9"/>
        <v>3877.9000000000019</v>
      </c>
      <c r="J98" s="119">
        <f t="shared" si="10"/>
        <v>23259.990000000038</v>
      </c>
      <c r="K98" s="119">
        <f t="shared" si="11"/>
        <v>27137.890000000039</v>
      </c>
      <c r="L98" s="122">
        <f ca="1">C97*Summary!C$16*Summary!C$17*24*375*1000*C$11</f>
        <v>1192476712500</v>
      </c>
      <c r="M98" s="122">
        <f t="shared" ca="1" si="2"/>
        <v>1197677962500</v>
      </c>
      <c r="N98" s="120">
        <f t="shared" ca="1" si="3"/>
        <v>34208</v>
      </c>
      <c r="O98" s="48">
        <f t="shared" ca="1" si="4"/>
        <v>69.297267079321941</v>
      </c>
      <c r="P98" s="115">
        <f ca="1">C98*Summary!$C$16</f>
        <v>7052665.625</v>
      </c>
      <c r="Q98" s="115">
        <f ca="1">P98*Summary!$C$17</f>
        <v>2821066.25</v>
      </c>
      <c r="R98" s="48">
        <f ca="1">Q98/'Alberta Electricity Profile'!$C$33</f>
        <v>189.29519224317252</v>
      </c>
      <c r="S98" s="235">
        <f ca="1">P98/'Alberta Electricity Profile'!$D$49</f>
        <v>54.025613207908506</v>
      </c>
      <c r="T98" s="236">
        <f t="shared" si="5"/>
        <v>347.92166666666662</v>
      </c>
      <c r="U98" s="236">
        <f t="shared" ca="1" si="12"/>
        <v>16893.383399126702</v>
      </c>
      <c r="V98" s="237">
        <f t="shared" ca="1" si="13"/>
        <v>6.3749861527019256</v>
      </c>
      <c r="W98" s="237">
        <f t="shared" ca="1" si="14"/>
        <v>12749.972305403851</v>
      </c>
    </row>
    <row r="99" spans="1:23">
      <c r="A99" s="183"/>
      <c r="B99" s="124">
        <f t="shared" si="6"/>
        <v>79</v>
      </c>
      <c r="C99" s="115">
        <f t="shared" ca="1" si="7"/>
        <v>1501564.125</v>
      </c>
      <c r="D99" s="48">
        <f t="shared" ca="1" si="0"/>
        <v>10.431277553801197</v>
      </c>
      <c r="E99" s="120">
        <f t="shared" ca="1" si="8"/>
        <v>127468</v>
      </c>
      <c r="F99" s="116">
        <f t="shared" ca="1" si="1"/>
        <v>127.468</v>
      </c>
      <c r="G99" s="118">
        <f ca="1">C99/Summary!C$23</f>
        <v>21.420315620542084</v>
      </c>
      <c r="H99" s="119">
        <f ca="1">H98+('Dev Plan (Wind)'!C98/Summary!C$23)*Summary!C$27</f>
        <v>286712.13028650748</v>
      </c>
      <c r="I99" s="119">
        <f t="shared" si="9"/>
        <v>3927.6166666666686</v>
      </c>
      <c r="J99" s="119">
        <f t="shared" si="10"/>
        <v>23558.19500000004</v>
      </c>
      <c r="K99" s="119">
        <f t="shared" si="11"/>
        <v>27485.811666666708</v>
      </c>
      <c r="L99" s="122">
        <f ca="1">C98*Summary!C$16*Summary!C$17*24*375*1000*C$11</f>
        <v>1269479812500</v>
      </c>
      <c r="M99" s="122">
        <f t="shared" ca="1" si="2"/>
        <v>1274681062500</v>
      </c>
      <c r="N99" s="120">
        <f t="shared" ca="1" si="3"/>
        <v>36437</v>
      </c>
      <c r="O99" s="48">
        <f t="shared" ca="1" si="4"/>
        <v>72.999010499117105</v>
      </c>
      <c r="P99" s="115">
        <f ca="1">C99*Summary!$C$16</f>
        <v>7507820.625</v>
      </c>
      <c r="Q99" s="115">
        <f ca="1">P99*Summary!$C$17</f>
        <v>3003128.25</v>
      </c>
      <c r="R99" s="48">
        <f ca="1">Q99/'Alberta Electricity Profile'!$C$33</f>
        <v>201.51165872643091</v>
      </c>
      <c r="S99" s="235">
        <f ca="1">P99/'Alberta Electricity Profile'!$D$49</f>
        <v>57.512242134775512</v>
      </c>
      <c r="T99" s="236">
        <f t="shared" si="5"/>
        <v>347.92166666666662</v>
      </c>
      <c r="U99" s="236">
        <f t="shared" ca="1" si="12"/>
        <v>17984.258279604779</v>
      </c>
      <c r="V99" s="237">
        <f t="shared" ca="1" si="13"/>
        <v>6.3749861527019362</v>
      </c>
      <c r="W99" s="237">
        <f t="shared" ca="1" si="14"/>
        <v>12749.972305403873</v>
      </c>
    </row>
    <row r="100" spans="1:23">
      <c r="A100" s="183"/>
      <c r="B100" s="124">
        <f t="shared" si="6"/>
        <v>80</v>
      </c>
      <c r="C100" s="115">
        <f t="shared" ca="1" si="7"/>
        <v>1598416.125</v>
      </c>
      <c r="D100" s="48">
        <f t="shared" ca="1" si="0"/>
        <v>10.988717454181915</v>
      </c>
      <c r="E100" s="120">
        <f t="shared" ca="1" si="8"/>
        <v>135660</v>
      </c>
      <c r="F100" s="116">
        <f t="shared" ca="1" si="1"/>
        <v>135.66</v>
      </c>
      <c r="G100" s="118">
        <f ca="1">C100/Summary!C$23</f>
        <v>22.801941868758917</v>
      </c>
      <c r="H100" s="119">
        <f ca="1">H99+('Dev Plan (Wind)'!C99/Summary!C$23)*Summary!C$27</f>
        <v>305857.03129504545</v>
      </c>
      <c r="I100" s="119">
        <f t="shared" si="9"/>
        <v>3977.3333333333353</v>
      </c>
      <c r="J100" s="119">
        <f t="shared" si="10"/>
        <v>23856.400000000041</v>
      </c>
      <c r="K100" s="119">
        <f t="shared" si="11"/>
        <v>27833.733333333377</v>
      </c>
      <c r="L100" s="122">
        <f ca="1">C99*Summary!C$16*Summary!C$17*24*375*1000*C$11</f>
        <v>1351407712500</v>
      </c>
      <c r="M100" s="122">
        <f t="shared" ca="1" si="2"/>
        <v>1356608962500</v>
      </c>
      <c r="N100" s="120">
        <f t="shared" ca="1" si="3"/>
        <v>38808</v>
      </c>
      <c r="O100" s="48">
        <f t="shared" ca="1" si="4"/>
        <v>76.900024629997986</v>
      </c>
      <c r="P100" s="115">
        <f ca="1">C100*Summary!$C$16</f>
        <v>7992080.625</v>
      </c>
      <c r="Q100" s="115">
        <f ca="1">P100*Summary!$C$17</f>
        <v>3196832.25</v>
      </c>
      <c r="R100" s="48">
        <f ca="1">Q100/'Alberta Electricity Profile'!$C$33</f>
        <v>214.50931020599879</v>
      </c>
      <c r="S100" s="235">
        <f ca="1">P100/'Alberta Electricity Profile'!$D$49</f>
        <v>61.221824418007863</v>
      </c>
      <c r="T100" s="236">
        <f t="shared" si="5"/>
        <v>347.92166666666662</v>
      </c>
      <c r="U100" s="236">
        <f t="shared" ca="1" si="12"/>
        <v>19144.90100853797</v>
      </c>
      <c r="V100" s="237">
        <f t="shared" ca="1" si="13"/>
        <v>6.3749861527019265</v>
      </c>
      <c r="W100" s="237">
        <f t="shared" ca="1" si="14"/>
        <v>12749.972305403853</v>
      </c>
    </row>
    <row r="101" spans="1:23">
      <c r="A101" s="183"/>
      <c r="B101" s="124">
        <f t="shared" si="6"/>
        <v>81</v>
      </c>
      <c r="C101" s="115">
        <f t="shared" ca="1" si="7"/>
        <v>1701463.125</v>
      </c>
      <c r="D101" s="48">
        <f t="shared" ca="1" si="0"/>
        <v>11.576211284302</v>
      </c>
      <c r="E101" s="120">
        <f t="shared" ca="1" si="8"/>
        <v>144377</v>
      </c>
      <c r="F101" s="116">
        <f t="shared" ca="1" si="1"/>
        <v>144.37700000000001</v>
      </c>
      <c r="G101" s="118">
        <f ca="1">C101/Summary!C$23</f>
        <v>24.271941868758915</v>
      </c>
      <c r="H101" s="119">
        <f ca="1">H100+('Dev Plan (Wind)'!C100/Summary!C$23)*Summary!C$27</f>
        <v>326236.79262130638</v>
      </c>
      <c r="I101" s="119">
        <f t="shared" si="9"/>
        <v>4027.050000000002</v>
      </c>
      <c r="J101" s="119">
        <f t="shared" si="10"/>
        <v>24154.605000000043</v>
      </c>
      <c r="K101" s="119">
        <f t="shared" si="11"/>
        <v>28181.655000000046</v>
      </c>
      <c r="L101" s="122">
        <f ca="1">C100*Summary!C$16*Summary!C$17*24*375*1000*C$11</f>
        <v>1438574512500</v>
      </c>
      <c r="M101" s="122">
        <f t="shared" ca="1" si="2"/>
        <v>1443775762500</v>
      </c>
      <c r="N101" s="120">
        <f t="shared" ca="1" si="3"/>
        <v>41330</v>
      </c>
      <c r="O101" s="48">
        <f t="shared" ca="1" si="4"/>
        <v>81.011358841163187</v>
      </c>
      <c r="P101" s="115">
        <f ca="1">C101*Summary!$C$16</f>
        <v>8507315.625</v>
      </c>
      <c r="Q101" s="115">
        <f ca="1">P101*Summary!$C$17</f>
        <v>3402926.25</v>
      </c>
      <c r="R101" s="48">
        <f ca="1">Q101/'Alberta Electricity Profile'!$C$33</f>
        <v>228.33833791853988</v>
      </c>
      <c r="S101" s="235">
        <f ca="1">P101/'Alberta Electricity Profile'!$D$49</f>
        <v>65.168684839478175</v>
      </c>
      <c r="T101" s="236">
        <f t="shared" si="5"/>
        <v>347.92166666666662</v>
      </c>
      <c r="U101" s="236">
        <f t="shared" ca="1" si="12"/>
        <v>20379.761326260923</v>
      </c>
      <c r="V101" s="237">
        <f t="shared" ca="1" si="13"/>
        <v>6.3749861527019203</v>
      </c>
      <c r="W101" s="237">
        <f t="shared" ca="1" si="14"/>
        <v>12749.97230540384</v>
      </c>
    </row>
    <row r="102" spans="1:23">
      <c r="A102" s="183"/>
      <c r="B102" s="124">
        <f t="shared" si="6"/>
        <v>82</v>
      </c>
      <c r="C102" s="115">
        <f t="shared" ca="1" si="7"/>
        <v>1811100.125</v>
      </c>
      <c r="D102" s="48">
        <f t="shared" ca="1" si="0"/>
        <v>12.195428078336541</v>
      </c>
      <c r="E102" s="120">
        <f t="shared" ca="1" si="8"/>
        <v>153651</v>
      </c>
      <c r="F102" s="116">
        <f t="shared" ca="1" si="1"/>
        <v>153.65100000000001</v>
      </c>
      <c r="G102" s="118">
        <f ca="1">C102/Summary!C$23</f>
        <v>25.835950427960057</v>
      </c>
      <c r="H102" s="119">
        <f ca="1">H101+('Dev Plan (Wind)'!C101/Summary!C$23)*Summary!C$27</f>
        <v>347930.40034372226</v>
      </c>
      <c r="I102" s="119">
        <f t="shared" si="9"/>
        <v>4076.7666666666687</v>
      </c>
      <c r="J102" s="119">
        <f t="shared" si="10"/>
        <v>24452.810000000045</v>
      </c>
      <c r="K102" s="119">
        <f t="shared" si="11"/>
        <v>28529.576666666715</v>
      </c>
      <c r="L102" s="122">
        <f ca="1">C101*Summary!C$16*Summary!C$17*24*375*1000*C$11</f>
        <v>1531316812500</v>
      </c>
      <c r="M102" s="122">
        <f t="shared" ca="1" si="2"/>
        <v>1536518062500</v>
      </c>
      <c r="N102" s="120">
        <f t="shared" ca="1" si="3"/>
        <v>44014</v>
      </c>
      <c r="O102" s="48">
        <f t="shared" ca="1" si="4"/>
        <v>85.344693182601105</v>
      </c>
      <c r="P102" s="115">
        <f ca="1">C102*Summary!$C$16</f>
        <v>9055500.625</v>
      </c>
      <c r="Q102" s="115">
        <f ca="1">P102*Summary!$C$17</f>
        <v>3622200.25</v>
      </c>
      <c r="R102" s="48">
        <f ca="1">Q102/'Alberta Electricity Profile'!$C$33</f>
        <v>243.05175132523652</v>
      </c>
      <c r="S102" s="235">
        <f ca="1">P102/'Alberta Electricity Profile'!$D$49</f>
        <v>69.367952513731112</v>
      </c>
      <c r="T102" s="236">
        <f t="shared" si="5"/>
        <v>347.92166666666662</v>
      </c>
      <c r="U102" s="236">
        <f t="shared" ca="1" si="12"/>
        <v>21693.60772241588</v>
      </c>
      <c r="V102" s="237">
        <f t="shared" ca="1" si="13"/>
        <v>6.374986152701922</v>
      </c>
      <c r="W102" s="237">
        <f t="shared" ca="1" si="14"/>
        <v>12749.972305403844</v>
      </c>
    </row>
    <row r="103" spans="1:23">
      <c r="A103" s="183"/>
      <c r="B103" s="124">
        <f t="shared" si="6"/>
        <v>83</v>
      </c>
      <c r="C103" s="115">
        <f t="shared" ca="1" si="7"/>
        <v>1927749.125</v>
      </c>
      <c r="D103" s="48">
        <f t="shared" ca="1" si="0"/>
        <v>12.848130835194754</v>
      </c>
      <c r="E103" s="120">
        <f t="shared" ca="1" si="8"/>
        <v>163519</v>
      </c>
      <c r="F103" s="116">
        <f t="shared" ca="1" si="1"/>
        <v>163.51900000000001</v>
      </c>
      <c r="G103" s="118">
        <f ca="1">C103/Summary!C$23</f>
        <v>27.49998751783167</v>
      </c>
      <c r="H103" s="119">
        <f ca="1">H102+('Dev Plan (Wind)'!C102/Summary!C$23)*Summary!C$27</f>
        <v>371021.87677978573</v>
      </c>
      <c r="I103" s="119">
        <f t="shared" si="9"/>
        <v>4126.4833333333354</v>
      </c>
      <c r="J103" s="119">
        <f t="shared" si="10"/>
        <v>24751.015000000047</v>
      </c>
      <c r="K103" s="119">
        <f t="shared" si="11"/>
        <v>28877.49833333338</v>
      </c>
      <c r="L103" s="122">
        <f ca="1">C102*Summary!C$16*Summary!C$17*24*375*1000*C$11</f>
        <v>1629990112500</v>
      </c>
      <c r="M103" s="122">
        <f t="shared" ca="1" si="2"/>
        <v>1635191362500</v>
      </c>
      <c r="N103" s="120">
        <f t="shared" ca="1" si="3"/>
        <v>46870</v>
      </c>
      <c r="O103" s="48">
        <f t="shared" ca="1" si="4"/>
        <v>89.912365277888483</v>
      </c>
      <c r="P103" s="115">
        <f ca="1">C103*Summary!$C$16</f>
        <v>9638745.625</v>
      </c>
      <c r="Q103" s="115">
        <f ca="1">P103*Summary!$C$17</f>
        <v>3855498.25</v>
      </c>
      <c r="R103" s="48">
        <f ca="1">Q103/'Alberta Electricity Profile'!$C$33</f>
        <v>258.7061833187949</v>
      </c>
      <c r="S103" s="235">
        <f ca="1">P103/'Alberta Electricity Profile'!$D$49</f>
        <v>73.835790697318131</v>
      </c>
      <c r="T103" s="236">
        <f t="shared" si="5"/>
        <v>347.92166666666662</v>
      </c>
      <c r="U103" s="236">
        <f t="shared" ca="1" si="12"/>
        <v>23091.476436063473</v>
      </c>
      <c r="V103" s="237">
        <f t="shared" ca="1" si="13"/>
        <v>6.3749861527019309</v>
      </c>
      <c r="W103" s="237">
        <f t="shared" ca="1" si="14"/>
        <v>12749.972305403862</v>
      </c>
    </row>
    <row r="104" spans="1:23">
      <c r="A104" s="183"/>
      <c r="B104" s="164">
        <f t="shared" si="6"/>
        <v>84</v>
      </c>
      <c r="C104" s="115">
        <f t="shared" ca="1" si="7"/>
        <v>2051858.125</v>
      </c>
      <c r="D104" s="48">
        <f t="shared" ca="1" si="0"/>
        <v>13.536182704484711</v>
      </c>
      <c r="E104" s="120">
        <f t="shared" ca="1" si="8"/>
        <v>174017</v>
      </c>
      <c r="F104" s="116">
        <f t="shared" ca="1" si="1"/>
        <v>174.017</v>
      </c>
      <c r="G104" s="118">
        <f ca="1">C104/Summary!C$23</f>
        <v>29.270444008559203</v>
      </c>
      <c r="H104" s="119">
        <f ca="1">H103+('Dev Plan (Wind)'!C103/Summary!C$23)*Summary!C$27</f>
        <v>395600.62473530223</v>
      </c>
      <c r="I104" s="119">
        <f t="shared" si="9"/>
        <v>4176.2000000000016</v>
      </c>
      <c r="J104" s="119">
        <f t="shared" si="10"/>
        <v>25049.220000000048</v>
      </c>
      <c r="K104" s="119">
        <f t="shared" si="11"/>
        <v>29225.420000000049</v>
      </c>
      <c r="L104" s="122">
        <f ca="1">C103*Summary!C$16*Summary!C$17*24*375*1000*C$11</f>
        <v>1734974212500</v>
      </c>
      <c r="M104" s="122">
        <f t="shared" ca="1" si="2"/>
        <v>1740175462500</v>
      </c>
      <c r="N104" s="120">
        <f t="shared" ca="1" si="3"/>
        <v>49908</v>
      </c>
      <c r="O104" s="48">
        <f t="shared" ca="1" si="4"/>
        <v>94.727413614123378</v>
      </c>
      <c r="P104" s="115">
        <f ca="1">C104*Summary!$C$16</f>
        <v>10259290.625</v>
      </c>
      <c r="Q104" s="115">
        <f ca="1">P104*Summary!$C$17</f>
        <v>4103716.25</v>
      </c>
      <c r="R104" s="48">
        <f ca="1">Q104/'Alberta Electricity Profile'!$C$33</f>
        <v>275.3617560222774</v>
      </c>
      <c r="S104" s="235">
        <f ca="1">P104/'Alberta Electricity Profile'!$D$49</f>
        <v>78.589358487241753</v>
      </c>
      <c r="T104" s="236">
        <f t="shared" si="5"/>
        <v>347.92166666666662</v>
      </c>
      <c r="U104" s="236">
        <f t="shared" ca="1" si="12"/>
        <v>24578.747955516505</v>
      </c>
      <c r="V104" s="237">
        <f t="shared" ca="1" si="13"/>
        <v>6.3749861527019247</v>
      </c>
      <c r="W104" s="237">
        <f t="shared" ca="1" si="14"/>
        <v>12749.97230540385</v>
      </c>
    </row>
    <row r="105" spans="1:23">
      <c r="A105" s="183"/>
      <c r="B105" s="124">
        <f t="shared" si="6"/>
        <v>85</v>
      </c>
      <c r="C105" s="115">
        <f t="shared" ca="1" si="7"/>
        <v>2183904.125</v>
      </c>
      <c r="D105" s="48">
        <f t="shared" ca="1" si="0"/>
        <v>14.26155230469117</v>
      </c>
      <c r="E105" s="120">
        <f t="shared" ca="1" si="8"/>
        <v>185187</v>
      </c>
      <c r="F105" s="116">
        <f t="shared" ca="1" si="1"/>
        <v>185.18700000000001</v>
      </c>
      <c r="G105" s="118">
        <f ca="1">C105/Summary!C$23</f>
        <v>31.154124465049929</v>
      </c>
      <c r="H105" s="119">
        <f ca="1">H104+('Dev Plan (Wind)'!C104/Summary!C$23)*Summary!C$27</f>
        <v>421761.75900367013</v>
      </c>
      <c r="I105" s="119">
        <f t="shared" si="9"/>
        <v>4225.9166666666679</v>
      </c>
      <c r="J105" s="119">
        <f t="shared" si="10"/>
        <v>25347.42500000005</v>
      </c>
      <c r="K105" s="119">
        <f t="shared" si="11"/>
        <v>29573.341666666718</v>
      </c>
      <c r="L105" s="122">
        <f ca="1">C104*Summary!C$16*Summary!C$17*24*375*1000*C$11</f>
        <v>1846672312500</v>
      </c>
      <c r="M105" s="122">
        <f t="shared" ca="1" si="2"/>
        <v>1851873562500</v>
      </c>
      <c r="N105" s="120">
        <f t="shared" ca="1" si="3"/>
        <v>53141</v>
      </c>
      <c r="O105" s="48">
        <f t="shared" ca="1" si="4"/>
        <v>99.803614759007715</v>
      </c>
      <c r="P105" s="115">
        <f ca="1">C105*Summary!$C$16</f>
        <v>10919520.625</v>
      </c>
      <c r="Q105" s="115">
        <f ca="1">P105*Summary!$C$17</f>
        <v>4367808.25</v>
      </c>
      <c r="R105" s="48">
        <f ca="1">Q105/'Alberta Electricity Profile'!$C$33</f>
        <v>293.08248339260552</v>
      </c>
      <c r="S105" s="235">
        <f ca="1">P105/'Alberta Electricity Profile'!$D$49</f>
        <v>83.646925725622978</v>
      </c>
      <c r="T105" s="236">
        <f t="shared" si="5"/>
        <v>347.92166666666662</v>
      </c>
      <c r="U105" s="236">
        <f t="shared" ca="1" si="12"/>
        <v>26161.134268367896</v>
      </c>
      <c r="V105" s="237">
        <f t="shared" ca="1" si="13"/>
        <v>6.3749861527019309</v>
      </c>
      <c r="W105" s="237">
        <f t="shared" ca="1" si="14"/>
        <v>12749.972305403862</v>
      </c>
    </row>
    <row r="106" spans="1:23">
      <c r="A106" s="183"/>
      <c r="B106" s="124">
        <f t="shared" si="6"/>
        <v>86</v>
      </c>
      <c r="C106" s="115">
        <f t="shared" ca="1" si="7"/>
        <v>2324394.125</v>
      </c>
      <c r="D106" s="48">
        <f t="shared" ca="1" si="0"/>
        <v>15.026319948670057</v>
      </c>
      <c r="E106" s="120">
        <f t="shared" ca="1" si="8"/>
        <v>197071</v>
      </c>
      <c r="F106" s="116">
        <f t="shared" ca="1" si="1"/>
        <v>197.071</v>
      </c>
      <c r="G106" s="118">
        <f ca="1">C106/Summary!C$23</f>
        <v>33.158261412268189</v>
      </c>
      <c r="H106" s="119">
        <f ca="1">H105+('Dev Plan (Wind)'!C105/Summary!C$23)*Summary!C$27</f>
        <v>449606.47611507738</v>
      </c>
      <c r="I106" s="119">
        <f t="shared" si="9"/>
        <v>4275.6333333333341</v>
      </c>
      <c r="J106" s="119">
        <f t="shared" si="10"/>
        <v>25645.630000000052</v>
      </c>
      <c r="K106" s="119">
        <f t="shared" si="11"/>
        <v>29921.263333333387</v>
      </c>
      <c r="L106" s="122">
        <f ca="1">C105*Summary!C$16*Summary!C$17*24*375*1000*C$11</f>
        <v>1965513712500</v>
      </c>
      <c r="M106" s="122">
        <f t="shared" ca="1" si="2"/>
        <v>1970714962500</v>
      </c>
      <c r="N106" s="120">
        <f t="shared" ca="1" si="3"/>
        <v>56581</v>
      </c>
      <c r="O106" s="48">
        <f t="shared" ca="1" si="4"/>
        <v>105.15552692741285</v>
      </c>
      <c r="P106" s="115">
        <f ca="1">C106*Summary!$C$16</f>
        <v>11621970.625</v>
      </c>
      <c r="Q106" s="115">
        <f ca="1">P106*Summary!$C$17</f>
        <v>4648788.25</v>
      </c>
      <c r="R106" s="48">
        <f ca="1">Q106/'Alberta Electricity Profile'!$C$33</f>
        <v>311.93640542172716</v>
      </c>
      <c r="S106" s="235">
        <f ca="1">P106/'Alberta Electricity Profile'!$D$49</f>
        <v>89.027911301257063</v>
      </c>
      <c r="T106" s="236">
        <f t="shared" si="5"/>
        <v>347.92166666666662</v>
      </c>
      <c r="U106" s="236">
        <f t="shared" ca="1" si="12"/>
        <v>27844.717111407255</v>
      </c>
      <c r="V106" s="237">
        <f t="shared" ca="1" si="13"/>
        <v>6.3749861527019309</v>
      </c>
      <c r="W106" s="237">
        <f t="shared" ca="1" si="14"/>
        <v>12749.972305403862</v>
      </c>
    </row>
    <row r="107" spans="1:23">
      <c r="A107" s="183"/>
      <c r="B107" s="124">
        <f t="shared" si="6"/>
        <v>87</v>
      </c>
      <c r="C107" s="115">
        <f t="shared" ca="1" si="7"/>
        <v>2473868.125</v>
      </c>
      <c r="D107" s="48">
        <f t="shared" ca="1" si="0"/>
        <v>15.83268386101806</v>
      </c>
      <c r="E107" s="120">
        <f t="shared" ca="1" si="8"/>
        <v>209715</v>
      </c>
      <c r="F107" s="116">
        <f t="shared" ca="1" si="1"/>
        <v>209.715</v>
      </c>
      <c r="G107" s="118">
        <f ca="1">C107/Summary!C$23</f>
        <v>35.290558131241085</v>
      </c>
      <c r="H107" s="119">
        <f ca="1">H106+('Dev Plan (Wind)'!C106/Summary!C$23)*Summary!C$27</f>
        <v>479242.43683567084</v>
      </c>
      <c r="I107" s="119">
        <f t="shared" si="9"/>
        <v>4325.3500000000004</v>
      </c>
      <c r="J107" s="119">
        <f t="shared" si="10"/>
        <v>25943.835000000054</v>
      </c>
      <c r="K107" s="119">
        <f t="shared" si="11"/>
        <v>30269.185000000056</v>
      </c>
      <c r="L107" s="122">
        <f ca="1">C106*Summary!C$16*Summary!C$17*24*375*1000*C$11</f>
        <v>2091954712500</v>
      </c>
      <c r="M107" s="122">
        <f t="shared" ca="1" si="2"/>
        <v>2097155962500</v>
      </c>
      <c r="N107" s="120">
        <f t="shared" ca="1" si="3"/>
        <v>60241</v>
      </c>
      <c r="O107" s="48">
        <f t="shared" ca="1" si="4"/>
        <v>110.79853349108646</v>
      </c>
      <c r="P107" s="115">
        <f ca="1">C107*Summary!$C$16</f>
        <v>12369340.625</v>
      </c>
      <c r="Q107" s="115">
        <f ca="1">P107*Summary!$C$17</f>
        <v>4947736.25</v>
      </c>
      <c r="R107" s="48">
        <f ca="1">Q107/'Alberta Electricity Profile'!$C$33</f>
        <v>331.99599074011945</v>
      </c>
      <c r="S107" s="235">
        <f ca="1">P107/'Alberta Electricity Profile'!$D$49</f>
        <v>94.752998054280965</v>
      </c>
      <c r="T107" s="236">
        <f t="shared" si="5"/>
        <v>347.92166666666662</v>
      </c>
      <c r="U107" s="236">
        <f t="shared" ca="1" si="12"/>
        <v>29635.960720593459</v>
      </c>
      <c r="V107" s="237">
        <f t="shared" ca="1" si="13"/>
        <v>6.3749861527019345</v>
      </c>
      <c r="W107" s="237">
        <f t="shared" ca="1" si="14"/>
        <v>12749.97230540387</v>
      </c>
    </row>
    <row r="108" spans="1:23">
      <c r="A108" s="183"/>
      <c r="B108" s="124">
        <f t="shared" si="6"/>
        <v>88</v>
      </c>
      <c r="C108" s="115">
        <f t="shared" ca="1" si="7"/>
        <v>2632900.125</v>
      </c>
      <c r="D108" s="48">
        <f t="shared" ca="1" si="0"/>
        <v>16.682967220829532</v>
      </c>
      <c r="E108" s="120">
        <f t="shared" ca="1" si="8"/>
        <v>223168</v>
      </c>
      <c r="F108" s="116">
        <f t="shared" ca="1" si="1"/>
        <v>223.16800000000001</v>
      </c>
      <c r="G108" s="118">
        <f ca="1">C108/Summary!C$23</f>
        <v>37.559202924393723</v>
      </c>
      <c r="H108" s="119">
        <f ca="1">H107+('Dev Plan (Wind)'!C107/Summary!C$23)*Summary!C$27</f>
        <v>510784.18691664224</v>
      </c>
      <c r="I108" s="119">
        <f t="shared" si="9"/>
        <v>4375.0666666666666</v>
      </c>
      <c r="J108" s="119">
        <f t="shared" si="10"/>
        <v>26242.040000000055</v>
      </c>
      <c r="K108" s="119">
        <f t="shared" si="11"/>
        <v>30617.106666666721</v>
      </c>
      <c r="L108" s="122">
        <f ca="1">C107*Summary!C$16*Summary!C$17*24*375*1000*C$11</f>
        <v>2226481312500</v>
      </c>
      <c r="M108" s="122">
        <f t="shared" ca="1" si="2"/>
        <v>2231682562500</v>
      </c>
      <c r="N108" s="120">
        <f t="shared" ca="1" si="3"/>
        <v>64136</v>
      </c>
      <c r="O108" s="48">
        <f t="shared" ca="1" si="4"/>
        <v>116.74889226449325</v>
      </c>
      <c r="P108" s="115">
        <f ca="1">C108*Summary!$C$16</f>
        <v>13164500.625</v>
      </c>
      <c r="Q108" s="115">
        <f ca="1">P108*Summary!$C$17</f>
        <v>5265800.25</v>
      </c>
      <c r="R108" s="48">
        <f ca="1">Q108/'Alberta Electricity Profile'!$C$33</f>
        <v>353.33827081795613</v>
      </c>
      <c r="S108" s="235">
        <f ca="1">P108/'Alberta Electricity Profile'!$D$49</f>
        <v>100.84417107772917</v>
      </c>
      <c r="T108" s="236">
        <f t="shared" si="5"/>
        <v>347.92166666666662</v>
      </c>
      <c r="U108" s="236">
        <f t="shared" ca="1" si="12"/>
        <v>31541.750080971397</v>
      </c>
      <c r="V108" s="237">
        <f t="shared" ca="1" si="13"/>
        <v>6.3749861527019345</v>
      </c>
      <c r="W108" s="237">
        <f t="shared" ca="1" si="14"/>
        <v>12749.97230540387</v>
      </c>
    </row>
    <row r="109" spans="1:23">
      <c r="A109" s="183"/>
      <c r="B109" s="124">
        <f t="shared" si="6"/>
        <v>89</v>
      </c>
      <c r="C109" s="115">
        <f t="shared" ca="1" si="7"/>
        <v>2802102.125</v>
      </c>
      <c r="D109" s="48">
        <f t="shared" ca="1" si="0"/>
        <v>17.579625141414713</v>
      </c>
      <c r="E109" s="120">
        <f t="shared" ca="1" si="8"/>
        <v>237481</v>
      </c>
      <c r="F109" s="116">
        <f t="shared" ca="1" si="1"/>
        <v>237.48099999999999</v>
      </c>
      <c r="G109" s="118">
        <f ca="1">C109/Summary!C$23</f>
        <v>39.972926176890155</v>
      </c>
      <c r="H109" s="119">
        <f ca="1">H108+('Dev Plan (Wind)'!C108/Summary!C$23)*Summary!C$27</f>
        <v>544353.59059328656</v>
      </c>
      <c r="I109" s="119">
        <f t="shared" si="9"/>
        <v>4424.7833333333328</v>
      </c>
      <c r="J109" s="119">
        <f t="shared" si="10"/>
        <v>26540.245000000057</v>
      </c>
      <c r="K109" s="119">
        <f t="shared" si="11"/>
        <v>30965.02833333339</v>
      </c>
      <c r="L109" s="122">
        <f ca="1">C108*Summary!C$16*Summary!C$17*24*375*1000*C$11</f>
        <v>2369610112500</v>
      </c>
      <c r="M109" s="122">
        <f t="shared" ca="1" si="2"/>
        <v>2374811362500</v>
      </c>
      <c r="N109" s="120">
        <f t="shared" ca="1" si="3"/>
        <v>68279</v>
      </c>
      <c r="O109" s="48">
        <f t="shared" ca="1" si="4"/>
        <v>123.02378434950562</v>
      </c>
      <c r="P109" s="115">
        <f ca="1">C109*Summary!$C$16</f>
        <v>14010510.625</v>
      </c>
      <c r="Q109" s="115">
        <f ca="1">P109*Summary!$C$17</f>
        <v>5604204.25</v>
      </c>
      <c r="R109" s="48">
        <f ca="1">Q109/'Alberta Electricity Profile'!$C$33</f>
        <v>376.04537676977787</v>
      </c>
      <c r="S109" s="235">
        <f ca="1">P109/'Alberta Electricity Profile'!$D$49</f>
        <v>107.32487092375692</v>
      </c>
      <c r="T109" s="236">
        <f t="shared" si="5"/>
        <v>347.92166666666662</v>
      </c>
      <c r="U109" s="236">
        <f t="shared" ca="1" si="12"/>
        <v>33569.403676644317</v>
      </c>
      <c r="V109" s="237">
        <f t="shared" ca="1" si="13"/>
        <v>6.3749861527019211</v>
      </c>
      <c r="W109" s="237">
        <f t="shared" ca="1" si="14"/>
        <v>12749.972305403842</v>
      </c>
    </row>
    <row r="110" spans="1:23">
      <c r="A110" s="183"/>
      <c r="B110" s="124">
        <f t="shared" si="6"/>
        <v>90</v>
      </c>
      <c r="C110" s="115">
        <f t="shared" ca="1" si="7"/>
        <v>2982124.125</v>
      </c>
      <c r="D110" s="48">
        <f t="shared" ca="1" si="0"/>
        <v>18.525252813419009</v>
      </c>
      <c r="E110" s="120">
        <f t="shared" ca="1" si="8"/>
        <v>252709</v>
      </c>
      <c r="F110" s="116">
        <f t="shared" ca="1" si="1"/>
        <v>252.709</v>
      </c>
      <c r="G110" s="118">
        <f ca="1">C110/Summary!C$23</f>
        <v>42.541000356633383</v>
      </c>
      <c r="H110" s="119">
        <f ca="1">H109+('Dev Plan (Wind)'!C109/Summary!C$23)*Summary!C$27</f>
        <v>580080.31508394983</v>
      </c>
      <c r="I110" s="119">
        <f t="shared" si="9"/>
        <v>4474.4999999999991</v>
      </c>
      <c r="J110" s="119">
        <f t="shared" si="10"/>
        <v>26838.450000000059</v>
      </c>
      <c r="K110" s="119">
        <f t="shared" si="11"/>
        <v>31312.950000000059</v>
      </c>
      <c r="L110" s="122">
        <f ca="1">C109*Summary!C$16*Summary!C$17*24*375*1000*C$11</f>
        <v>2521891912500</v>
      </c>
      <c r="M110" s="122">
        <f t="shared" ca="1" si="2"/>
        <v>2527093162500</v>
      </c>
      <c r="N110" s="120">
        <f t="shared" ca="1" si="3"/>
        <v>72687</v>
      </c>
      <c r="O110" s="48">
        <f t="shared" ca="1" si="4"/>
        <v>129.64137112167839</v>
      </c>
      <c r="P110" s="115">
        <f ca="1">C110*Summary!$C$16</f>
        <v>14910620.625</v>
      </c>
      <c r="Q110" s="115">
        <f ca="1">P110*Summary!$C$17</f>
        <v>5964248.25</v>
      </c>
      <c r="R110" s="48">
        <f ca="1">Q110/'Alberta Electricity Profile'!$C$33</f>
        <v>400.2045393544924</v>
      </c>
      <c r="S110" s="235">
        <f ca="1">P110/'Alberta Electricity Profile'!$D$49</f>
        <v>114.21999360364018</v>
      </c>
      <c r="T110" s="236">
        <f t="shared" si="5"/>
        <v>347.92166666666662</v>
      </c>
      <c r="U110" s="236">
        <f t="shared" ca="1" si="12"/>
        <v>35726.72449066327</v>
      </c>
      <c r="V110" s="237">
        <f t="shared" ca="1" si="13"/>
        <v>6.3749861527019238</v>
      </c>
      <c r="W110" s="237">
        <f t="shared" ca="1" si="14"/>
        <v>12749.972305403848</v>
      </c>
    </row>
    <row r="111" spans="1:23">
      <c r="A111" s="183"/>
      <c r="B111" s="124">
        <f t="shared" si="6"/>
        <v>91</v>
      </c>
      <c r="C111" s="115">
        <f t="shared" ca="1" si="7"/>
        <v>3173658.125</v>
      </c>
      <c r="D111" s="48">
        <f t="shared" ca="1" si="0"/>
        <v>19.522593111033281</v>
      </c>
      <c r="E111" s="120">
        <f t="shared" ca="1" si="8"/>
        <v>268911</v>
      </c>
      <c r="F111" s="116">
        <f t="shared" ca="1" si="1"/>
        <v>268.911</v>
      </c>
      <c r="G111" s="118">
        <f ca="1">C111/Summary!C$23</f>
        <v>45.27329707560628</v>
      </c>
      <c r="H111" s="119">
        <f ca="1">H110+('Dev Plan (Wind)'!C110/Summary!C$23)*Summary!C$27</f>
        <v>618102.31508897652</v>
      </c>
      <c r="I111" s="119">
        <f t="shared" si="9"/>
        <v>4524.2166666666653</v>
      </c>
      <c r="J111" s="119">
        <f t="shared" si="10"/>
        <v>27136.655000000061</v>
      </c>
      <c r="K111" s="119">
        <f t="shared" si="11"/>
        <v>31660.871666666724</v>
      </c>
      <c r="L111" s="122">
        <f ca="1">C110*Summary!C$16*Summary!C$17*24*375*1000*C$11</f>
        <v>2683911712500</v>
      </c>
      <c r="M111" s="122">
        <f t="shared" ca="1" si="2"/>
        <v>2689112962500</v>
      </c>
      <c r="N111" s="120">
        <f t="shared" ca="1" si="3"/>
        <v>77377</v>
      </c>
      <c r="O111" s="48">
        <f t="shared" ca="1" si="4"/>
        <v>136.62084745918668</v>
      </c>
      <c r="P111" s="115">
        <f ca="1">C111*Summary!$C$16</f>
        <v>15868290.625</v>
      </c>
      <c r="Q111" s="115">
        <f ca="1">P111*Summary!$C$17</f>
        <v>6347316.25</v>
      </c>
      <c r="R111" s="48">
        <f ca="1">Q111/'Alberta Electricity Profile'!$C$33</f>
        <v>425.9086257800443</v>
      </c>
      <c r="S111" s="235">
        <f ca="1">P111/'Alberta Electricity Profile'!$D$49</f>
        <v>121.55604379399891</v>
      </c>
      <c r="T111" s="236">
        <f t="shared" si="5"/>
        <v>347.92166666666662</v>
      </c>
      <c r="U111" s="236">
        <f t="shared" ca="1" si="12"/>
        <v>38022.000005026697</v>
      </c>
      <c r="V111" s="237">
        <f t="shared" ca="1" si="13"/>
        <v>6.3749861527019265</v>
      </c>
      <c r="W111" s="237">
        <f t="shared" ca="1" si="14"/>
        <v>12749.972305403853</v>
      </c>
    </row>
    <row r="112" spans="1:23">
      <c r="A112" s="183"/>
      <c r="B112" s="124">
        <f t="shared" si="6"/>
        <v>92</v>
      </c>
      <c r="C112" s="115">
        <f t="shared" ca="1" si="7"/>
        <v>3377440.125</v>
      </c>
      <c r="D112" s="48">
        <f t="shared" ca="1" si="0"/>
        <v>20.574545295455643</v>
      </c>
      <c r="E112" s="120">
        <f t="shared" ca="1" si="8"/>
        <v>286149</v>
      </c>
      <c r="F112" s="116">
        <f t="shared" ca="1" si="1"/>
        <v>286.149</v>
      </c>
      <c r="G112" s="118">
        <f ca="1">C112/Summary!C$23</f>
        <v>48.180315620542082</v>
      </c>
      <c r="H112" s="119">
        <f ca="1">H111+('Dev Plan (Wind)'!C111/Summary!C$23)*Summary!C$27</f>
        <v>658566.36828954646</v>
      </c>
      <c r="I112" s="119">
        <f t="shared" si="9"/>
        <v>4573.9333333333316</v>
      </c>
      <c r="J112" s="119">
        <f t="shared" si="10"/>
        <v>27434.860000000062</v>
      </c>
      <c r="K112" s="119">
        <f t="shared" si="11"/>
        <v>32008.793333333393</v>
      </c>
      <c r="L112" s="122">
        <f ca="1">C111*Summary!C$16*Summary!C$17*24*375*1000*C$11</f>
        <v>2856292312500</v>
      </c>
      <c r="M112" s="122">
        <f t="shared" ca="1" si="2"/>
        <v>2861493562500</v>
      </c>
      <c r="N112" s="120">
        <f t="shared" ca="1" si="3"/>
        <v>82367</v>
      </c>
      <c r="O112" s="48">
        <f t="shared" ca="1" si="4"/>
        <v>143.98250265042779</v>
      </c>
      <c r="P112" s="115">
        <f ca="1">C112*Summary!$C$16</f>
        <v>16887200.625</v>
      </c>
      <c r="Q112" s="115">
        <f ca="1">P112*Summary!$C$17</f>
        <v>6754880.25</v>
      </c>
      <c r="R112" s="48">
        <f ca="1">Q112/'Alberta Electricity Profile'!$C$33</f>
        <v>453.25640810575049</v>
      </c>
      <c r="S112" s="235">
        <f ca="1">P112/'Alberta Electricity Profile'!$D$49</f>
        <v>129.36121143990869</v>
      </c>
      <c r="T112" s="236">
        <f t="shared" si="5"/>
        <v>347.92166666666662</v>
      </c>
      <c r="U112" s="236">
        <f t="shared" ca="1" si="12"/>
        <v>40464.053200569935</v>
      </c>
      <c r="V112" s="237">
        <f t="shared" ca="1" si="13"/>
        <v>6.3749861527019291</v>
      </c>
      <c r="W112" s="237">
        <f t="shared" ca="1" si="14"/>
        <v>12749.972305403859</v>
      </c>
    </row>
    <row r="113" spans="1:23">
      <c r="A113" s="183"/>
      <c r="B113" s="124">
        <f t="shared" si="6"/>
        <v>93</v>
      </c>
      <c r="C113" s="115">
        <f t="shared" ca="1" si="7"/>
        <v>3594253.125</v>
      </c>
      <c r="D113" s="48">
        <f t="shared" ca="1" si="0"/>
        <v>21.68417394492781</v>
      </c>
      <c r="E113" s="120">
        <f t="shared" ca="1" si="8"/>
        <v>304489</v>
      </c>
      <c r="F113" s="116">
        <f t="shared" ca="1" si="1"/>
        <v>304.48899999999998</v>
      </c>
      <c r="G113" s="118">
        <f ca="1">C113/Summary!C$23</f>
        <v>51.273225748930102</v>
      </c>
      <c r="H113" s="119">
        <f ca="1">H112+('Dev Plan (Wind)'!C112/Summary!C$23)*Summary!C$27</f>
        <v>701628.63634645625</v>
      </c>
      <c r="I113" s="119">
        <f t="shared" si="9"/>
        <v>4623.6499999999978</v>
      </c>
      <c r="J113" s="119">
        <f t="shared" si="10"/>
        <v>27733.065000000064</v>
      </c>
      <c r="K113" s="119">
        <f t="shared" si="11"/>
        <v>32356.715000000062</v>
      </c>
      <c r="L113" s="122">
        <f ca="1">C112*Summary!C$16*Summary!C$17*24*375*1000*C$11</f>
        <v>3039696112500</v>
      </c>
      <c r="M113" s="122">
        <f t="shared" ca="1" si="2"/>
        <v>3044897362500</v>
      </c>
      <c r="N113" s="120">
        <f t="shared" ca="1" si="3"/>
        <v>87676</v>
      </c>
      <c r="O113" s="48">
        <f t="shared" ca="1" si="4"/>
        <v>151.74778288721174</v>
      </c>
      <c r="P113" s="115">
        <f ca="1">C113*Summary!$C$16</f>
        <v>17971265.625</v>
      </c>
      <c r="Q113" s="115">
        <f ca="1">P113*Summary!$C$17</f>
        <v>7188506.25</v>
      </c>
      <c r="R113" s="48">
        <f ca="1">Q113/'Alberta Electricity Profile'!$C$33</f>
        <v>482.35296584580288</v>
      </c>
      <c r="S113" s="235">
        <f ca="1">P113/'Alberta Electricity Profile'!$D$49</f>
        <v>137.6654866595681</v>
      </c>
      <c r="T113" s="236">
        <f t="shared" si="5"/>
        <v>347.92166666666662</v>
      </c>
      <c r="U113" s="236">
        <f t="shared" ca="1" si="12"/>
        <v>43062.268056909787</v>
      </c>
      <c r="V113" s="237">
        <f t="shared" ca="1" si="13"/>
        <v>6.3749861527019354</v>
      </c>
      <c r="W113" s="237">
        <f t="shared" ca="1" si="14"/>
        <v>12749.972305403871</v>
      </c>
    </row>
    <row r="114" spans="1:23">
      <c r="A114" s="183"/>
      <c r="B114" s="124">
        <f t="shared" si="6"/>
        <v>94</v>
      </c>
      <c r="C114" s="115">
        <f t="shared" ca="1" si="7"/>
        <v>3824931.125</v>
      </c>
      <c r="D114" s="48">
        <f t="shared" ca="1" si="0"/>
        <v>22.854718484325495</v>
      </c>
      <c r="E114" s="120">
        <f t="shared" ca="1" si="8"/>
        <v>324002</v>
      </c>
      <c r="F114" s="116">
        <f t="shared" ca="1" si="1"/>
        <v>324.00200000000001</v>
      </c>
      <c r="G114" s="118">
        <f ca="1">C114/Summary!C$23</f>
        <v>54.563924750356634</v>
      </c>
      <c r="H114" s="119">
        <f ca="1">H113+('Dev Plan (Wind)'!C113/Summary!C$23)*Summary!C$27</f>
        <v>747455.26414881751</v>
      </c>
      <c r="I114" s="119">
        <f t="shared" si="9"/>
        <v>4673.3666666666641</v>
      </c>
      <c r="J114" s="119">
        <f t="shared" si="10"/>
        <v>28031.270000000066</v>
      </c>
      <c r="K114" s="119">
        <f t="shared" si="11"/>
        <v>32704.636666666731</v>
      </c>
      <c r="L114" s="122">
        <f ca="1">C113*Summary!C$16*Summary!C$17*24*375*1000*C$11</f>
        <v>3234827812500</v>
      </c>
      <c r="M114" s="122">
        <f t="shared" ca="1" si="2"/>
        <v>3240029062500</v>
      </c>
      <c r="N114" s="120">
        <f t="shared" ca="1" si="3"/>
        <v>93324</v>
      </c>
      <c r="O114" s="48">
        <f t="shared" ca="1" si="4"/>
        <v>159.93935795368463</v>
      </c>
      <c r="P114" s="115">
        <f ca="1">C114*Summary!$C$16</f>
        <v>19124655.625</v>
      </c>
      <c r="Q114" s="115">
        <f ca="1">P114*Summary!$C$17</f>
        <v>7649862.25</v>
      </c>
      <c r="R114" s="48">
        <f ca="1">Q114/'Alberta Electricity Profile'!$C$33</f>
        <v>513.31022277393811</v>
      </c>
      <c r="S114" s="235">
        <f ca="1">P114/'Alberta Electricity Profile'!$D$49</f>
        <v>146.50081295052206</v>
      </c>
      <c r="T114" s="236">
        <f t="shared" si="5"/>
        <v>347.92166666666662</v>
      </c>
      <c r="U114" s="236">
        <f t="shared" ca="1" si="12"/>
        <v>45826.627802361269</v>
      </c>
      <c r="V114" s="237">
        <f t="shared" ca="1" si="13"/>
        <v>6.3749861527019283</v>
      </c>
      <c r="W114" s="237">
        <f t="shared" ca="1" si="14"/>
        <v>12749.972305403857</v>
      </c>
    </row>
    <row r="115" spans="1:23">
      <c r="A115" s="183"/>
      <c r="B115" s="124">
        <f t="shared" si="6"/>
        <v>95</v>
      </c>
      <c r="C115" s="115">
        <f t="shared" ca="1" si="7"/>
        <v>4070360.125</v>
      </c>
      <c r="D115" s="48">
        <f t="shared" ca="1" si="0"/>
        <v>24.089603655873631</v>
      </c>
      <c r="E115" s="120">
        <f t="shared" ca="1" si="8"/>
        <v>344763</v>
      </c>
      <c r="F115" s="116">
        <f t="shared" ca="1" si="1"/>
        <v>344.76299999999998</v>
      </c>
      <c r="G115" s="118">
        <f ca="1">C115/Summary!C$23</f>
        <v>58.065051711840226</v>
      </c>
      <c r="H115" s="119">
        <f ca="1">H114+('Dev Plan (Wind)'!C114/Summary!C$23)*Summary!C$27</f>
        <v>796223.03006264474</v>
      </c>
      <c r="I115" s="119">
        <f t="shared" si="9"/>
        <v>4723.0833333333303</v>
      </c>
      <c r="J115" s="119">
        <f t="shared" si="10"/>
        <v>28329.475000000068</v>
      </c>
      <c r="K115" s="119">
        <f t="shared" si="11"/>
        <v>33052.5583333334</v>
      </c>
      <c r="L115" s="122">
        <f ca="1">C114*Summary!C$16*Summary!C$17*24*375*1000*C$11</f>
        <v>3442438012500</v>
      </c>
      <c r="M115" s="122">
        <f t="shared" ca="1" si="2"/>
        <v>3447639262500</v>
      </c>
      <c r="N115" s="120">
        <f t="shared" ca="1" si="3"/>
        <v>99334</v>
      </c>
      <c r="O115" s="48">
        <f t="shared" ca="1" si="4"/>
        <v>168.58119450132759</v>
      </c>
      <c r="P115" s="115">
        <f ca="1">C115*Summary!$C$16</f>
        <v>20351800.625</v>
      </c>
      <c r="Q115" s="115">
        <f ca="1">P115*Summary!$C$17</f>
        <v>8140720.25</v>
      </c>
      <c r="R115" s="48">
        <f ca="1">Q115/'Alberta Electricity Profile'!$C$33</f>
        <v>546.24708112460576</v>
      </c>
      <c r="S115" s="235">
        <f ca="1">P115/'Alberta Electricity Profile'!$D$49</f>
        <v>155.90112549121744</v>
      </c>
      <c r="T115" s="236">
        <f t="shared" si="5"/>
        <v>347.92166666666662</v>
      </c>
      <c r="U115" s="236">
        <f t="shared" ca="1" si="12"/>
        <v>48767.765913827228</v>
      </c>
      <c r="V115" s="237">
        <f t="shared" ca="1" si="13"/>
        <v>6.37498615270193</v>
      </c>
      <c r="W115" s="237">
        <f t="shared" ca="1" si="14"/>
        <v>12749.97230540386</v>
      </c>
    </row>
    <row r="116" spans="1:23">
      <c r="A116" s="183"/>
      <c r="B116" s="124">
        <f t="shared" si="6"/>
        <v>96</v>
      </c>
      <c r="C116" s="115">
        <f t="shared" ca="1" si="7"/>
        <v>4331485.125</v>
      </c>
      <c r="D116" s="48">
        <f t="shared" ca="1" si="0"/>
        <v>25.392449717172124</v>
      </c>
      <c r="E116" s="120">
        <f t="shared" ca="1" si="8"/>
        <v>366852</v>
      </c>
      <c r="F116" s="116">
        <f t="shared" ca="1" si="1"/>
        <v>366.85199999999998</v>
      </c>
      <c r="G116" s="118">
        <f ca="1">C116/Summary!C$23</f>
        <v>61.790087375178317</v>
      </c>
      <c r="H116" s="119">
        <f ca="1">H115+('Dev Plan (Wind)'!C115/Summary!C$23)*Summary!C$27</f>
        <v>848120.00892941491</v>
      </c>
      <c r="I116" s="119">
        <f t="shared" si="9"/>
        <v>4772.7999999999965</v>
      </c>
      <c r="J116" s="119">
        <f t="shared" si="10"/>
        <v>28627.680000000069</v>
      </c>
      <c r="K116" s="119">
        <f t="shared" si="11"/>
        <v>33400.480000000069</v>
      </c>
      <c r="L116" s="122">
        <f ca="1">C115*Summary!C$16*Summary!C$17*24*375*1000*C$11</f>
        <v>3663324112500</v>
      </c>
      <c r="M116" s="122">
        <f t="shared" ca="1" si="2"/>
        <v>3668525362500</v>
      </c>
      <c r="N116" s="120">
        <f t="shared" ca="1" si="3"/>
        <v>105727</v>
      </c>
      <c r="O116" s="48">
        <f t="shared" ca="1" si="4"/>
        <v>177.69862741565026</v>
      </c>
      <c r="P116" s="115">
        <f ca="1">C116*Summary!$C$16</f>
        <v>21657425.625</v>
      </c>
      <c r="Q116" s="115">
        <f ca="1">P116*Summary!$C$17</f>
        <v>8662970.25</v>
      </c>
      <c r="R116" s="48">
        <f ca="1">Q116/'Alberta Electricity Profile'!$C$33</f>
        <v>581.2903610011407</v>
      </c>
      <c r="S116" s="235">
        <f ca="1">P116/'Alberta Electricity Profile'!$D$49</f>
        <v>165.90261925189401</v>
      </c>
      <c r="T116" s="236">
        <f t="shared" si="5"/>
        <v>347.92166666666662</v>
      </c>
      <c r="U116" s="236">
        <f t="shared" ca="1" si="12"/>
        <v>51896.978866770165</v>
      </c>
      <c r="V116" s="237">
        <f t="shared" ca="1" si="13"/>
        <v>6.3749861527019265</v>
      </c>
      <c r="W116" s="237">
        <f t="shared" ca="1" si="14"/>
        <v>12749.972305403853</v>
      </c>
    </row>
    <row r="117" spans="1:23">
      <c r="A117" s="183"/>
      <c r="B117" s="124">
        <f t="shared" si="6"/>
        <v>97</v>
      </c>
      <c r="C117" s="115">
        <f t="shared" ca="1" si="7"/>
        <v>4609308.125</v>
      </c>
      <c r="D117" s="48">
        <f t="shared" ca="1" si="0"/>
        <v>26.767084652979818</v>
      </c>
      <c r="E117" s="120">
        <f t="shared" ca="1" si="8"/>
        <v>390353</v>
      </c>
      <c r="F117" s="116">
        <f t="shared" ca="1" si="1"/>
        <v>390.35300000000001</v>
      </c>
      <c r="G117" s="118">
        <f ca="1">C117/Summary!C$23</f>
        <v>65.753325606276746</v>
      </c>
      <c r="H117" s="119">
        <f ca="1">H116+('Dev Plan (Wind)'!C116/Summary!C$23)*Summary!C$27</f>
        <v>903346.32431443362</v>
      </c>
      <c r="I117" s="119">
        <f t="shared" si="9"/>
        <v>4822.5166666666628</v>
      </c>
      <c r="J117" s="119">
        <f t="shared" si="10"/>
        <v>28925.885000000071</v>
      </c>
      <c r="K117" s="119">
        <f t="shared" si="11"/>
        <v>33748.40166666673</v>
      </c>
      <c r="L117" s="122">
        <f ca="1">C116*Summary!C$16*Summary!C$17*24*375*1000*C$11</f>
        <v>3898336612500</v>
      </c>
      <c r="M117" s="122">
        <f t="shared" ca="1" si="2"/>
        <v>3903537862500</v>
      </c>
      <c r="N117" s="120">
        <f t="shared" ca="1" si="3"/>
        <v>112530</v>
      </c>
      <c r="O117" s="48">
        <f t="shared" ca="1" si="4"/>
        <v>187.318445275344</v>
      </c>
      <c r="P117" s="115">
        <f ca="1">C117*Summary!$C$16</f>
        <v>23046540.625</v>
      </c>
      <c r="Q117" s="115">
        <f ca="1">P117*Summary!$C$17</f>
        <v>9218616.25</v>
      </c>
      <c r="R117" s="48">
        <f ca="1">Q117/'Alberta Electricity Profile'!$C$33</f>
        <v>618.57453197342818</v>
      </c>
      <c r="S117" s="235">
        <f ca="1">P117/'Alberta Electricity Profile'!$D$49</f>
        <v>176.54367239147254</v>
      </c>
      <c r="T117" s="236">
        <f t="shared" si="5"/>
        <v>347.92166666666662</v>
      </c>
      <c r="U117" s="236">
        <f t="shared" ca="1" si="12"/>
        <v>55226.315385018708</v>
      </c>
      <c r="V117" s="237">
        <f t="shared" ca="1" si="13"/>
        <v>6.374986152701922</v>
      </c>
      <c r="W117" s="237">
        <f t="shared" ca="1" si="14"/>
        <v>12749.972305403844</v>
      </c>
    </row>
    <row r="118" spans="1:23">
      <c r="A118" s="183"/>
      <c r="B118" s="124">
        <f t="shared" si="6"/>
        <v>98</v>
      </c>
      <c r="C118" s="115">
        <f t="shared" ca="1" si="7"/>
        <v>4904898.125</v>
      </c>
      <c r="D118" s="48">
        <f t="shared" ca="1" si="0"/>
        <v>28.217554891458619</v>
      </c>
      <c r="E118" s="120">
        <f t="shared" ca="1" si="8"/>
        <v>415357</v>
      </c>
      <c r="F118" s="116">
        <f t="shared" ca="1" si="1"/>
        <v>415.35700000000003</v>
      </c>
      <c r="G118" s="118">
        <f ca="1">C118/Summary!C$23</f>
        <v>69.970016048502146</v>
      </c>
      <c r="H118" s="119">
        <f ca="1">H117+('Dev Plan (Wind)'!C117/Summary!C$23)*Summary!C$27</f>
        <v>962114.87525525654</v>
      </c>
      <c r="I118" s="119">
        <f t="shared" si="9"/>
        <v>4872.233333333329</v>
      </c>
      <c r="J118" s="119">
        <f t="shared" si="10"/>
        <v>29224.090000000073</v>
      </c>
      <c r="K118" s="119">
        <f t="shared" si="11"/>
        <v>34096.323333333399</v>
      </c>
      <c r="L118" s="122">
        <f ca="1">C117*Summary!C$16*Summary!C$17*24*375*1000*C$11</f>
        <v>4148377312500</v>
      </c>
      <c r="M118" s="122">
        <f t="shared" ca="1" si="2"/>
        <v>4153578562500</v>
      </c>
      <c r="N118" s="120">
        <f t="shared" ca="1" si="3"/>
        <v>119767</v>
      </c>
      <c r="O118" s="48">
        <f t="shared" ca="1" si="4"/>
        <v>197.46896534551385</v>
      </c>
      <c r="P118" s="115">
        <f ca="1">C118*Summary!$C$16</f>
        <v>24524490.625</v>
      </c>
      <c r="Q118" s="115">
        <f ca="1">P118*Summary!$C$17</f>
        <v>9809796.25</v>
      </c>
      <c r="R118" s="48">
        <f ca="1">Q118/'Alberta Electricity Profile'!$C$33</f>
        <v>658.24305508957923</v>
      </c>
      <c r="S118" s="235">
        <f ca="1">P118/'Alberta Electricity Profile'!$D$49</f>
        <v>187.86522927311307</v>
      </c>
      <c r="T118" s="236">
        <f t="shared" si="5"/>
        <v>347.92166666666662</v>
      </c>
      <c r="U118" s="236">
        <f t="shared" ca="1" si="12"/>
        <v>58768.550940822926</v>
      </c>
      <c r="V118" s="237">
        <f t="shared" ca="1" si="13"/>
        <v>6.374986152701922</v>
      </c>
      <c r="W118" s="237">
        <f t="shared" ca="1" si="14"/>
        <v>12749.972305403844</v>
      </c>
    </row>
    <row r="119" spans="1:23">
      <c r="A119" s="183"/>
      <c r="B119" s="124">
        <f t="shared" si="6"/>
        <v>99</v>
      </c>
      <c r="C119" s="115">
        <f t="shared" ca="1" si="7"/>
        <v>5219390.125</v>
      </c>
      <c r="D119" s="48">
        <f t="shared" ca="1" si="0"/>
        <v>29.748139072574585</v>
      </c>
      <c r="E119" s="120">
        <f t="shared" ca="1" si="8"/>
        <v>441960</v>
      </c>
      <c r="F119" s="116">
        <f t="shared" ca="1" si="1"/>
        <v>441.96</v>
      </c>
      <c r="G119" s="118">
        <f ca="1">C119/Summary!C$23</f>
        <v>74.456349857346652</v>
      </c>
      <c r="H119" s="119">
        <f ca="1">H118+('Dev Plan (Wind)'!C118/Summary!C$23)*Summary!C$27</f>
        <v>1024652.1905098339</v>
      </c>
      <c r="I119" s="119">
        <f t="shared" si="9"/>
        <v>4921.9499999999953</v>
      </c>
      <c r="J119" s="119">
        <f t="shared" si="10"/>
        <v>29522.295000000075</v>
      </c>
      <c r="K119" s="119">
        <f t="shared" si="11"/>
        <v>34444.245000000068</v>
      </c>
      <c r="L119" s="122">
        <f ca="1">C118*Summary!C$16*Summary!C$17*24*375*1000*C$11</f>
        <v>4414408312500</v>
      </c>
      <c r="M119" s="122">
        <f t="shared" ca="1" si="2"/>
        <v>4419609562500</v>
      </c>
      <c r="N119" s="120">
        <f t="shared" ca="1" si="3"/>
        <v>127468</v>
      </c>
      <c r="O119" s="48">
        <f t="shared" ca="1" si="4"/>
        <v>208.18012993017703</v>
      </c>
      <c r="P119" s="115">
        <f ca="1">C119*Summary!$C$16</f>
        <v>26096950.625</v>
      </c>
      <c r="Q119" s="115">
        <f ca="1">P119*Summary!$C$17</f>
        <v>10438780.25</v>
      </c>
      <c r="R119" s="48">
        <f ca="1">Q119/'Alberta Electricity Profile'!$C$33</f>
        <v>700.44824867476348</v>
      </c>
      <c r="S119" s="235">
        <f ca="1">P119/'Alberta Electricity Profile'!$D$49</f>
        <v>199.91076216265904</v>
      </c>
      <c r="T119" s="236">
        <f t="shared" si="5"/>
        <v>347.92166666666662</v>
      </c>
      <c r="U119" s="236">
        <f t="shared" ca="1" si="12"/>
        <v>62537.315254577319</v>
      </c>
      <c r="V119" s="237">
        <f t="shared" ca="1" si="13"/>
        <v>6.37498615270193</v>
      </c>
      <c r="W119" s="237">
        <f t="shared" ca="1" si="14"/>
        <v>12749.97230540386</v>
      </c>
    </row>
    <row r="120" spans="1:23">
      <c r="A120" s="183"/>
      <c r="B120" s="124">
        <f t="shared" si="6"/>
        <v>100</v>
      </c>
      <c r="C120" s="115">
        <f t="shared" ca="1" si="7"/>
        <v>5553995.125</v>
      </c>
      <c r="D120" s="48">
        <f t="shared" ca="1" si="0"/>
        <v>31.363360623933929</v>
      </c>
      <c r="E120" s="120">
        <f t="shared" ca="1" si="8"/>
        <v>470265</v>
      </c>
      <c r="F120" s="116">
        <f t="shared" ca="1" si="1"/>
        <v>470.26499999999999</v>
      </c>
      <c r="G120" s="118">
        <f ca="1">C120/Summary!C$23</f>
        <v>79.229602353780308</v>
      </c>
      <c r="H120" s="119">
        <f ca="1">H119+('Dev Plan (Wind)'!C119/Summary!C$23)*Summary!C$27</f>
        <v>1091199.2700546822</v>
      </c>
      <c r="I120" s="119">
        <f t="shared" si="9"/>
        <v>4971.6666666666615</v>
      </c>
      <c r="J120" s="119">
        <f t="shared" si="10"/>
        <v>29820.500000000076</v>
      </c>
      <c r="K120" s="119">
        <f t="shared" si="11"/>
        <v>34792.166666666737</v>
      </c>
      <c r="L120" s="122">
        <f ca="1">C119*Summary!C$16*Summary!C$17*24*375*1000*C$11</f>
        <v>4697451112500</v>
      </c>
      <c r="M120" s="122">
        <f t="shared" ca="1" si="2"/>
        <v>4702652362500</v>
      </c>
      <c r="N120" s="120">
        <f t="shared" ca="1" si="3"/>
        <v>135660</v>
      </c>
      <c r="O120" s="48">
        <f t="shared" ca="1" si="4"/>
        <v>219.48359437908479</v>
      </c>
      <c r="P120" s="115">
        <f ca="1">C120*Summary!$C$16</f>
        <v>27769975.625</v>
      </c>
      <c r="Q120" s="115">
        <f ca="1">P120*Summary!$C$17</f>
        <v>11107990.25</v>
      </c>
      <c r="R120" s="48">
        <f ca="1">Q120/'Alberta Electricity Profile'!$C$33</f>
        <v>745.35263034288403</v>
      </c>
      <c r="S120" s="235">
        <f ca="1">P120/'Alberta Electricity Profile'!$D$49</f>
        <v>212.7266542441954</v>
      </c>
      <c r="T120" s="236">
        <f t="shared" si="5"/>
        <v>347.92166666666662</v>
      </c>
      <c r="U120" s="236">
        <f t="shared" ca="1" si="12"/>
        <v>66547.079544848297</v>
      </c>
      <c r="V120" s="237">
        <f t="shared" ca="1" si="13"/>
        <v>6.3749861527019203</v>
      </c>
      <c r="W120" s="237">
        <f t="shared" ca="1" si="14"/>
        <v>12749.97230540384</v>
      </c>
    </row>
    <row r="121" spans="1:23">
      <c r="A121" s="183"/>
      <c r="B121" s="164">
        <f t="shared" si="6"/>
        <v>101</v>
      </c>
      <c r="C121" s="115">
        <f t="shared" ca="1" si="7"/>
        <v>5909997.125</v>
      </c>
      <c r="D121" s="48">
        <f t="shared" ca="1" si="0"/>
        <v>33.06800321786644</v>
      </c>
      <c r="E121" s="120">
        <f t="shared" ca="1" si="8"/>
        <v>500379</v>
      </c>
      <c r="F121" s="116">
        <f t="shared" ca="1" si="1"/>
        <v>500.37900000000002</v>
      </c>
      <c r="G121" s="118">
        <f ca="1">C121/Summary!C$23</f>
        <v>84.308090228245362</v>
      </c>
      <c r="H121" s="119">
        <f ca="1">H120+('Dev Plan (Wind)'!C120/Summary!C$23)*Summary!C$27</f>
        <v>1162012.5540827801</v>
      </c>
      <c r="I121" s="119">
        <f t="shared" si="9"/>
        <v>5021.3833333333278</v>
      </c>
      <c r="J121" s="119">
        <f t="shared" si="10"/>
        <v>30118.705000000078</v>
      </c>
      <c r="K121" s="119">
        <f t="shared" si="11"/>
        <v>35140.088333333406</v>
      </c>
      <c r="L121" s="122">
        <f ca="1">C120*Summary!C$16*Summary!C$17*24*375*1000*C$11</f>
        <v>4998595612500</v>
      </c>
      <c r="M121" s="122">
        <f t="shared" ca="1" si="2"/>
        <v>5003796862500</v>
      </c>
      <c r="N121" s="120">
        <f t="shared" ca="1" si="3"/>
        <v>144377</v>
      </c>
      <c r="O121" s="48">
        <f t="shared" ca="1" si="4"/>
        <v>231.41283525777055</v>
      </c>
      <c r="P121" s="115">
        <f ca="1">C121*Summary!$C$16</f>
        <v>29549985.625</v>
      </c>
      <c r="Q121" s="115">
        <f ca="1">P121*Summary!$C$17</f>
        <v>11819994.25</v>
      </c>
      <c r="R121" s="48">
        <f ca="1">Q121/'Alberta Electricity Profile'!$C$33</f>
        <v>793.12851439307519</v>
      </c>
      <c r="S121" s="235">
        <f ca="1">P121/'Alberta Electricity Profile'!$D$49</f>
        <v>226.36208471538114</v>
      </c>
      <c r="T121" s="236">
        <f t="shared" si="5"/>
        <v>347.92166666666662</v>
      </c>
      <c r="U121" s="236">
        <f t="shared" ca="1" si="12"/>
        <v>70813.284028097987</v>
      </c>
      <c r="V121" s="237">
        <f t="shared" ca="1" si="13"/>
        <v>6.3749861527019238</v>
      </c>
      <c r="W121" s="237">
        <f t="shared" ca="1" si="14"/>
        <v>12749.972305403848</v>
      </c>
    </row>
    <row r="122" spans="1:23">
      <c r="A122" s="183"/>
      <c r="B122" s="124">
        <f t="shared" si="6"/>
        <v>102</v>
      </c>
      <c r="C122" s="115">
        <f t="shared" ca="1" si="7"/>
        <v>6288765.125</v>
      </c>
      <c r="D122" s="48">
        <f t="shared" ca="1" si="0"/>
        <v>34.86712424144222</v>
      </c>
      <c r="E122" s="120">
        <f t="shared" ca="1" si="8"/>
        <v>532419</v>
      </c>
      <c r="F122" s="116">
        <f t="shared" ca="1" si="1"/>
        <v>532.41899999999998</v>
      </c>
      <c r="G122" s="118">
        <f ca="1">C122/Summary!C$23</f>
        <v>89.711342724679028</v>
      </c>
      <c r="H122" s="119">
        <f ca="1">H121+('Dev Plan (Wind)'!C121/Summary!C$23)*Summary!C$27</f>
        <v>1237364.8537515465</v>
      </c>
      <c r="I122" s="119">
        <f t="shared" si="9"/>
        <v>5071.099999999994</v>
      </c>
      <c r="J122" s="119">
        <f t="shared" si="10"/>
        <v>30416.91000000008</v>
      </c>
      <c r="K122" s="119">
        <f t="shared" si="11"/>
        <v>35488.010000000075</v>
      </c>
      <c r="L122" s="122">
        <f ca="1">C121*Summary!C$16*Summary!C$17*24*375*1000*C$11</f>
        <v>5318997412500</v>
      </c>
      <c r="M122" s="122">
        <f t="shared" ca="1" si="2"/>
        <v>5324198662500</v>
      </c>
      <c r="N122" s="120">
        <f t="shared" ca="1" si="3"/>
        <v>153651</v>
      </c>
      <c r="O122" s="48">
        <f t="shared" ca="1" si="4"/>
        <v>244.00324461192798</v>
      </c>
      <c r="P122" s="115">
        <f ca="1">C122*Summary!$C$16</f>
        <v>31443825.625</v>
      </c>
      <c r="Q122" s="115">
        <f ca="1">P122*Summary!$C$17</f>
        <v>12577530.25</v>
      </c>
      <c r="R122" s="48">
        <f ca="1">Q122/'Alberta Electricity Profile'!$C$33</f>
        <v>843.95962222371338</v>
      </c>
      <c r="S122" s="235">
        <f ca="1">P122/'Alberta Electricity Profile'!$D$49</f>
        <v>240.86948840611905</v>
      </c>
      <c r="T122" s="236">
        <f t="shared" si="5"/>
        <v>347.92166666666662</v>
      </c>
      <c r="U122" s="236">
        <f t="shared" ca="1" si="12"/>
        <v>75352.299668766325</v>
      </c>
      <c r="V122" s="237">
        <f t="shared" ca="1" si="13"/>
        <v>6.3749861527019203</v>
      </c>
      <c r="W122" s="237">
        <f t="shared" ca="1" si="14"/>
        <v>12749.97230540384</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topLeftCell="C1" zoomScale="90" zoomScaleNormal="90" workbookViewId="0">
      <selection activeCell="P5" sqref="P5:P6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64" t="s">
        <v>356</v>
      </c>
      <c r="C1" s="353"/>
      <c r="D1" s="353"/>
      <c r="E1" s="353"/>
      <c r="F1" s="353"/>
      <c r="G1" s="353"/>
      <c r="H1" s="353"/>
      <c r="I1" s="353"/>
      <c r="J1" s="353"/>
      <c r="K1" s="353"/>
      <c r="L1" s="353"/>
      <c r="M1" s="353"/>
      <c r="N1" s="353"/>
      <c r="O1" s="353"/>
      <c r="P1" s="353"/>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61" t="s">
        <v>33</v>
      </c>
      <c r="C3" s="362"/>
      <c r="D3" s="362"/>
      <c r="E3" s="362"/>
      <c r="F3" s="362"/>
      <c r="G3" s="362"/>
      <c r="H3" s="363"/>
      <c r="I3" s="183"/>
      <c r="J3" s="361" t="s">
        <v>44</v>
      </c>
      <c r="K3" s="362"/>
      <c r="L3" s="362"/>
      <c r="M3" s="362"/>
      <c r="N3" s="362"/>
      <c r="O3" s="362"/>
      <c r="P3" s="363"/>
      <c r="Q3" s="182"/>
    </row>
    <row r="4" spans="1:17" ht="15.75" customHeight="1" thickBot="1">
      <c r="A4" s="183"/>
      <c r="B4" s="35" t="s">
        <v>45</v>
      </c>
      <c r="C4" s="7" t="s">
        <v>369</v>
      </c>
      <c r="D4" s="7" t="s">
        <v>365</v>
      </c>
      <c r="E4" s="7" t="s">
        <v>366</v>
      </c>
      <c r="F4" s="7" t="s">
        <v>47</v>
      </c>
      <c r="G4" s="7" t="s">
        <v>367</v>
      </c>
      <c r="H4" s="7" t="s">
        <v>368</v>
      </c>
      <c r="I4" s="243"/>
      <c r="J4" s="35" t="s">
        <v>45</v>
      </c>
      <c r="K4" s="181" t="s">
        <v>369</v>
      </c>
      <c r="L4" s="37" t="s">
        <v>365</v>
      </c>
      <c r="M4" s="7" t="s">
        <v>366</v>
      </c>
      <c r="N4" s="7" t="s">
        <v>47</v>
      </c>
      <c r="O4" s="7" t="s">
        <v>367</v>
      </c>
      <c r="P4" s="7" t="s">
        <v>368</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A7" workbookViewId="0">
      <selection activeCell="B10" sqref="B10"/>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57" t="s">
        <v>25</v>
      </c>
      <c r="C1" s="354"/>
      <c r="D1" s="354"/>
      <c r="E1" s="354"/>
      <c r="F1" s="354"/>
      <c r="G1" s="354"/>
      <c r="H1" s="354"/>
      <c r="I1" s="354"/>
      <c r="J1" s="354"/>
      <c r="K1" s="354"/>
      <c r="L1" s="354"/>
      <c r="M1" s="354"/>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65" t="s">
        <v>75</v>
      </c>
      <c r="C6" s="366"/>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7" t="s">
        <v>372</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6" t="s">
        <v>371</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 t="shared" si="7"/>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Forests</vt:lpstr>
      <vt:lpstr>Wind Speed</vt:lpstr>
      <vt:lpstr>CO2 Values</vt:lpstr>
      <vt:lpstr>Solar Info</vt:lpstr>
      <vt:lpstr>development plan (Wind)</vt:lpstr>
      <vt:lpstr>Dev Plan (Wind)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2015-07-25T01:15:58Z</dcterms:modified>
</cp:coreProperties>
</file>