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drawings/drawing5.xml" ContentType="application/vnd.openxmlformats-officedocument.drawing+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Documents\MIT\"/>
    </mc:Choice>
  </mc:AlternateContent>
  <bookViews>
    <workbookView xWindow="0" yWindow="0" windowWidth="15345" windowHeight="4755" tabRatio="664" firstSheet="7" activeTab="7"/>
  </bookViews>
  <sheets>
    <sheet name="Summary" sheetId="3" r:id="rId1"/>
    <sheet name="Forests" sheetId="1" r:id="rId2"/>
    <sheet name="Wind Speed" sheetId="2" r:id="rId3"/>
    <sheet name="CO2 Values" sheetId="4" r:id="rId4"/>
    <sheet name="Solar Info" sheetId="5" r:id="rId5"/>
    <sheet name="development plan (Wind)" sheetId="7" state="hidden" r:id="rId6"/>
    <sheet name="Dev Plan (Wind)" sheetId="8" r:id="rId7"/>
    <sheet name="Wind Graphs" sheetId="9" r:id="rId8"/>
    <sheet name="Development Plan (Solar)" sheetId="10" r:id="rId9"/>
    <sheet name="Solar Graphs" sheetId="11" r:id="rId10"/>
    <sheet name="Alberta Electricity Profile" sheetId="12" r:id="rId11"/>
    <sheet name="PV Output" sheetId="13" r:id="rId12"/>
    <sheet name="Edit History" sheetId="6" r:id="rId13"/>
  </sheets>
  <calcPr calcId="152511"/>
</workbook>
</file>

<file path=xl/calcChain.xml><?xml version="1.0" encoding="utf-8"?>
<calcChain xmlns="http://schemas.openxmlformats.org/spreadsheetml/2006/main">
  <c r="I13" i="13" l="1"/>
  <c r="I11" i="13"/>
  <c r="E9" i="12"/>
  <c r="E8" i="12"/>
  <c r="E7" i="12"/>
  <c r="E6" i="12"/>
  <c r="B23" i="10"/>
  <c r="L22" i="10"/>
  <c r="B22" i="10"/>
  <c r="N21" i="10"/>
  <c r="L21" i="10"/>
  <c r="C14" i="10"/>
  <c r="C16" i="10" s="1"/>
  <c r="B22" i="8"/>
  <c r="B23" i="8" s="1"/>
  <c r="N21" i="8"/>
  <c r="C14" i="8"/>
  <c r="C15" i="8" s="1"/>
  <c r="A15" i="7"/>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7" i="7" s="1"/>
  <c r="A58" i="7" s="1"/>
  <c r="A59" i="7" s="1"/>
  <c r="A60" i="7" s="1"/>
  <c r="A61" i="7" s="1"/>
  <c r="A62" i="7" s="1"/>
  <c r="A63" i="7" s="1"/>
  <c r="A64" i="7" s="1"/>
  <c r="A65" i="7" s="1"/>
  <c r="A66" i="7" s="1"/>
  <c r="A67" i="7" s="1"/>
  <c r="B9" i="7"/>
  <c r="B10" i="7" s="1"/>
  <c r="D34" i="4"/>
  <c r="D33" i="4"/>
  <c r="D4" i="12" s="1"/>
  <c r="E4" i="12" s="1"/>
  <c r="E10" i="12" s="1"/>
  <c r="C15" i="12" s="1"/>
  <c r="C8" i="4" s="1"/>
  <c r="C3" i="4" s="1"/>
  <c r="D32" i="4"/>
  <c r="D5" i="12" s="1"/>
  <c r="E5" i="12" s="1"/>
  <c r="C9" i="4"/>
  <c r="C4" i="4"/>
  <c r="C82" i="3"/>
  <c r="C66" i="3" s="1"/>
  <c r="C69" i="3" s="1"/>
  <c r="C81" i="3"/>
  <c r="C65" i="3"/>
  <c r="C61" i="3"/>
  <c r="C62" i="3" s="1"/>
  <c r="C52" i="3"/>
  <c r="C57" i="3" s="1"/>
  <c r="C43" i="3"/>
  <c r="C31" i="3"/>
  <c r="C8" i="10" s="1"/>
  <c r="C10" i="10" s="1"/>
  <c r="C23" i="3"/>
  <c r="C24" i="3" s="1"/>
  <c r="C21" i="3"/>
  <c r="C22" i="3" s="1"/>
  <c r="C20" i="3"/>
  <c r="C13" i="3"/>
  <c r="C4" i="2"/>
  <c r="C6" i="1"/>
  <c r="C5" i="1"/>
  <c r="I10" i="13" l="1"/>
  <c r="C58" i="3"/>
  <c r="C29" i="3"/>
  <c r="C25" i="3"/>
  <c r="C27" i="3" s="1"/>
  <c r="E29" i="3"/>
  <c r="E68" i="3"/>
  <c r="N23" i="8"/>
  <c r="B24" i="8"/>
  <c r="B3" i="7"/>
  <c r="B5" i="7" s="1"/>
  <c r="N22" i="8"/>
  <c r="C33" i="3"/>
  <c r="C54" i="3"/>
  <c r="C55" i="3" s="1"/>
  <c r="C53" i="3" s="1"/>
  <c r="C68" i="3"/>
  <c r="C70" i="3" s="1"/>
  <c r="C8" i="8"/>
  <c r="C10" i="8" s="1"/>
  <c r="K21" i="10"/>
  <c r="E21" i="10" s="1"/>
  <c r="C17" i="10"/>
  <c r="C32" i="3"/>
  <c r="I21" i="8" s="1"/>
  <c r="C64" i="3"/>
  <c r="B24" i="10"/>
  <c r="L23" i="10"/>
  <c r="L24" i="10" l="1"/>
  <c r="B25" i="10"/>
  <c r="I22" i="8"/>
  <c r="O21" i="8"/>
  <c r="B25" i="8"/>
  <c r="N24" i="8"/>
  <c r="C71" i="3"/>
  <c r="M29" i="3"/>
  <c r="C26" i="3"/>
  <c r="F21" i="10"/>
  <c r="C21" i="10"/>
  <c r="J21" i="8"/>
  <c r="J22" i="8" s="1"/>
  <c r="J23" i="8" s="1"/>
  <c r="J24" i="8" s="1"/>
  <c r="J25" i="8" s="1"/>
  <c r="J26" i="8" s="1"/>
  <c r="J27" i="8" s="1"/>
  <c r="J28" i="8" s="1"/>
  <c r="J29" i="8" s="1"/>
  <c r="J30" i="8" s="1"/>
  <c r="J31" i="8" s="1"/>
  <c r="J32" i="8" s="1"/>
  <c r="J33" i="8" s="1"/>
  <c r="J34" i="8" s="1"/>
  <c r="J35" i="8" s="1"/>
  <c r="J36" i="8" s="1"/>
  <c r="J37" i="8" s="1"/>
  <c r="J38" i="8" s="1"/>
  <c r="J39" i="8" s="1"/>
  <c r="J40" i="8" s="1"/>
  <c r="J41" i="8" s="1"/>
  <c r="J42" i="8" s="1"/>
  <c r="J43" i="8" s="1"/>
  <c r="J44" i="8" s="1"/>
  <c r="J45" i="8" s="1"/>
  <c r="J46" i="8" s="1"/>
  <c r="J47" i="8" s="1"/>
  <c r="J48" i="8" s="1"/>
  <c r="J49" i="8" s="1"/>
  <c r="J50" i="8" s="1"/>
  <c r="J51" i="8" s="1"/>
  <c r="J52" i="8" s="1"/>
  <c r="J53" i="8" s="1"/>
  <c r="J54" i="8" s="1"/>
  <c r="J55" i="8" s="1"/>
  <c r="J56" i="8" s="1"/>
  <c r="J57" i="8" s="1"/>
  <c r="J58" i="8" s="1"/>
  <c r="J59" i="8" s="1"/>
  <c r="J60" i="8" s="1"/>
  <c r="J61" i="8" s="1"/>
  <c r="J62" i="8" s="1"/>
  <c r="J63" i="8" s="1"/>
  <c r="J64" i="8" s="1"/>
  <c r="J65" i="8" s="1"/>
  <c r="J66" i="8" s="1"/>
  <c r="J67" i="8" s="1"/>
  <c r="J68" i="8" s="1"/>
  <c r="J69" i="8" s="1"/>
  <c r="J70" i="8" s="1"/>
  <c r="J71" i="8" s="1"/>
  <c r="J72" i="8" s="1"/>
  <c r="J73" i="8" s="1"/>
  <c r="J74" i="8" s="1"/>
  <c r="J75" i="8" s="1"/>
  <c r="J76" i="8" s="1"/>
  <c r="J77" i="8" s="1"/>
  <c r="J78" i="8" s="1"/>
  <c r="J79" i="8" s="1"/>
  <c r="J80" i="8" s="1"/>
  <c r="J81" i="8" s="1"/>
  <c r="J82" i="8" s="1"/>
  <c r="J83" i="8" s="1"/>
  <c r="J84" i="8" s="1"/>
  <c r="J85" i="8" s="1"/>
  <c r="J86" i="8" s="1"/>
  <c r="J87" i="8" s="1"/>
  <c r="J88" i="8" s="1"/>
  <c r="J89" i="8" s="1"/>
  <c r="J90" i="8" s="1"/>
  <c r="J91" i="8" s="1"/>
  <c r="J92" i="8" s="1"/>
  <c r="J93" i="8" s="1"/>
  <c r="J94" i="8" s="1"/>
  <c r="J95" i="8" s="1"/>
  <c r="J96" i="8" s="1"/>
  <c r="J97" i="8" s="1"/>
  <c r="J98" i="8" s="1"/>
  <c r="J99" i="8" s="1"/>
  <c r="J100" i="8" s="1"/>
  <c r="J101" i="8" s="1"/>
  <c r="J102" i="8" s="1"/>
  <c r="J103" i="8" s="1"/>
  <c r="J104" i="8" s="1"/>
  <c r="J105" i="8" s="1"/>
  <c r="J106" i="8" s="1"/>
  <c r="J107" i="8" s="1"/>
  <c r="J108" i="8" s="1"/>
  <c r="J109" i="8" s="1"/>
  <c r="J110" i="8" s="1"/>
  <c r="J111" i="8" s="1"/>
  <c r="J112" i="8" s="1"/>
  <c r="J113" i="8" s="1"/>
  <c r="J114" i="8" s="1"/>
  <c r="J115" i="8" s="1"/>
  <c r="J116" i="8" s="1"/>
  <c r="J117" i="8" s="1"/>
  <c r="J118" i="8" s="1"/>
  <c r="J119" i="8" s="1"/>
  <c r="J120" i="8" s="1"/>
  <c r="J121" i="8" s="1"/>
  <c r="J122" i="8" s="1"/>
  <c r="C34" i="3"/>
  <c r="M21" i="8"/>
  <c r="E21" i="8" s="1"/>
  <c r="C16" i="8"/>
  <c r="I12" i="13"/>
  <c r="C63" i="3"/>
  <c r="C48" i="3" s="1"/>
  <c r="J14" i="7"/>
  <c r="D14" i="7" s="1"/>
  <c r="B11" i="7"/>
  <c r="I9" i="13"/>
  <c r="G21" i="10" l="1"/>
  <c r="K21" i="8"/>
  <c r="I15" i="13"/>
  <c r="C38" i="3" s="1"/>
  <c r="C39" i="3"/>
  <c r="C40" i="3" s="1"/>
  <c r="C15" i="10"/>
  <c r="C49" i="3"/>
  <c r="J22" i="10" s="1"/>
  <c r="K22" i="10" s="1"/>
  <c r="E22" i="10" s="1"/>
  <c r="I23" i="8"/>
  <c r="K22" i="8"/>
  <c r="C21" i="8"/>
  <c r="F21" i="8"/>
  <c r="B14" i="7"/>
  <c r="E14" i="7"/>
  <c r="I21" i="10"/>
  <c r="H14" i="7"/>
  <c r="N25" i="8"/>
  <c r="B26" i="8"/>
  <c r="B26" i="10"/>
  <c r="L25" i="10"/>
  <c r="F22" i="10" l="1"/>
  <c r="C22" i="10"/>
  <c r="B27" i="8"/>
  <c r="N26" i="8"/>
  <c r="L26" i="10"/>
  <c r="B27" i="10"/>
  <c r="I22" i="10"/>
  <c r="O21" i="10"/>
  <c r="D21" i="10"/>
  <c r="G21" i="8"/>
  <c r="L22" i="8"/>
  <c r="M22" i="8" s="1"/>
  <c r="E22" i="8" s="1"/>
  <c r="F22" i="8" s="1"/>
  <c r="H22" i="8"/>
  <c r="P21" i="8"/>
  <c r="C42" i="3"/>
  <c r="C41" i="3"/>
  <c r="M22" i="10"/>
  <c r="G15" i="7"/>
  <c r="F14" i="7"/>
  <c r="I15" i="7"/>
  <c r="J15" i="7" s="1"/>
  <c r="D15" i="7" s="1"/>
  <c r="E15" i="7" s="1"/>
  <c r="I24" i="8"/>
  <c r="K23" i="8"/>
  <c r="H15" i="7"/>
  <c r="H16" i="7" s="1"/>
  <c r="H17" i="7" s="1"/>
  <c r="H18" i="7" s="1"/>
  <c r="H19" i="7" s="1"/>
  <c r="H20" i="7" s="1"/>
  <c r="H21" i="7" s="1"/>
  <c r="H22" i="7" s="1"/>
  <c r="H23" i="7" s="1"/>
  <c r="H24" i="7" s="1"/>
  <c r="H25" i="7" s="1"/>
  <c r="H26" i="7" s="1"/>
  <c r="H27" i="7" s="1"/>
  <c r="H28" i="7" s="1"/>
  <c r="H29" i="7" s="1"/>
  <c r="H30" i="7" s="1"/>
  <c r="H31" i="7" s="1"/>
  <c r="H32" i="7" s="1"/>
  <c r="H33" i="7" s="1"/>
  <c r="H34" i="7" s="1"/>
  <c r="H35" i="7" s="1"/>
  <c r="H36" i="7" s="1"/>
  <c r="H37" i="7" s="1"/>
  <c r="H38" i="7" s="1"/>
  <c r="H39" i="7" s="1"/>
  <c r="H40" i="7" s="1"/>
  <c r="H41" i="7" s="1"/>
  <c r="H42" i="7" s="1"/>
  <c r="H43" i="7" s="1"/>
  <c r="H44" i="7" s="1"/>
  <c r="H45" i="7" s="1"/>
  <c r="H46" i="7" s="1"/>
  <c r="H47" i="7" s="1"/>
  <c r="H48" i="7" s="1"/>
  <c r="H49" i="7" s="1"/>
  <c r="H50" i="7" s="1"/>
  <c r="H51" i="7" s="1"/>
  <c r="H52" i="7" s="1"/>
  <c r="H53" i="7" s="1"/>
  <c r="H54" i="7" s="1"/>
  <c r="H55" i="7" s="1"/>
  <c r="H56" i="7" s="1"/>
  <c r="H57" i="7" s="1"/>
  <c r="H58" i="7" s="1"/>
  <c r="H59" i="7" s="1"/>
  <c r="H60" i="7" s="1"/>
  <c r="H61" i="7" s="1"/>
  <c r="H62" i="7" s="1"/>
  <c r="H63" i="7" s="1"/>
  <c r="H64" i="7" s="1"/>
  <c r="H65" i="7" s="1"/>
  <c r="H66" i="7" s="1"/>
  <c r="H67" i="7" s="1"/>
  <c r="C14" i="7"/>
  <c r="T122" i="8"/>
  <c r="T120" i="8"/>
  <c r="T118" i="8"/>
  <c r="T116" i="8"/>
  <c r="T114" i="8"/>
  <c r="T119" i="8"/>
  <c r="T115" i="8"/>
  <c r="T113" i="8"/>
  <c r="T111" i="8"/>
  <c r="T109" i="8"/>
  <c r="T107" i="8"/>
  <c r="T105" i="8"/>
  <c r="T103" i="8"/>
  <c r="T101" i="8"/>
  <c r="T99" i="8"/>
  <c r="T97" i="8"/>
  <c r="T95" i="8"/>
  <c r="T93" i="8"/>
  <c r="T91" i="8"/>
  <c r="T121" i="8"/>
  <c r="T117" i="8"/>
  <c r="T112" i="8"/>
  <c r="T110" i="8"/>
  <c r="T108" i="8"/>
  <c r="T106" i="8"/>
  <c r="T104" i="8"/>
  <c r="T102" i="8"/>
  <c r="T100" i="8"/>
  <c r="T98" i="8"/>
  <c r="T96" i="8"/>
  <c r="T94" i="8"/>
  <c r="T92" i="8"/>
  <c r="T90" i="8"/>
  <c r="T88" i="8"/>
  <c r="T86" i="8"/>
  <c r="T84" i="8"/>
  <c r="T82" i="8"/>
  <c r="T80" i="8"/>
  <c r="T78" i="8"/>
  <c r="T76" i="8"/>
  <c r="T74" i="8"/>
  <c r="T72" i="8"/>
  <c r="T70" i="8"/>
  <c r="T68" i="8"/>
  <c r="T66" i="8"/>
  <c r="T64" i="8"/>
  <c r="T62" i="8"/>
  <c r="T60" i="8"/>
  <c r="T58" i="8"/>
  <c r="T56" i="8"/>
  <c r="T54" i="8"/>
  <c r="T52" i="8"/>
  <c r="T50" i="8"/>
  <c r="T48" i="8"/>
  <c r="T46" i="8"/>
  <c r="T44" i="8"/>
  <c r="T42" i="8"/>
  <c r="T40" i="8"/>
  <c r="T38" i="8"/>
  <c r="T36" i="8"/>
  <c r="T34" i="8"/>
  <c r="T32" i="8"/>
  <c r="T30" i="8"/>
  <c r="T89" i="8"/>
  <c r="T87" i="8"/>
  <c r="T85" i="8"/>
  <c r="T83" i="8"/>
  <c r="T81" i="8"/>
  <c r="T79" i="8"/>
  <c r="T77" i="8"/>
  <c r="T75" i="8"/>
  <c r="T73" i="8"/>
  <c r="T71" i="8"/>
  <c r="T69" i="8"/>
  <c r="T67" i="8"/>
  <c r="T65" i="8"/>
  <c r="T63" i="8"/>
  <c r="T61" i="8"/>
  <c r="T59" i="8"/>
  <c r="T57" i="8"/>
  <c r="T55" i="8"/>
  <c r="T53" i="8"/>
  <c r="T51" i="8"/>
  <c r="T49" i="8"/>
  <c r="T47" i="8"/>
  <c r="T45" i="8"/>
  <c r="T43" i="8"/>
  <c r="T41" i="8"/>
  <c r="T39" i="8"/>
  <c r="T37" i="8"/>
  <c r="T35" i="8"/>
  <c r="T33" i="8"/>
  <c r="T31" i="8"/>
  <c r="T29" i="8"/>
  <c r="T28" i="8"/>
  <c r="T26" i="8"/>
  <c r="T24" i="8"/>
  <c r="T22" i="8"/>
  <c r="T21" i="8"/>
  <c r="T27" i="8"/>
  <c r="T25" i="8"/>
  <c r="T23" i="8"/>
  <c r="D21" i="8"/>
  <c r="U22" i="8" l="1"/>
  <c r="D22" i="8"/>
  <c r="W22" i="8"/>
  <c r="O22" i="8"/>
  <c r="B15" i="7"/>
  <c r="I23" i="10"/>
  <c r="O22" i="10"/>
  <c r="N27" i="8"/>
  <c r="B28" i="8"/>
  <c r="I25" i="8"/>
  <c r="K24" i="8"/>
  <c r="C15" i="7"/>
  <c r="G16" i="7"/>
  <c r="C22" i="8"/>
  <c r="B28" i="10"/>
  <c r="L27" i="10"/>
  <c r="M23" i="10"/>
  <c r="G22" i="10"/>
  <c r="J23" i="10"/>
  <c r="K23" i="10" s="1"/>
  <c r="E23" i="10" s="1"/>
  <c r="F23" i="10" s="1"/>
  <c r="R22" i="10"/>
  <c r="N22" i="10"/>
  <c r="H22" i="10"/>
  <c r="Q21" i="8"/>
  <c r="S21" i="8"/>
  <c r="V21" i="8" l="1"/>
  <c r="R21" i="8"/>
  <c r="H23" i="10"/>
  <c r="D22" i="10"/>
  <c r="P22" i="10"/>
  <c r="C23" i="10"/>
  <c r="B29" i="10"/>
  <c r="L28" i="10"/>
  <c r="P22" i="8"/>
  <c r="G22" i="8"/>
  <c r="L23" i="8"/>
  <c r="M23" i="8" s="1"/>
  <c r="E23" i="8" s="1"/>
  <c r="F23" i="8" s="1"/>
  <c r="I26" i="8"/>
  <c r="K25" i="8"/>
  <c r="I24" i="10"/>
  <c r="O23" i="10"/>
  <c r="R23" i="10"/>
  <c r="N23" i="10"/>
  <c r="C16" i="7"/>
  <c r="B29" i="8"/>
  <c r="N28" i="8"/>
  <c r="I16" i="7"/>
  <c r="J16" i="7" s="1"/>
  <c r="D16" i="7" s="1"/>
  <c r="E16" i="7" s="1"/>
  <c r="F15" i="7"/>
  <c r="H23" i="8"/>
  <c r="V22" i="8"/>
  <c r="B16" i="7" l="1"/>
  <c r="I25" i="10"/>
  <c r="O24" i="10"/>
  <c r="B30" i="10"/>
  <c r="L29" i="10"/>
  <c r="P23" i="10"/>
  <c r="D23" i="10"/>
  <c r="W23" i="8"/>
  <c r="O23" i="8"/>
  <c r="U23" i="8"/>
  <c r="D23" i="8"/>
  <c r="Q22" i="8"/>
  <c r="R22" i="8" s="1"/>
  <c r="S22" i="8"/>
  <c r="J24" i="10"/>
  <c r="K24" i="10" s="1"/>
  <c r="E24" i="10" s="1"/>
  <c r="F24" i="10" s="1"/>
  <c r="M24" i="10"/>
  <c r="H24" i="10" s="1"/>
  <c r="G23" i="10"/>
  <c r="N29" i="8"/>
  <c r="B30" i="8"/>
  <c r="I27" i="8"/>
  <c r="K26" i="8"/>
  <c r="C23" i="8"/>
  <c r="S22" i="10"/>
  <c r="Q22" i="10"/>
  <c r="P24" i="10" l="1"/>
  <c r="D24" i="10"/>
  <c r="B31" i="8"/>
  <c r="N30" i="8"/>
  <c r="C24" i="10"/>
  <c r="V23" i="8"/>
  <c r="B31" i="10"/>
  <c r="L30" i="10"/>
  <c r="G23" i="8"/>
  <c r="L24" i="8"/>
  <c r="M24" i="8" s="1"/>
  <c r="E24" i="8" s="1"/>
  <c r="F24" i="8" s="1"/>
  <c r="P23" i="8"/>
  <c r="H24" i="8"/>
  <c r="I28" i="8"/>
  <c r="K27" i="8"/>
  <c r="R24" i="10"/>
  <c r="N24" i="10"/>
  <c r="Q23" i="10"/>
  <c r="S23" i="10"/>
  <c r="I26" i="10"/>
  <c r="O25" i="10"/>
  <c r="F16" i="7"/>
  <c r="I17" i="7"/>
  <c r="J17" i="7" s="1"/>
  <c r="D17" i="7" s="1"/>
  <c r="E17" i="7" s="1"/>
  <c r="G17" i="7"/>
  <c r="I29" i="8" l="1"/>
  <c r="K28" i="8"/>
  <c r="I27" i="10"/>
  <c r="O26" i="10"/>
  <c r="B17" i="7"/>
  <c r="C24" i="8"/>
  <c r="H25" i="8" s="1"/>
  <c r="B32" i="10"/>
  <c r="L31" i="10"/>
  <c r="N31" i="8"/>
  <c r="B32" i="8"/>
  <c r="C17" i="7"/>
  <c r="G18" i="7"/>
  <c r="U24" i="8"/>
  <c r="D24" i="8"/>
  <c r="W24" i="8"/>
  <c r="O24" i="8"/>
  <c r="M25" i="10"/>
  <c r="G24" i="10"/>
  <c r="J25" i="10"/>
  <c r="K25" i="10" s="1"/>
  <c r="E25" i="10" s="1"/>
  <c r="F25" i="10" s="1"/>
  <c r="S24" i="10"/>
  <c r="Q24" i="10"/>
  <c r="S23" i="8"/>
  <c r="Q23" i="8"/>
  <c r="R23" i="8" s="1"/>
  <c r="C18" i="7" l="1"/>
  <c r="L32" i="10"/>
  <c r="B33" i="10"/>
  <c r="I28" i="10"/>
  <c r="O27" i="10"/>
  <c r="C25" i="10"/>
  <c r="N25" i="10"/>
  <c r="R25" i="10"/>
  <c r="H25" i="10"/>
  <c r="B33" i="8"/>
  <c r="N32" i="8"/>
  <c r="P24" i="8"/>
  <c r="G24" i="8"/>
  <c r="L25" i="8"/>
  <c r="M25" i="8" s="1"/>
  <c r="E25" i="8" s="1"/>
  <c r="F25" i="8" s="1"/>
  <c r="W25" i="8"/>
  <c r="O25" i="8"/>
  <c r="U25" i="8"/>
  <c r="D25" i="8"/>
  <c r="V24" i="8"/>
  <c r="I18" i="7"/>
  <c r="J18" i="7" s="1"/>
  <c r="D18" i="7" s="1"/>
  <c r="E18" i="7" s="1"/>
  <c r="F17" i="7"/>
  <c r="I30" i="8"/>
  <c r="K29" i="8"/>
  <c r="B34" i="10" l="1"/>
  <c r="L33" i="10"/>
  <c r="B18" i="7"/>
  <c r="N33" i="8"/>
  <c r="B34" i="8"/>
  <c r="J26" i="10"/>
  <c r="K26" i="10" s="1"/>
  <c r="E26" i="10" s="1"/>
  <c r="F26" i="10" s="1"/>
  <c r="M26" i="10"/>
  <c r="H26" i="10" s="1"/>
  <c r="G25" i="10"/>
  <c r="Q24" i="8"/>
  <c r="R24" i="8" s="1"/>
  <c r="S24" i="8"/>
  <c r="P25" i="10"/>
  <c r="D25" i="10"/>
  <c r="I31" i="8"/>
  <c r="K30" i="8"/>
  <c r="C25" i="8"/>
  <c r="I29" i="10"/>
  <c r="O28" i="10"/>
  <c r="I30" i="10" l="1"/>
  <c r="O29" i="10"/>
  <c r="I32" i="8"/>
  <c r="K31" i="8"/>
  <c r="R26" i="10"/>
  <c r="N26" i="10"/>
  <c r="F18" i="7"/>
  <c r="I19" i="7"/>
  <c r="J19" i="7" s="1"/>
  <c r="D19" i="7" s="1"/>
  <c r="E19" i="7" s="1"/>
  <c r="G19" i="7"/>
  <c r="D26" i="10"/>
  <c r="P26" i="10"/>
  <c r="G25" i="8"/>
  <c r="L26" i="8"/>
  <c r="M26" i="8" s="1"/>
  <c r="E26" i="8" s="1"/>
  <c r="F26" i="8" s="1"/>
  <c r="P25" i="8"/>
  <c r="H26" i="8"/>
  <c r="V25" i="8"/>
  <c r="C26" i="10"/>
  <c r="Q25" i="10"/>
  <c r="S25" i="10"/>
  <c r="B35" i="8"/>
  <c r="N34" i="8"/>
  <c r="B35" i="10"/>
  <c r="L34" i="10"/>
  <c r="N35" i="8" l="1"/>
  <c r="B36" i="8"/>
  <c r="S26" i="10"/>
  <c r="Q26" i="10"/>
  <c r="M27" i="10"/>
  <c r="G26" i="10"/>
  <c r="J27" i="10"/>
  <c r="K27" i="10" s="1"/>
  <c r="E27" i="10" s="1"/>
  <c r="F27" i="10" s="1"/>
  <c r="C26" i="8"/>
  <c r="H27" i="8" s="1"/>
  <c r="B19" i="7"/>
  <c r="I33" i="8"/>
  <c r="K32" i="8"/>
  <c r="U26" i="8"/>
  <c r="D26" i="8"/>
  <c r="W26" i="8"/>
  <c r="O26" i="8"/>
  <c r="C19" i="7"/>
  <c r="G20" i="7"/>
  <c r="B36" i="10"/>
  <c r="L35" i="10"/>
  <c r="S25" i="8"/>
  <c r="Q25" i="8"/>
  <c r="R25" i="8" s="1"/>
  <c r="I31" i="10"/>
  <c r="O30" i="10"/>
  <c r="I32" i="10" l="1"/>
  <c r="O31" i="10"/>
  <c r="C20" i="7"/>
  <c r="I34" i="8"/>
  <c r="K33" i="8"/>
  <c r="C27" i="10"/>
  <c r="B37" i="10"/>
  <c r="L36" i="10"/>
  <c r="I20" i="7"/>
  <c r="J20" i="7" s="1"/>
  <c r="D20" i="7" s="1"/>
  <c r="E20" i="7" s="1"/>
  <c r="F19" i="7"/>
  <c r="B37" i="8"/>
  <c r="N36" i="8"/>
  <c r="W27" i="8"/>
  <c r="O27" i="8"/>
  <c r="U27" i="8"/>
  <c r="D27" i="8"/>
  <c r="V26" i="8"/>
  <c r="P26" i="8"/>
  <c r="G26" i="8"/>
  <c r="L27" i="8"/>
  <c r="M27" i="8" s="1"/>
  <c r="E27" i="8" s="1"/>
  <c r="F27" i="8" s="1"/>
  <c r="R27" i="10"/>
  <c r="N27" i="10"/>
  <c r="H27" i="10"/>
  <c r="B38" i="10" l="1"/>
  <c r="L37" i="10"/>
  <c r="J28" i="10"/>
  <c r="K28" i="10" s="1"/>
  <c r="E28" i="10" s="1"/>
  <c r="F28" i="10" s="1"/>
  <c r="M28" i="10"/>
  <c r="H28" i="10" s="1"/>
  <c r="G27" i="10"/>
  <c r="Q26" i="8"/>
  <c r="R26" i="8" s="1"/>
  <c r="S26" i="8"/>
  <c r="B20" i="7"/>
  <c r="P27" i="10"/>
  <c r="D27" i="10"/>
  <c r="C27" i="8"/>
  <c r="N37" i="8"/>
  <c r="B38" i="8"/>
  <c r="I35" i="8"/>
  <c r="K34" i="8"/>
  <c r="I33" i="10"/>
  <c r="O32" i="10"/>
  <c r="Q27" i="10" l="1"/>
  <c r="S27" i="10"/>
  <c r="C28" i="10"/>
  <c r="B39" i="8"/>
  <c r="N38" i="8"/>
  <c r="F20" i="7"/>
  <c r="I21" i="7"/>
  <c r="J21" i="7" s="1"/>
  <c r="D21" i="7" s="1"/>
  <c r="E21" i="7" s="1"/>
  <c r="G21" i="7"/>
  <c r="I34" i="10"/>
  <c r="O33" i="10"/>
  <c r="G27" i="8"/>
  <c r="L28" i="8"/>
  <c r="M28" i="8" s="1"/>
  <c r="E28" i="8" s="1"/>
  <c r="F28" i="8" s="1"/>
  <c r="P27" i="8"/>
  <c r="H28" i="8"/>
  <c r="I36" i="8"/>
  <c r="K35" i="8"/>
  <c r="D28" i="10"/>
  <c r="P28" i="10"/>
  <c r="V27" i="8"/>
  <c r="R28" i="10"/>
  <c r="N28" i="10"/>
  <c r="B39" i="10"/>
  <c r="L38" i="10"/>
  <c r="S28" i="10" l="1"/>
  <c r="Q28" i="10"/>
  <c r="W28" i="8"/>
  <c r="U28" i="8"/>
  <c r="D28" i="8"/>
  <c r="O28" i="8"/>
  <c r="N39" i="8"/>
  <c r="B40" i="8"/>
  <c r="S27" i="8"/>
  <c r="Q27" i="8"/>
  <c r="R27" i="8" s="1"/>
  <c r="B21" i="7"/>
  <c r="M29" i="10"/>
  <c r="G28" i="10"/>
  <c r="J29" i="10"/>
  <c r="K29" i="10" s="1"/>
  <c r="E29" i="10" s="1"/>
  <c r="F29" i="10" s="1"/>
  <c r="C28" i="8"/>
  <c r="H29" i="8" s="1"/>
  <c r="I35" i="10"/>
  <c r="O34" i="10"/>
  <c r="B40" i="10"/>
  <c r="L39" i="10"/>
  <c r="I37" i="8"/>
  <c r="K36" i="8"/>
  <c r="C21" i="7"/>
  <c r="G22" i="7"/>
  <c r="U29" i="8" l="1"/>
  <c r="D29" i="8"/>
  <c r="W29" i="8"/>
  <c r="O29" i="8"/>
  <c r="I22" i="7"/>
  <c r="J22" i="7" s="1"/>
  <c r="D22" i="7" s="1"/>
  <c r="E22" i="7" s="1"/>
  <c r="F21" i="7"/>
  <c r="B41" i="10"/>
  <c r="L40" i="10"/>
  <c r="C29" i="10"/>
  <c r="I38" i="8"/>
  <c r="K37" i="8"/>
  <c r="I36" i="10"/>
  <c r="O35" i="10"/>
  <c r="C22" i="7"/>
  <c r="L29" i="8"/>
  <c r="M29" i="8" s="1"/>
  <c r="E29" i="8" s="1"/>
  <c r="F29" i="8" s="1"/>
  <c r="P28" i="8"/>
  <c r="G28" i="8"/>
  <c r="R29" i="10"/>
  <c r="N29" i="10"/>
  <c r="H29" i="10"/>
  <c r="B41" i="8"/>
  <c r="N40" i="8"/>
  <c r="V28" i="8"/>
  <c r="C29" i="8" l="1"/>
  <c r="P29" i="10"/>
  <c r="D29" i="10"/>
  <c r="Q28" i="8"/>
  <c r="R28" i="8" s="1"/>
  <c r="S28" i="8"/>
  <c r="I39" i="8"/>
  <c r="K38" i="8"/>
  <c r="J30" i="10"/>
  <c r="K30" i="10" s="1"/>
  <c r="E30" i="10" s="1"/>
  <c r="F30" i="10" s="1"/>
  <c r="M30" i="10"/>
  <c r="H30" i="10" s="1"/>
  <c r="G29" i="10"/>
  <c r="I37" i="10"/>
  <c r="O36" i="10"/>
  <c r="B22" i="7"/>
  <c r="N41" i="8"/>
  <c r="B42" i="8"/>
  <c r="B42" i="10"/>
  <c r="L41" i="10"/>
  <c r="V29" i="8" l="1"/>
  <c r="D30" i="10"/>
  <c r="P30" i="10"/>
  <c r="B43" i="8"/>
  <c r="N42" i="8"/>
  <c r="B43" i="10"/>
  <c r="L42" i="10"/>
  <c r="F22" i="7"/>
  <c r="I23" i="7"/>
  <c r="J23" i="7" s="1"/>
  <c r="D23" i="7" s="1"/>
  <c r="E23" i="7" s="1"/>
  <c r="G23" i="7"/>
  <c r="R30" i="10"/>
  <c r="N30" i="10"/>
  <c r="I40" i="8"/>
  <c r="K39" i="8"/>
  <c r="Q29" i="10"/>
  <c r="S29" i="10"/>
  <c r="I38" i="10"/>
  <c r="O37" i="10"/>
  <c r="C30" i="10"/>
  <c r="L30" i="8"/>
  <c r="M30" i="8" s="1"/>
  <c r="E30" i="8" s="1"/>
  <c r="F30" i="8" s="1"/>
  <c r="P29" i="8"/>
  <c r="G29" i="8"/>
  <c r="H30" i="8"/>
  <c r="M31" i="10" l="1"/>
  <c r="G30" i="10"/>
  <c r="J31" i="10"/>
  <c r="K31" i="10" s="1"/>
  <c r="E31" i="10" s="1"/>
  <c r="F31" i="10" s="1"/>
  <c r="N43" i="8"/>
  <c r="B44" i="8"/>
  <c r="Q29" i="8"/>
  <c r="R29" i="8" s="1"/>
  <c r="S29" i="8"/>
  <c r="C23" i="7"/>
  <c r="S30" i="10"/>
  <c r="Q30" i="10"/>
  <c r="C30" i="8"/>
  <c r="H31" i="8" s="1"/>
  <c r="I39" i="10"/>
  <c r="O38" i="10"/>
  <c r="I41" i="8"/>
  <c r="K40" i="8"/>
  <c r="B44" i="10"/>
  <c r="L43" i="10"/>
  <c r="D30" i="8"/>
  <c r="W30" i="8"/>
  <c r="O30" i="8"/>
  <c r="U30" i="8"/>
  <c r="B23" i="7"/>
  <c r="G24" i="7" s="1"/>
  <c r="V30" i="8" l="1"/>
  <c r="U31" i="8"/>
  <c r="D31" i="8"/>
  <c r="W31" i="8"/>
  <c r="O31" i="8"/>
  <c r="C24" i="7"/>
  <c r="I42" i="8"/>
  <c r="K41" i="8"/>
  <c r="C31" i="10"/>
  <c r="B45" i="10"/>
  <c r="L44" i="10"/>
  <c r="I40" i="10"/>
  <c r="O39" i="10"/>
  <c r="B45" i="8"/>
  <c r="N44" i="8"/>
  <c r="I24" i="7"/>
  <c r="J24" i="7" s="1"/>
  <c r="D24" i="7" s="1"/>
  <c r="E24" i="7" s="1"/>
  <c r="F23" i="7"/>
  <c r="P30" i="8"/>
  <c r="G30" i="8"/>
  <c r="L31" i="8"/>
  <c r="M31" i="8" s="1"/>
  <c r="E31" i="8" s="1"/>
  <c r="F31" i="8" s="1"/>
  <c r="R31" i="10"/>
  <c r="N31" i="10"/>
  <c r="H31" i="10"/>
  <c r="P31" i="10" l="1"/>
  <c r="D31" i="10"/>
  <c r="I43" i="8"/>
  <c r="K42" i="8"/>
  <c r="S30" i="8"/>
  <c r="Q30" i="8"/>
  <c r="R30" i="8" s="1"/>
  <c r="C31" i="8"/>
  <c r="N45" i="8"/>
  <c r="B46" i="8"/>
  <c r="B46" i="10"/>
  <c r="L45" i="10"/>
  <c r="J32" i="10"/>
  <c r="K32" i="10" s="1"/>
  <c r="E32" i="10" s="1"/>
  <c r="F32" i="10" s="1"/>
  <c r="M32" i="10"/>
  <c r="G31" i="10"/>
  <c r="B24" i="7"/>
  <c r="I41" i="10"/>
  <c r="O40" i="10"/>
  <c r="V31" i="8" l="1"/>
  <c r="F24" i="7"/>
  <c r="I25" i="7"/>
  <c r="J25" i="7" s="1"/>
  <c r="D25" i="7" s="1"/>
  <c r="E25" i="7" s="1"/>
  <c r="G25" i="7"/>
  <c r="L32" i="8"/>
  <c r="M32" i="8" s="1"/>
  <c r="E32" i="8" s="1"/>
  <c r="F32" i="8" s="1"/>
  <c r="P31" i="8"/>
  <c r="G31" i="8"/>
  <c r="H32" i="8"/>
  <c r="I44" i="8"/>
  <c r="K43" i="8"/>
  <c r="I42" i="10"/>
  <c r="O41" i="10"/>
  <c r="R32" i="10"/>
  <c r="N32" i="10"/>
  <c r="B47" i="10"/>
  <c r="L46" i="10"/>
  <c r="H32" i="10"/>
  <c r="B47" i="8"/>
  <c r="N46" i="8"/>
  <c r="C32" i="10"/>
  <c r="Q31" i="10"/>
  <c r="S31" i="10"/>
  <c r="M33" i="10" l="1"/>
  <c r="G32" i="10"/>
  <c r="J33" i="10"/>
  <c r="K33" i="10" s="1"/>
  <c r="E33" i="10" s="1"/>
  <c r="F33" i="10" s="1"/>
  <c r="B48" i="10"/>
  <c r="L47" i="10"/>
  <c r="I43" i="10"/>
  <c r="O42" i="10"/>
  <c r="C25" i="7"/>
  <c r="Q31" i="8"/>
  <c r="R31" i="8" s="1"/>
  <c r="S31" i="8"/>
  <c r="N47" i="8"/>
  <c r="B48" i="8"/>
  <c r="H33" i="10"/>
  <c r="P32" i="10"/>
  <c r="D32" i="10"/>
  <c r="I45" i="8"/>
  <c r="K44" i="8"/>
  <c r="C32" i="8"/>
  <c r="B25" i="7"/>
  <c r="G26" i="7" s="1"/>
  <c r="D32" i="8"/>
  <c r="W32" i="8"/>
  <c r="O32" i="8"/>
  <c r="U32" i="8"/>
  <c r="V32" i="8" l="1"/>
  <c r="C26" i="7"/>
  <c r="P32" i="8"/>
  <c r="G32" i="8"/>
  <c r="L33" i="8"/>
  <c r="M33" i="8" s="1"/>
  <c r="E33" i="8" s="1"/>
  <c r="F33" i="8" s="1"/>
  <c r="S32" i="10"/>
  <c r="Q32" i="10"/>
  <c r="P33" i="10"/>
  <c r="D33" i="10"/>
  <c r="I44" i="10"/>
  <c r="O43" i="10"/>
  <c r="C33" i="10"/>
  <c r="I46" i="8"/>
  <c r="K45" i="8"/>
  <c r="B49" i="8"/>
  <c r="N48" i="8"/>
  <c r="H33" i="8"/>
  <c r="I26" i="7"/>
  <c r="J26" i="7" s="1"/>
  <c r="D26" i="7" s="1"/>
  <c r="E26" i="7" s="1"/>
  <c r="F25" i="7"/>
  <c r="L48" i="10"/>
  <c r="B49" i="10"/>
  <c r="N33" i="10"/>
  <c r="R33" i="10"/>
  <c r="B50" i="10" l="1"/>
  <c r="L49" i="10"/>
  <c r="B26" i="7"/>
  <c r="I45" i="10"/>
  <c r="O44" i="10"/>
  <c r="U33" i="8"/>
  <c r="D33" i="8"/>
  <c r="W33" i="8"/>
  <c r="O33" i="8"/>
  <c r="I47" i="8"/>
  <c r="K46" i="8"/>
  <c r="S32" i="8"/>
  <c r="Q32" i="8"/>
  <c r="R32" i="8" s="1"/>
  <c r="J34" i="10"/>
  <c r="K34" i="10" s="1"/>
  <c r="E34" i="10" s="1"/>
  <c r="F34" i="10" s="1"/>
  <c r="M34" i="10"/>
  <c r="G33" i="10"/>
  <c r="C33" i="8"/>
  <c r="N49" i="8"/>
  <c r="B50" i="8"/>
  <c r="Q33" i="10"/>
  <c r="S33" i="10"/>
  <c r="I46" i="10" l="1"/>
  <c r="O45" i="10"/>
  <c r="L34" i="8"/>
  <c r="M34" i="8" s="1"/>
  <c r="E34" i="8" s="1"/>
  <c r="F34" i="8" s="1"/>
  <c r="P33" i="8"/>
  <c r="G33" i="8"/>
  <c r="C34" i="10"/>
  <c r="I48" i="8"/>
  <c r="K47" i="8"/>
  <c r="V33" i="8"/>
  <c r="F26" i="7"/>
  <c r="I27" i="7"/>
  <c r="J27" i="7" s="1"/>
  <c r="D27" i="7" s="1"/>
  <c r="E27" i="7" s="1"/>
  <c r="G27" i="7"/>
  <c r="H34" i="8"/>
  <c r="B51" i="8"/>
  <c r="N50" i="8"/>
  <c r="R34" i="10"/>
  <c r="N34" i="10"/>
  <c r="H34" i="10"/>
  <c r="L50" i="10"/>
  <c r="B51" i="10"/>
  <c r="P34" i="10" l="1"/>
  <c r="D34" i="10"/>
  <c r="N51" i="8"/>
  <c r="B52" i="8"/>
  <c r="B27" i="7"/>
  <c r="I49" i="8"/>
  <c r="K48" i="8"/>
  <c r="C34" i="8"/>
  <c r="H35" i="8" s="1"/>
  <c r="M35" i="10"/>
  <c r="G34" i="10"/>
  <c r="J35" i="10"/>
  <c r="K35" i="10" s="1"/>
  <c r="E35" i="10" s="1"/>
  <c r="F35" i="10" s="1"/>
  <c r="B52" i="10"/>
  <c r="L51" i="10"/>
  <c r="C27" i="7"/>
  <c r="G28" i="7"/>
  <c r="D34" i="8"/>
  <c r="W34" i="8"/>
  <c r="O34" i="8"/>
  <c r="U34" i="8"/>
  <c r="Q33" i="8"/>
  <c r="R33" i="8" s="1"/>
  <c r="S33" i="8"/>
  <c r="I47" i="10"/>
  <c r="O46" i="10"/>
  <c r="C28" i="7" l="1"/>
  <c r="C35" i="10"/>
  <c r="I48" i="10"/>
  <c r="O47" i="10"/>
  <c r="I50" i="8"/>
  <c r="K49" i="8"/>
  <c r="V34" i="8"/>
  <c r="B53" i="10"/>
  <c r="L52" i="10"/>
  <c r="R35" i="10"/>
  <c r="N35" i="10"/>
  <c r="I28" i="7"/>
  <c r="J28" i="7" s="1"/>
  <c r="D28" i="7" s="1"/>
  <c r="E28" i="7" s="1"/>
  <c r="F27" i="7"/>
  <c r="S34" i="10"/>
  <c r="Q34" i="10"/>
  <c r="U35" i="8"/>
  <c r="D35" i="8"/>
  <c r="W35" i="8"/>
  <c r="O35" i="8"/>
  <c r="P34" i="8"/>
  <c r="G34" i="8"/>
  <c r="L35" i="8"/>
  <c r="M35" i="8" s="1"/>
  <c r="E35" i="8" s="1"/>
  <c r="F35" i="8" s="1"/>
  <c r="B53" i="8"/>
  <c r="N52" i="8"/>
  <c r="H35" i="10"/>
  <c r="C35" i="8" l="1"/>
  <c r="H36" i="8" s="1"/>
  <c r="D36" i="8" s="1"/>
  <c r="P35" i="10"/>
  <c r="D35" i="10"/>
  <c r="I49" i="10"/>
  <c r="O48" i="10"/>
  <c r="N53" i="8"/>
  <c r="B54" i="8"/>
  <c r="S34" i="8"/>
  <c r="Q34" i="8"/>
  <c r="R34" i="8" s="1"/>
  <c r="J36" i="10"/>
  <c r="K36" i="10" s="1"/>
  <c r="E36" i="10" s="1"/>
  <c r="F36" i="10" s="1"/>
  <c r="M36" i="10"/>
  <c r="H36" i="10" s="1"/>
  <c r="G35" i="10"/>
  <c r="I51" i="8"/>
  <c r="K50" i="8"/>
  <c r="B28" i="7"/>
  <c r="B54" i="10"/>
  <c r="L53" i="10"/>
  <c r="L36" i="8" l="1"/>
  <c r="M36" i="8" s="1"/>
  <c r="E36" i="8" s="1"/>
  <c r="F36" i="8" s="1"/>
  <c r="G35" i="8"/>
  <c r="P35" i="8"/>
  <c r="S35" i="8" s="1"/>
  <c r="V35" i="8"/>
  <c r="U36" i="8"/>
  <c r="O36" i="8"/>
  <c r="W36" i="8"/>
  <c r="P36" i="10"/>
  <c r="D36" i="10"/>
  <c r="F28" i="7"/>
  <c r="I29" i="7"/>
  <c r="J29" i="7" s="1"/>
  <c r="D29" i="7" s="1"/>
  <c r="E29" i="7" s="1"/>
  <c r="G29" i="7"/>
  <c r="I52" i="8"/>
  <c r="K51" i="8"/>
  <c r="C36" i="10"/>
  <c r="B55" i="8"/>
  <c r="N54" i="8"/>
  <c r="B55" i="10"/>
  <c r="L54" i="10"/>
  <c r="R36" i="10"/>
  <c r="N36" i="10"/>
  <c r="Q35" i="10"/>
  <c r="S35" i="10"/>
  <c r="I50" i="10"/>
  <c r="O49" i="10"/>
  <c r="C36" i="8" l="1"/>
  <c r="L37" i="8" s="1"/>
  <c r="M37" i="8" s="1"/>
  <c r="E37" i="8" s="1"/>
  <c r="F37" i="8" s="1"/>
  <c r="Q35" i="8"/>
  <c r="R35" i="8" s="1"/>
  <c r="M37" i="10"/>
  <c r="G36" i="10"/>
  <c r="J37" i="10"/>
  <c r="K37" i="10" s="1"/>
  <c r="E37" i="10" s="1"/>
  <c r="F37" i="10" s="1"/>
  <c r="B56" i="10"/>
  <c r="L55" i="10"/>
  <c r="C29" i="7"/>
  <c r="S36" i="10"/>
  <c r="Q36" i="10"/>
  <c r="I51" i="10"/>
  <c r="O50" i="10"/>
  <c r="I53" i="8"/>
  <c r="K52" i="8"/>
  <c r="N55" i="8"/>
  <c r="B56" i="8"/>
  <c r="B29" i="7"/>
  <c r="V36" i="8" l="1"/>
  <c r="G36" i="8"/>
  <c r="P36" i="8"/>
  <c r="Q36" i="8" s="1"/>
  <c r="R36" i="8" s="1"/>
  <c r="H37" i="8"/>
  <c r="O37" i="8" s="1"/>
  <c r="C37" i="8"/>
  <c r="P37" i="8" s="1"/>
  <c r="I30" i="7"/>
  <c r="J30" i="7" s="1"/>
  <c r="D30" i="7" s="1"/>
  <c r="E30" i="7" s="1"/>
  <c r="F29" i="7"/>
  <c r="B57" i="8"/>
  <c r="N56" i="8"/>
  <c r="G30" i="7"/>
  <c r="I52" i="10"/>
  <c r="O51" i="10"/>
  <c r="C37" i="10"/>
  <c r="I54" i="8"/>
  <c r="K53" i="8"/>
  <c r="L56" i="10"/>
  <c r="B57" i="10"/>
  <c r="R37" i="10"/>
  <c r="N37" i="10"/>
  <c r="H37" i="10"/>
  <c r="D37" i="8" l="1"/>
  <c r="S36" i="8"/>
  <c r="W37" i="8"/>
  <c r="U37" i="8"/>
  <c r="V37" i="8" s="1"/>
  <c r="G37" i="8"/>
  <c r="L38" i="8"/>
  <c r="M38" i="8" s="1"/>
  <c r="E38" i="8" s="1"/>
  <c r="F38" i="8" s="1"/>
  <c r="H38" i="8"/>
  <c r="D38" i="8" s="1"/>
  <c r="I55" i="8"/>
  <c r="K54" i="8"/>
  <c r="B58" i="10"/>
  <c r="L57" i="10"/>
  <c r="J38" i="10"/>
  <c r="K38" i="10" s="1"/>
  <c r="E38" i="10" s="1"/>
  <c r="F38" i="10" s="1"/>
  <c r="M38" i="10"/>
  <c r="H38" i="10" s="1"/>
  <c r="G37" i="10"/>
  <c r="N57" i="8"/>
  <c r="B58" i="8"/>
  <c r="P37" i="10"/>
  <c r="D37" i="10"/>
  <c r="Q37" i="8"/>
  <c r="R37" i="8" s="1"/>
  <c r="S37" i="8"/>
  <c r="I53" i="10"/>
  <c r="O52" i="10"/>
  <c r="C30" i="7"/>
  <c r="B30" i="7"/>
  <c r="G31" i="7" s="1"/>
  <c r="U38" i="8" l="1"/>
  <c r="V38" i="8" s="1"/>
  <c r="W38" i="8"/>
  <c r="O38" i="8"/>
  <c r="C38" i="8"/>
  <c r="H39" i="8" s="1"/>
  <c r="C31" i="7"/>
  <c r="I54" i="10"/>
  <c r="O53" i="10"/>
  <c r="B59" i="8"/>
  <c r="N58" i="8"/>
  <c r="R38" i="10"/>
  <c r="N38" i="10"/>
  <c r="L58" i="10"/>
  <c r="B59" i="10"/>
  <c r="F30" i="7"/>
  <c r="I31" i="7"/>
  <c r="J31" i="7" s="1"/>
  <c r="D31" i="7" s="1"/>
  <c r="E31" i="7" s="1"/>
  <c r="P38" i="10"/>
  <c r="D38" i="10"/>
  <c r="C38" i="10"/>
  <c r="I56" i="8"/>
  <c r="K55" i="8"/>
  <c r="Q37" i="10"/>
  <c r="S37" i="10"/>
  <c r="G38" i="8" l="1"/>
  <c r="L39" i="8"/>
  <c r="M39" i="8" s="1"/>
  <c r="E39" i="8" s="1"/>
  <c r="F39" i="8" s="1"/>
  <c r="D39" i="8"/>
  <c r="W39" i="8"/>
  <c r="O39" i="8"/>
  <c r="U39" i="8"/>
  <c r="P38" i="8"/>
  <c r="S38" i="8" s="1"/>
  <c r="M39" i="10"/>
  <c r="G38" i="10"/>
  <c r="J39" i="10"/>
  <c r="K39" i="10" s="1"/>
  <c r="E39" i="10" s="1"/>
  <c r="F39" i="10" s="1"/>
  <c r="B31" i="7"/>
  <c r="S38" i="10"/>
  <c r="Q38" i="10"/>
  <c r="I55" i="10"/>
  <c r="O54" i="10"/>
  <c r="I57" i="8"/>
  <c r="K56" i="8"/>
  <c r="B60" i="10"/>
  <c r="L59" i="10"/>
  <c r="B60" i="8"/>
  <c r="N59" i="8" l="1"/>
  <c r="C39" i="8"/>
  <c r="L40" i="8" s="1"/>
  <c r="M40" i="8" s="1"/>
  <c r="E40" i="8" s="1"/>
  <c r="F40" i="8" s="1"/>
  <c r="Q38" i="8"/>
  <c r="R38" i="8" s="1"/>
  <c r="B61" i="10"/>
  <c r="L60" i="10"/>
  <c r="C39" i="10"/>
  <c r="B61" i="8"/>
  <c r="I56" i="10"/>
  <c r="O55" i="10"/>
  <c r="I58" i="8"/>
  <c r="K57" i="8"/>
  <c r="I32" i="7"/>
  <c r="J32" i="7" s="1"/>
  <c r="D32" i="7" s="1"/>
  <c r="E32" i="7" s="1"/>
  <c r="F31" i="7"/>
  <c r="G32" i="7"/>
  <c r="R39" i="10"/>
  <c r="N39" i="10"/>
  <c r="H39" i="10"/>
  <c r="H40" i="8" l="1"/>
  <c r="O40" i="8" s="1"/>
  <c r="P39" i="8"/>
  <c r="S39" i="8" s="1"/>
  <c r="G39" i="8"/>
  <c r="V39" i="8"/>
  <c r="J40" i="10"/>
  <c r="K40" i="10" s="1"/>
  <c r="E40" i="10" s="1"/>
  <c r="F40" i="10" s="1"/>
  <c r="M40" i="10"/>
  <c r="H40" i="10" s="1"/>
  <c r="G39" i="10"/>
  <c r="B32" i="7"/>
  <c r="I57" i="10"/>
  <c r="O56" i="10"/>
  <c r="G33" i="7"/>
  <c r="C32" i="7"/>
  <c r="N60" i="8"/>
  <c r="B62" i="10"/>
  <c r="L61" i="10"/>
  <c r="C40" i="8"/>
  <c r="P39" i="10"/>
  <c r="D39" i="10"/>
  <c r="I59" i="8"/>
  <c r="K58" i="8"/>
  <c r="B62" i="8"/>
  <c r="W40" i="8" l="1"/>
  <c r="U40" i="8"/>
  <c r="D40" i="8"/>
  <c r="H41" i="8"/>
  <c r="O41" i="8" s="1"/>
  <c r="Q39" i="8"/>
  <c r="R39" i="8" s="1"/>
  <c r="Q39" i="10"/>
  <c r="S39" i="10"/>
  <c r="B63" i="8"/>
  <c r="I60" i="8"/>
  <c r="K59" i="8"/>
  <c r="P40" i="8"/>
  <c r="G40" i="8"/>
  <c r="L41" i="8"/>
  <c r="M41" i="8" s="1"/>
  <c r="E41" i="8" s="1"/>
  <c r="C41" i="8" s="1"/>
  <c r="R40" i="10"/>
  <c r="N40" i="10"/>
  <c r="I58" i="10"/>
  <c r="O57" i="10"/>
  <c r="P40" i="10"/>
  <c r="D40" i="10"/>
  <c r="C33" i="7"/>
  <c r="B63" i="10"/>
  <c r="L62" i="10"/>
  <c r="F32" i="7"/>
  <c r="I33" i="7"/>
  <c r="J33" i="7" s="1"/>
  <c r="D33" i="7" s="1"/>
  <c r="E33" i="7" s="1"/>
  <c r="C40" i="10"/>
  <c r="W41" i="8" l="1"/>
  <c r="D41" i="8"/>
  <c r="U41" i="8"/>
  <c r="V40" i="8"/>
  <c r="L42" i="8"/>
  <c r="M42" i="8" s="1"/>
  <c r="E42" i="8" s="1"/>
  <c r="C42" i="8" s="1"/>
  <c r="P41" i="8"/>
  <c r="G41" i="8"/>
  <c r="H42" i="8"/>
  <c r="B64" i="10"/>
  <c r="L63" i="10"/>
  <c r="B33" i="7"/>
  <c r="S40" i="8"/>
  <c r="Q40" i="8"/>
  <c r="R40" i="8" s="1"/>
  <c r="B64" i="8"/>
  <c r="M41" i="10"/>
  <c r="G40" i="10"/>
  <c r="J41" i="10"/>
  <c r="K41" i="10" s="1"/>
  <c r="E41" i="10" s="1"/>
  <c r="F41" i="10" s="1"/>
  <c r="I59" i="10"/>
  <c r="O58" i="10"/>
  <c r="F41" i="8"/>
  <c r="N61" i="8"/>
  <c r="I61" i="8"/>
  <c r="K60" i="8"/>
  <c r="S40" i="10"/>
  <c r="Q40" i="10"/>
  <c r="V41" i="8" l="1"/>
  <c r="P42" i="8"/>
  <c r="G42" i="8"/>
  <c r="L43" i="8"/>
  <c r="M43" i="8" s="1"/>
  <c r="E43" i="8" s="1"/>
  <c r="C43" i="8" s="1"/>
  <c r="B65" i="8"/>
  <c r="I34" i="7"/>
  <c r="J34" i="7" s="1"/>
  <c r="D34" i="7" s="1"/>
  <c r="E34" i="7" s="1"/>
  <c r="F33" i="7"/>
  <c r="G34" i="7"/>
  <c r="I62" i="8"/>
  <c r="K61" i="8"/>
  <c r="Q41" i="8"/>
  <c r="R41" i="8" s="1"/>
  <c r="S41" i="8"/>
  <c r="C41" i="10"/>
  <c r="L64" i="10"/>
  <c r="B65" i="10"/>
  <c r="I60" i="10"/>
  <c r="O59" i="10"/>
  <c r="R41" i="10"/>
  <c r="N41" i="10"/>
  <c r="H41" i="10"/>
  <c r="D42" i="8"/>
  <c r="W42" i="8"/>
  <c r="O42" i="8"/>
  <c r="H43" i="8"/>
  <c r="U42" i="8"/>
  <c r="F42" i="8"/>
  <c r="N62" i="8"/>
  <c r="V42" i="8" l="1"/>
  <c r="L44" i="8"/>
  <c r="M44" i="8" s="1"/>
  <c r="E44" i="8" s="1"/>
  <c r="C44" i="8" s="1"/>
  <c r="P43" i="8"/>
  <c r="G43" i="8"/>
  <c r="J42" i="10"/>
  <c r="K42" i="10" s="1"/>
  <c r="E42" i="10" s="1"/>
  <c r="F42" i="10" s="1"/>
  <c r="M42" i="10"/>
  <c r="H42" i="10" s="1"/>
  <c r="G41" i="10"/>
  <c r="I63" i="8"/>
  <c r="K62" i="8"/>
  <c r="B34" i="7"/>
  <c r="F43" i="8"/>
  <c r="N63" i="8"/>
  <c r="P41" i="10"/>
  <c r="D41" i="10"/>
  <c r="I61" i="10"/>
  <c r="O60" i="10"/>
  <c r="G35" i="7"/>
  <c r="C34" i="7"/>
  <c r="H44" i="8"/>
  <c r="U43" i="8"/>
  <c r="D43" i="8"/>
  <c r="W43" i="8"/>
  <c r="O43" i="8"/>
  <c r="B66" i="10"/>
  <c r="L65" i="10"/>
  <c r="B66" i="8"/>
  <c r="S42" i="8"/>
  <c r="Q42" i="8"/>
  <c r="R42" i="8" s="1"/>
  <c r="C42" i="10" l="1"/>
  <c r="G42" i="10" s="1"/>
  <c r="P44" i="8"/>
  <c r="G44" i="8"/>
  <c r="L45" i="8"/>
  <c r="M45" i="8" s="1"/>
  <c r="E45" i="8" s="1"/>
  <c r="C45" i="8" s="1"/>
  <c r="B67" i="8"/>
  <c r="D44" i="8"/>
  <c r="W44" i="8"/>
  <c r="O44" i="8"/>
  <c r="H45" i="8"/>
  <c r="U44" i="8"/>
  <c r="P42" i="10"/>
  <c r="D42" i="10"/>
  <c r="C35" i="7"/>
  <c r="F34" i="7"/>
  <c r="I35" i="7"/>
  <c r="J35" i="7" s="1"/>
  <c r="D35" i="7" s="1"/>
  <c r="E35" i="7" s="1"/>
  <c r="N42" i="10"/>
  <c r="R42" i="10"/>
  <c r="Q43" i="8"/>
  <c r="R43" i="8" s="1"/>
  <c r="S43" i="8"/>
  <c r="L66" i="10"/>
  <c r="B67" i="10"/>
  <c r="V43" i="8"/>
  <c r="Q41" i="10"/>
  <c r="S41" i="10"/>
  <c r="I62" i="10"/>
  <c r="O61" i="10"/>
  <c r="I64" i="8"/>
  <c r="K63" i="8"/>
  <c r="M43" i="10"/>
  <c r="H43" i="10" s="1"/>
  <c r="F44" i="8"/>
  <c r="N64" i="8"/>
  <c r="J43" i="10" l="1"/>
  <c r="K43" i="10" s="1"/>
  <c r="E43" i="10" s="1"/>
  <c r="F43" i="10" s="1"/>
  <c r="V44" i="8"/>
  <c r="P43" i="10"/>
  <c r="D43" i="10"/>
  <c r="L46" i="8"/>
  <c r="M46" i="8" s="1"/>
  <c r="E46" i="8" s="1"/>
  <c r="P45" i="8"/>
  <c r="G45" i="8"/>
  <c r="I65" i="8"/>
  <c r="K64" i="8"/>
  <c r="F45" i="8"/>
  <c r="N65" i="8"/>
  <c r="B35" i="7"/>
  <c r="H46" i="8"/>
  <c r="U45" i="8"/>
  <c r="D45" i="8"/>
  <c r="W45" i="8"/>
  <c r="O45" i="8"/>
  <c r="R43" i="10"/>
  <c r="N43" i="10"/>
  <c r="I63" i="10"/>
  <c r="O62" i="10"/>
  <c r="B68" i="10"/>
  <c r="L67" i="10"/>
  <c r="Q42" i="10"/>
  <c r="S42" i="10"/>
  <c r="B68" i="8"/>
  <c r="S44" i="8"/>
  <c r="Q44" i="8"/>
  <c r="R44" i="8" s="1"/>
  <c r="C43" i="10" l="1"/>
  <c r="G43" i="10" s="1"/>
  <c r="I66" i="8"/>
  <c r="K65" i="8"/>
  <c r="F46" i="8"/>
  <c r="N66" i="8"/>
  <c r="B69" i="8"/>
  <c r="B69" i="10"/>
  <c r="L68" i="10"/>
  <c r="V45" i="8"/>
  <c r="D46" i="8"/>
  <c r="W46" i="8"/>
  <c r="O46" i="8"/>
  <c r="U46" i="8"/>
  <c r="Q45" i="8"/>
  <c r="R45" i="8" s="1"/>
  <c r="S45" i="8"/>
  <c r="Q43" i="10"/>
  <c r="S43" i="10"/>
  <c r="I64" i="10"/>
  <c r="O63" i="10"/>
  <c r="I36" i="7"/>
  <c r="J36" i="7" s="1"/>
  <c r="D36" i="7" s="1"/>
  <c r="E36" i="7" s="1"/>
  <c r="F35" i="7"/>
  <c r="G36" i="7"/>
  <c r="C46" i="8"/>
  <c r="M44" i="10" l="1"/>
  <c r="H44" i="10" s="1"/>
  <c r="J44" i="10"/>
  <c r="K44" i="10" s="1"/>
  <c r="E44" i="10" s="1"/>
  <c r="F44" i="10" s="1"/>
  <c r="B70" i="10"/>
  <c r="V46" i="8"/>
  <c r="C36" i="7"/>
  <c r="I65" i="10"/>
  <c r="O64" i="10"/>
  <c r="P46" i="8"/>
  <c r="G46" i="8"/>
  <c r="L47" i="8"/>
  <c r="M47" i="8" s="1"/>
  <c r="E47" i="8" s="1"/>
  <c r="C47" i="8" s="1"/>
  <c r="B36" i="7"/>
  <c r="H47" i="8"/>
  <c r="B70" i="8"/>
  <c r="I67" i="8"/>
  <c r="K66" i="8"/>
  <c r="N44" i="10" l="1"/>
  <c r="C44" i="10"/>
  <c r="G44" i="10" s="1"/>
  <c r="R44" i="10"/>
  <c r="L69" i="10"/>
  <c r="L48" i="8"/>
  <c r="M48" i="8" s="1"/>
  <c r="E48" i="8" s="1"/>
  <c r="C48" i="8" s="1"/>
  <c r="P47" i="8"/>
  <c r="G47" i="8"/>
  <c r="H48" i="8"/>
  <c r="U47" i="8"/>
  <c r="D47" i="8"/>
  <c r="W47" i="8"/>
  <c r="O47" i="8"/>
  <c r="I68" i="8"/>
  <c r="K67" i="8"/>
  <c r="F36" i="7"/>
  <c r="I37" i="7"/>
  <c r="J37" i="7" s="1"/>
  <c r="D37" i="7" s="1"/>
  <c r="E37" i="7" s="1"/>
  <c r="S46" i="8"/>
  <c r="Q46" i="8"/>
  <c r="R46" i="8" s="1"/>
  <c r="G37" i="7"/>
  <c r="B71" i="8"/>
  <c r="P44" i="10"/>
  <c r="D44" i="10"/>
  <c r="F47" i="8"/>
  <c r="N67" i="8"/>
  <c r="I66" i="10"/>
  <c r="O65" i="10"/>
  <c r="B71" i="10"/>
  <c r="M45" i="10" l="1"/>
  <c r="H45" i="10" s="1"/>
  <c r="D45" i="10" s="1"/>
  <c r="J45" i="10"/>
  <c r="K45" i="10" s="1"/>
  <c r="E45" i="10" s="1"/>
  <c r="F45" i="10" s="1"/>
  <c r="P48" i="8"/>
  <c r="G48" i="8"/>
  <c r="L49" i="8"/>
  <c r="M49" i="8" s="1"/>
  <c r="E49" i="8" s="1"/>
  <c r="C49" i="8" s="1"/>
  <c r="S44" i="10"/>
  <c r="Q44" i="10"/>
  <c r="B72" i="10"/>
  <c r="Q47" i="8"/>
  <c r="R47" i="8" s="1"/>
  <c r="S47" i="8"/>
  <c r="B72" i="8"/>
  <c r="I69" i="8"/>
  <c r="K68" i="8"/>
  <c r="V47" i="8"/>
  <c r="I67" i="10"/>
  <c r="O66" i="10"/>
  <c r="C37" i="7"/>
  <c r="G38" i="7"/>
  <c r="B37" i="7"/>
  <c r="D48" i="8"/>
  <c r="W48" i="8"/>
  <c r="O48" i="8"/>
  <c r="H49" i="8"/>
  <c r="U48" i="8"/>
  <c r="R45" i="10"/>
  <c r="F48" i="8"/>
  <c r="N68" i="8"/>
  <c r="P45" i="10" l="1"/>
  <c r="Q45" i="10" s="1"/>
  <c r="N45" i="10"/>
  <c r="C45" i="10"/>
  <c r="M46" i="10" s="1"/>
  <c r="L70" i="10"/>
  <c r="V48" i="8"/>
  <c r="L50" i="8"/>
  <c r="M50" i="8" s="1"/>
  <c r="E50" i="8" s="1"/>
  <c r="C50" i="8" s="1"/>
  <c r="P49" i="8"/>
  <c r="G49" i="8"/>
  <c r="H50" i="8"/>
  <c r="U49" i="8"/>
  <c r="D49" i="8"/>
  <c r="W49" i="8"/>
  <c r="O49" i="8"/>
  <c r="I38" i="7"/>
  <c r="J38" i="7" s="1"/>
  <c r="D38" i="7" s="1"/>
  <c r="E38" i="7" s="1"/>
  <c r="F37" i="7"/>
  <c r="I68" i="10"/>
  <c r="O67" i="10"/>
  <c r="B73" i="8"/>
  <c r="B73" i="10"/>
  <c r="F49" i="8"/>
  <c r="N69" i="8"/>
  <c r="C38" i="7"/>
  <c r="I70" i="8"/>
  <c r="K69" i="8"/>
  <c r="S48" i="8"/>
  <c r="Q48" i="8"/>
  <c r="R48" i="8" s="1"/>
  <c r="J46" i="10" l="1"/>
  <c r="K46" i="10" s="1"/>
  <c r="E46" i="10" s="1"/>
  <c r="F46" i="10" s="1"/>
  <c r="G45" i="10"/>
  <c r="S45" i="10"/>
  <c r="P50" i="8"/>
  <c r="G50" i="8"/>
  <c r="L51" i="8"/>
  <c r="M51" i="8" s="1"/>
  <c r="E51" i="8" s="1"/>
  <c r="C51" i="8" s="1"/>
  <c r="B74" i="8"/>
  <c r="Q49" i="8"/>
  <c r="R49" i="8" s="1"/>
  <c r="S49" i="8"/>
  <c r="B38" i="7"/>
  <c r="V49" i="8"/>
  <c r="R46" i="10"/>
  <c r="N46" i="10"/>
  <c r="H46" i="10"/>
  <c r="I71" i="8"/>
  <c r="K70" i="8"/>
  <c r="B74" i="10"/>
  <c r="I69" i="10"/>
  <c r="O68" i="10"/>
  <c r="D50" i="8"/>
  <c r="W50" i="8"/>
  <c r="O50" i="8"/>
  <c r="H51" i="8"/>
  <c r="U50" i="8"/>
  <c r="V50" i="8" s="1"/>
  <c r="F50" i="8"/>
  <c r="N70" i="8"/>
  <c r="C46" i="10" l="1"/>
  <c r="G46" i="10" s="1"/>
  <c r="L71" i="10"/>
  <c r="L52" i="8"/>
  <c r="M52" i="8" s="1"/>
  <c r="E52" i="8" s="1"/>
  <c r="C52" i="8" s="1"/>
  <c r="P51" i="8"/>
  <c r="G51" i="8"/>
  <c r="H52" i="8"/>
  <c r="U51" i="8"/>
  <c r="D51" i="8"/>
  <c r="W51" i="8"/>
  <c r="O51" i="8"/>
  <c r="D46" i="10"/>
  <c r="P46" i="10"/>
  <c r="F38" i="7"/>
  <c r="I39" i="7"/>
  <c r="J39" i="7" s="1"/>
  <c r="D39" i="7" s="1"/>
  <c r="E39" i="7" s="1"/>
  <c r="G39" i="7"/>
  <c r="B75" i="10"/>
  <c r="M47" i="10"/>
  <c r="F51" i="8"/>
  <c r="N71" i="8"/>
  <c r="O69" i="10"/>
  <c r="I70" i="10"/>
  <c r="I72" i="8"/>
  <c r="K71" i="8"/>
  <c r="B75" i="8"/>
  <c r="S50" i="8"/>
  <c r="Q50" i="8"/>
  <c r="R50" i="8" s="1"/>
  <c r="J47" i="10" l="1"/>
  <c r="K47" i="10" s="1"/>
  <c r="E47" i="10" s="1"/>
  <c r="C47" i="10" s="1"/>
  <c r="P52" i="8"/>
  <c r="G52" i="8"/>
  <c r="L53" i="8"/>
  <c r="M53" i="8" s="1"/>
  <c r="E53" i="8" s="1"/>
  <c r="C53" i="8" s="1"/>
  <c r="C39" i="7"/>
  <c r="S46" i="10"/>
  <c r="Q46" i="10"/>
  <c r="I73" i="8"/>
  <c r="K72" i="8"/>
  <c r="R47" i="10"/>
  <c r="N47" i="10"/>
  <c r="Q51" i="8"/>
  <c r="R51" i="8" s="1"/>
  <c r="S51" i="8"/>
  <c r="I71" i="10"/>
  <c r="O70" i="10"/>
  <c r="B39" i="7"/>
  <c r="H47" i="10"/>
  <c r="V51" i="8"/>
  <c r="B76" i="8"/>
  <c r="B76" i="10"/>
  <c r="D52" i="8"/>
  <c r="W52" i="8"/>
  <c r="O52" i="8"/>
  <c r="H53" i="8"/>
  <c r="U52" i="8"/>
  <c r="F52" i="8"/>
  <c r="N72" i="8"/>
  <c r="L72" i="10" l="1"/>
  <c r="F47" i="10"/>
  <c r="V52" i="8"/>
  <c r="L54" i="8"/>
  <c r="M54" i="8" s="1"/>
  <c r="E54" i="8" s="1"/>
  <c r="C54" i="8" s="1"/>
  <c r="P53" i="8"/>
  <c r="G53" i="8"/>
  <c r="J48" i="10"/>
  <c r="K48" i="10" s="1"/>
  <c r="E48" i="10" s="1"/>
  <c r="M48" i="10"/>
  <c r="H48" i="10" s="1"/>
  <c r="G47" i="10"/>
  <c r="P47" i="10"/>
  <c r="D47" i="10"/>
  <c r="B77" i="8"/>
  <c r="I40" i="7"/>
  <c r="J40" i="7" s="1"/>
  <c r="D40" i="7" s="1"/>
  <c r="E40" i="7" s="1"/>
  <c r="F39" i="7"/>
  <c r="I72" i="10"/>
  <c r="O71" i="10"/>
  <c r="F53" i="8"/>
  <c r="N73" i="8"/>
  <c r="H54" i="8"/>
  <c r="U53" i="8"/>
  <c r="D53" i="8"/>
  <c r="W53" i="8"/>
  <c r="O53" i="8"/>
  <c r="G40" i="7"/>
  <c r="B77" i="10"/>
  <c r="I74" i="8"/>
  <c r="K73" i="8"/>
  <c r="S52" i="8"/>
  <c r="Q52" i="8"/>
  <c r="R52" i="8" s="1"/>
  <c r="P54" i="8" l="1"/>
  <c r="G54" i="8"/>
  <c r="L55" i="8"/>
  <c r="M55" i="8" s="1"/>
  <c r="E55" i="8" s="1"/>
  <c r="C55" i="8" s="1"/>
  <c r="B78" i="8"/>
  <c r="B78" i="10"/>
  <c r="P48" i="10"/>
  <c r="D48" i="10"/>
  <c r="R48" i="10"/>
  <c r="N48" i="10"/>
  <c r="Q53" i="8"/>
  <c r="R53" i="8" s="1"/>
  <c r="S53" i="8"/>
  <c r="C40" i="7"/>
  <c r="V53" i="8"/>
  <c r="B40" i="7"/>
  <c r="G41" i="7" s="1"/>
  <c r="F48" i="10"/>
  <c r="L73" i="10"/>
  <c r="I75" i="8"/>
  <c r="K74" i="8"/>
  <c r="D54" i="8"/>
  <c r="W54" i="8"/>
  <c r="O54" i="8"/>
  <c r="H55" i="8"/>
  <c r="U54" i="8"/>
  <c r="I73" i="10"/>
  <c r="O72" i="10"/>
  <c r="Q47" i="10"/>
  <c r="S47" i="10"/>
  <c r="C48" i="10"/>
  <c r="F54" i="8"/>
  <c r="N74" i="8"/>
  <c r="V54" i="8" l="1"/>
  <c r="L56" i="8"/>
  <c r="M56" i="8" s="1"/>
  <c r="E56" i="8" s="1"/>
  <c r="C56" i="8" s="1"/>
  <c r="P55" i="8"/>
  <c r="G55" i="8"/>
  <c r="C41" i="7"/>
  <c r="O73" i="10"/>
  <c r="I74" i="10"/>
  <c r="H56" i="8"/>
  <c r="U55" i="8"/>
  <c r="D55" i="8"/>
  <c r="W55" i="8"/>
  <c r="O55" i="8"/>
  <c r="F40" i="7"/>
  <c r="I41" i="7"/>
  <c r="J41" i="7" s="1"/>
  <c r="D41" i="7" s="1"/>
  <c r="E41" i="7" s="1"/>
  <c r="B79" i="10"/>
  <c r="F55" i="8"/>
  <c r="N75" i="8"/>
  <c r="I76" i="8"/>
  <c r="K75" i="8"/>
  <c r="S48" i="10"/>
  <c r="Q48" i="10"/>
  <c r="B79" i="8"/>
  <c r="M49" i="10"/>
  <c r="G48" i="10"/>
  <c r="J49" i="10"/>
  <c r="K49" i="10" s="1"/>
  <c r="E49" i="10" s="1"/>
  <c r="S54" i="8"/>
  <c r="Q54" i="8"/>
  <c r="R54" i="8" s="1"/>
  <c r="P56" i="8" l="1"/>
  <c r="G56" i="8"/>
  <c r="L57" i="8"/>
  <c r="M57" i="8" s="1"/>
  <c r="E57" i="8" s="1"/>
  <c r="C57" i="8" s="1"/>
  <c r="I75" i="10"/>
  <c r="O74" i="10"/>
  <c r="N49" i="10"/>
  <c r="R49" i="10"/>
  <c r="H49" i="10"/>
  <c r="B41" i="7"/>
  <c r="Q55" i="8"/>
  <c r="R55" i="8" s="1"/>
  <c r="S55" i="8"/>
  <c r="F49" i="10"/>
  <c r="L74" i="10"/>
  <c r="V55" i="8"/>
  <c r="C49" i="10"/>
  <c r="B80" i="8"/>
  <c r="I77" i="8"/>
  <c r="K76" i="8"/>
  <c r="B80" i="10"/>
  <c r="D56" i="8"/>
  <c r="W56" i="8"/>
  <c r="O56" i="8"/>
  <c r="H57" i="8"/>
  <c r="U56" i="8"/>
  <c r="F56" i="8"/>
  <c r="N76" i="8"/>
  <c r="V56" i="8" l="1"/>
  <c r="L58" i="8"/>
  <c r="M58" i="8" s="1"/>
  <c r="E58" i="8" s="1"/>
  <c r="C58" i="8" s="1"/>
  <c r="P57" i="8"/>
  <c r="G57" i="8"/>
  <c r="H58" i="8"/>
  <c r="U57" i="8"/>
  <c r="D57" i="8"/>
  <c r="W57" i="8"/>
  <c r="O57" i="8"/>
  <c r="J50" i="10"/>
  <c r="K50" i="10" s="1"/>
  <c r="E50" i="10" s="1"/>
  <c r="M50" i="10"/>
  <c r="H50" i="10" s="1"/>
  <c r="G49" i="10"/>
  <c r="I78" i="8"/>
  <c r="K77" i="8"/>
  <c r="F57" i="8"/>
  <c r="N77" i="8"/>
  <c r="B81" i="8"/>
  <c r="I42" i="7"/>
  <c r="J42" i="7" s="1"/>
  <c r="D42" i="7" s="1"/>
  <c r="E42" i="7" s="1"/>
  <c r="F41" i="7"/>
  <c r="G42" i="7"/>
  <c r="B81" i="10"/>
  <c r="P49" i="10"/>
  <c r="D49" i="10"/>
  <c r="O75" i="10"/>
  <c r="I76" i="10"/>
  <c r="S56" i="8"/>
  <c r="Q56" i="8"/>
  <c r="R56" i="8" s="1"/>
  <c r="P58" i="8" l="1"/>
  <c r="G58" i="8"/>
  <c r="L59" i="8"/>
  <c r="M59" i="8" s="1"/>
  <c r="E59" i="8" s="1"/>
  <c r="C59" i="8" s="1"/>
  <c r="D50" i="10"/>
  <c r="P50" i="10"/>
  <c r="B82" i="10"/>
  <c r="B42" i="7"/>
  <c r="R50" i="10"/>
  <c r="N50" i="10"/>
  <c r="G43" i="7"/>
  <c r="C42" i="7"/>
  <c r="F50" i="10"/>
  <c r="L75" i="10"/>
  <c r="Q57" i="8"/>
  <c r="R57" i="8" s="1"/>
  <c r="S57" i="8"/>
  <c r="I77" i="10"/>
  <c r="O76" i="10"/>
  <c r="Q49" i="10"/>
  <c r="S49" i="10"/>
  <c r="B82" i="8"/>
  <c r="I79" i="8"/>
  <c r="K78" i="8"/>
  <c r="C50" i="10"/>
  <c r="V57" i="8"/>
  <c r="D58" i="8"/>
  <c r="W58" i="8"/>
  <c r="O58" i="8"/>
  <c r="H59" i="8"/>
  <c r="U58" i="8"/>
  <c r="F58" i="8"/>
  <c r="N78" i="8"/>
  <c r="V58" i="8" l="1"/>
  <c r="L60" i="8"/>
  <c r="M60" i="8" s="1"/>
  <c r="E60" i="8" s="1"/>
  <c r="C60" i="8" s="1"/>
  <c r="P59" i="8"/>
  <c r="G59" i="8"/>
  <c r="H60" i="8"/>
  <c r="U59" i="8"/>
  <c r="D59" i="8"/>
  <c r="W59" i="8"/>
  <c r="O59" i="8"/>
  <c r="B83" i="8"/>
  <c r="B83" i="10"/>
  <c r="I78" i="10"/>
  <c r="O77" i="10"/>
  <c r="S50" i="10"/>
  <c r="Q50" i="10"/>
  <c r="F59" i="8"/>
  <c r="N79" i="8"/>
  <c r="M51" i="10"/>
  <c r="G50" i="10"/>
  <c r="J51" i="10"/>
  <c r="K51" i="10" s="1"/>
  <c r="E51" i="10" s="1"/>
  <c r="F42" i="7"/>
  <c r="B43" i="7"/>
  <c r="I43" i="7"/>
  <c r="J43" i="7" s="1"/>
  <c r="D43" i="7" s="1"/>
  <c r="E43" i="7" s="1"/>
  <c r="I80" i="8"/>
  <c r="K79" i="8"/>
  <c r="C43" i="7"/>
  <c r="G44" i="7"/>
  <c r="S58" i="8"/>
  <c r="Q58" i="8"/>
  <c r="R58" i="8" s="1"/>
  <c r="P60" i="8" l="1"/>
  <c r="G60" i="8"/>
  <c r="L61" i="8"/>
  <c r="M61" i="8" s="1"/>
  <c r="E61" i="8" s="1"/>
  <c r="C61" i="8" s="1"/>
  <c r="I44" i="7"/>
  <c r="J44" i="7" s="1"/>
  <c r="D44" i="7" s="1"/>
  <c r="E44" i="7" s="1"/>
  <c r="F43" i="7"/>
  <c r="R51" i="10"/>
  <c r="N51" i="10"/>
  <c r="H51" i="10"/>
  <c r="B84" i="10"/>
  <c r="F51" i="10"/>
  <c r="L76" i="10"/>
  <c r="Q59" i="8"/>
  <c r="R59" i="8" s="1"/>
  <c r="S59" i="8"/>
  <c r="C44" i="7"/>
  <c r="C51" i="10"/>
  <c r="I79" i="10"/>
  <c r="O78" i="10"/>
  <c r="B84" i="8"/>
  <c r="V59" i="8"/>
  <c r="I81" i="8"/>
  <c r="K80" i="8"/>
  <c r="D60" i="8"/>
  <c r="W60" i="8"/>
  <c r="O60" i="8"/>
  <c r="H61" i="8"/>
  <c r="U60" i="8"/>
  <c r="F60" i="8"/>
  <c r="N80" i="8"/>
  <c r="V60" i="8" l="1"/>
  <c r="L62" i="8"/>
  <c r="M62" i="8" s="1"/>
  <c r="E62" i="8" s="1"/>
  <c r="C62" i="8" s="1"/>
  <c r="P61" i="8"/>
  <c r="G61" i="8"/>
  <c r="H62" i="8"/>
  <c r="U61" i="8"/>
  <c r="D61" i="8"/>
  <c r="W61" i="8"/>
  <c r="O61" i="8"/>
  <c r="O79" i="10"/>
  <c r="I80" i="10"/>
  <c r="B85" i="8"/>
  <c r="J52" i="10"/>
  <c r="K52" i="10" s="1"/>
  <c r="E52" i="10" s="1"/>
  <c r="M52" i="10"/>
  <c r="H52" i="10" s="1"/>
  <c r="G51" i="10"/>
  <c r="B85" i="10"/>
  <c r="F61" i="8"/>
  <c r="N81" i="8"/>
  <c r="P51" i="10"/>
  <c r="D51" i="10"/>
  <c r="I82" i="8"/>
  <c r="K81" i="8"/>
  <c r="B44" i="7"/>
  <c r="S60" i="8"/>
  <c r="Q60" i="8"/>
  <c r="R60" i="8" s="1"/>
  <c r="P62" i="8" l="1"/>
  <c r="G62" i="8"/>
  <c r="L63" i="8"/>
  <c r="M63" i="8" s="1"/>
  <c r="E63" i="8" s="1"/>
  <c r="C63" i="8" s="1"/>
  <c r="D52" i="10"/>
  <c r="P52" i="10"/>
  <c r="R52" i="10"/>
  <c r="N52" i="10"/>
  <c r="B86" i="8"/>
  <c r="I83" i="8"/>
  <c r="K82" i="8"/>
  <c r="F52" i="10"/>
  <c r="L77" i="10"/>
  <c r="I81" i="10"/>
  <c r="O80" i="10"/>
  <c r="Q61" i="8"/>
  <c r="R61" i="8" s="1"/>
  <c r="S61" i="8"/>
  <c r="F44" i="7"/>
  <c r="I45" i="7"/>
  <c r="J45" i="7" s="1"/>
  <c r="D45" i="7" s="1"/>
  <c r="E45" i="7" s="1"/>
  <c r="G45" i="7"/>
  <c r="Q51" i="10"/>
  <c r="S51" i="10"/>
  <c r="B86" i="10"/>
  <c r="C52" i="10"/>
  <c r="V61" i="8"/>
  <c r="D62" i="8"/>
  <c r="W62" i="8"/>
  <c r="O62" i="8"/>
  <c r="H63" i="8"/>
  <c r="U62" i="8"/>
  <c r="F62" i="8"/>
  <c r="N82" i="8"/>
  <c r="V62" i="8" l="1"/>
  <c r="L64" i="8"/>
  <c r="M64" i="8" s="1"/>
  <c r="E64" i="8" s="1"/>
  <c r="C64" i="8" s="1"/>
  <c r="P63" i="8"/>
  <c r="G63" i="8"/>
  <c r="M53" i="10"/>
  <c r="G52" i="10"/>
  <c r="J53" i="10"/>
  <c r="K53" i="10" s="1"/>
  <c r="E53" i="10" s="1"/>
  <c r="O81" i="10"/>
  <c r="I82" i="10"/>
  <c r="I84" i="8"/>
  <c r="K83" i="8"/>
  <c r="C45" i="7"/>
  <c r="B87" i="8"/>
  <c r="S52" i="10"/>
  <c r="Q52" i="10"/>
  <c r="F63" i="8"/>
  <c r="N83" i="8"/>
  <c r="B87" i="10"/>
  <c r="H64" i="8"/>
  <c r="U63" i="8"/>
  <c r="D63" i="8"/>
  <c r="W63" i="8"/>
  <c r="O63" i="8"/>
  <c r="B45" i="7"/>
  <c r="S62" i="8"/>
  <c r="Q62" i="8"/>
  <c r="R62" i="8" s="1"/>
  <c r="V63" i="8" l="1"/>
  <c r="P64" i="8"/>
  <c r="G64" i="8"/>
  <c r="L65" i="8"/>
  <c r="M65" i="8" s="1"/>
  <c r="E65" i="8" s="1"/>
  <c r="C65" i="8" s="1"/>
  <c r="F53" i="10"/>
  <c r="L78" i="10"/>
  <c r="D64" i="8"/>
  <c r="W64" i="8"/>
  <c r="O64" i="8"/>
  <c r="H65" i="8"/>
  <c r="U64" i="8"/>
  <c r="B88" i="8"/>
  <c r="I85" i="8"/>
  <c r="K84" i="8"/>
  <c r="C53" i="10"/>
  <c r="Q63" i="8"/>
  <c r="R63" i="8" s="1"/>
  <c r="S63" i="8"/>
  <c r="B46" i="7"/>
  <c r="I46" i="7"/>
  <c r="J46" i="7" s="1"/>
  <c r="D46" i="7" s="1"/>
  <c r="E46" i="7" s="1"/>
  <c r="F45" i="7"/>
  <c r="G46" i="7"/>
  <c r="I83" i="10"/>
  <c r="O82" i="10"/>
  <c r="B88" i="10"/>
  <c r="R53" i="10"/>
  <c r="N53" i="10"/>
  <c r="H53" i="10"/>
  <c r="F64" i="8"/>
  <c r="N84" i="8"/>
  <c r="L66" i="8" l="1"/>
  <c r="M66" i="8" s="1"/>
  <c r="E66" i="8" s="1"/>
  <c r="C66" i="8" s="1"/>
  <c r="P65" i="8"/>
  <c r="G65" i="8"/>
  <c r="J54" i="10"/>
  <c r="K54" i="10" s="1"/>
  <c r="E54" i="10" s="1"/>
  <c r="C54" i="10" s="1"/>
  <c r="M54" i="10"/>
  <c r="H54" i="10" s="1"/>
  <c r="G53" i="10"/>
  <c r="O83" i="10"/>
  <c r="I84" i="10"/>
  <c r="F46" i="7"/>
  <c r="I47" i="7"/>
  <c r="J47" i="7" s="1"/>
  <c r="D47" i="7" s="1"/>
  <c r="E47" i="7" s="1"/>
  <c r="V64" i="8"/>
  <c r="F65" i="8"/>
  <c r="N85" i="8"/>
  <c r="G47" i="7"/>
  <c r="C46" i="7"/>
  <c r="I86" i="8"/>
  <c r="K85" i="8"/>
  <c r="H66" i="8"/>
  <c r="U65" i="8"/>
  <c r="D65" i="8"/>
  <c r="W65" i="8"/>
  <c r="O65" i="8"/>
  <c r="P53" i="10"/>
  <c r="D53" i="10"/>
  <c r="B89" i="10"/>
  <c r="B89" i="8"/>
  <c r="S64" i="8"/>
  <c r="Q64" i="8"/>
  <c r="R64" i="8" s="1"/>
  <c r="P66" i="8" l="1"/>
  <c r="G66" i="8"/>
  <c r="L67" i="8"/>
  <c r="M67" i="8" s="1"/>
  <c r="E67" i="8" s="1"/>
  <c r="C67" i="8" s="1"/>
  <c r="D66" i="8"/>
  <c r="W66" i="8"/>
  <c r="O66" i="8"/>
  <c r="H67" i="8"/>
  <c r="U66" i="8"/>
  <c r="B47" i="7"/>
  <c r="G48" i="7" s="1"/>
  <c r="C47" i="7"/>
  <c r="D54" i="10"/>
  <c r="P54" i="10"/>
  <c r="B90" i="8"/>
  <c r="I87" i="8"/>
  <c r="K86" i="8"/>
  <c r="R54" i="10"/>
  <c r="N54" i="10"/>
  <c r="Q65" i="8"/>
  <c r="R65" i="8" s="1"/>
  <c r="S65" i="8"/>
  <c r="Q53" i="10"/>
  <c r="S53" i="10"/>
  <c r="V65" i="8"/>
  <c r="I85" i="10"/>
  <c r="O84" i="10"/>
  <c r="F54" i="10"/>
  <c r="L79" i="10"/>
  <c r="B90" i="10"/>
  <c r="M55" i="10"/>
  <c r="G54" i="10"/>
  <c r="J55" i="10"/>
  <c r="K55" i="10" s="1"/>
  <c r="E55" i="10" s="1"/>
  <c r="F66" i="8"/>
  <c r="N86" i="8"/>
  <c r="L68" i="8" l="1"/>
  <c r="M68" i="8" s="1"/>
  <c r="E68" i="8" s="1"/>
  <c r="C68" i="8" s="1"/>
  <c r="P67" i="8"/>
  <c r="G67" i="8"/>
  <c r="C48" i="7"/>
  <c r="F55" i="10"/>
  <c r="L80" i="10"/>
  <c r="H68" i="8"/>
  <c r="U67" i="8"/>
  <c r="D67" i="8"/>
  <c r="W67" i="8"/>
  <c r="O67" i="8"/>
  <c r="C55" i="10"/>
  <c r="I86" i="10"/>
  <c r="O85" i="10"/>
  <c r="S54" i="10"/>
  <c r="Q54" i="10"/>
  <c r="F67" i="8"/>
  <c r="N87" i="8"/>
  <c r="B91" i="10"/>
  <c r="I88" i="8"/>
  <c r="K87" i="8"/>
  <c r="I48" i="7"/>
  <c r="J48" i="7" s="1"/>
  <c r="D48" i="7" s="1"/>
  <c r="E48" i="7" s="1"/>
  <c r="F47" i="7"/>
  <c r="R55" i="10"/>
  <c r="N55" i="10"/>
  <c r="B91" i="8"/>
  <c r="H55" i="10"/>
  <c r="V66" i="8"/>
  <c r="S66" i="8"/>
  <c r="Q66" i="8"/>
  <c r="R66" i="8" s="1"/>
  <c r="P68" i="8" l="1"/>
  <c r="G68" i="8"/>
  <c r="L69" i="8"/>
  <c r="M69" i="8" s="1"/>
  <c r="E69" i="8" s="1"/>
  <c r="C69" i="8" s="1"/>
  <c r="P55" i="10"/>
  <c r="D55" i="10"/>
  <c r="B92" i="8"/>
  <c r="I89" i="8"/>
  <c r="K88" i="8"/>
  <c r="I87" i="10"/>
  <c r="O86" i="10"/>
  <c r="Q67" i="8"/>
  <c r="R67" i="8" s="1"/>
  <c r="S67" i="8"/>
  <c r="J56" i="10"/>
  <c r="K56" i="10" s="1"/>
  <c r="E56" i="10" s="1"/>
  <c r="C56" i="10" s="1"/>
  <c r="M56" i="10"/>
  <c r="H56" i="10" s="1"/>
  <c r="G55" i="10"/>
  <c r="V67" i="8"/>
  <c r="B48" i="7"/>
  <c r="B92" i="10"/>
  <c r="D68" i="8"/>
  <c r="W68" i="8"/>
  <c r="O68" i="8"/>
  <c r="H69" i="8"/>
  <c r="U68" i="8"/>
  <c r="V68" i="8" s="1"/>
  <c r="F68" i="8"/>
  <c r="N88" i="8"/>
  <c r="L70" i="8" l="1"/>
  <c r="M70" i="8" s="1"/>
  <c r="E70" i="8" s="1"/>
  <c r="C70" i="8" s="1"/>
  <c r="P69" i="8"/>
  <c r="G69" i="8"/>
  <c r="P56" i="10"/>
  <c r="D56" i="10"/>
  <c r="M57" i="10"/>
  <c r="H57" i="10" s="1"/>
  <c r="G56" i="10"/>
  <c r="J57" i="10"/>
  <c r="K57" i="10" s="1"/>
  <c r="E57" i="10" s="1"/>
  <c r="H70" i="8"/>
  <c r="U69" i="8"/>
  <c r="D69" i="8"/>
  <c r="W69" i="8"/>
  <c r="O69" i="8"/>
  <c r="F48" i="7"/>
  <c r="I49" i="7"/>
  <c r="J49" i="7" s="1"/>
  <c r="D49" i="7" s="1"/>
  <c r="E49" i="7" s="1"/>
  <c r="G49" i="7"/>
  <c r="O87" i="10"/>
  <c r="I88" i="10"/>
  <c r="B93" i="8"/>
  <c r="F69" i="8"/>
  <c r="N89" i="8"/>
  <c r="B93" i="10"/>
  <c r="R56" i="10"/>
  <c r="N56" i="10"/>
  <c r="I90" i="8"/>
  <c r="K89" i="8"/>
  <c r="F56" i="10"/>
  <c r="L81" i="10"/>
  <c r="Q55" i="10"/>
  <c r="S55" i="10"/>
  <c r="S68" i="8"/>
  <c r="Q68" i="8"/>
  <c r="R68" i="8" s="1"/>
  <c r="P70" i="8" l="1"/>
  <c r="G70" i="8"/>
  <c r="L71" i="8"/>
  <c r="M71" i="8" s="1"/>
  <c r="E71" i="8" s="1"/>
  <c r="C71" i="8" s="1"/>
  <c r="B94" i="8"/>
  <c r="C49" i="7"/>
  <c r="D70" i="8"/>
  <c r="W70" i="8"/>
  <c r="O70" i="8"/>
  <c r="H71" i="8"/>
  <c r="U70" i="8"/>
  <c r="N57" i="10"/>
  <c r="R57" i="10"/>
  <c r="I91" i="8"/>
  <c r="K90" i="8"/>
  <c r="F57" i="10"/>
  <c r="L82" i="10"/>
  <c r="Q69" i="8"/>
  <c r="R69" i="8" s="1"/>
  <c r="S69" i="8"/>
  <c r="I89" i="10"/>
  <c r="O88" i="10"/>
  <c r="B49" i="7"/>
  <c r="C57" i="10"/>
  <c r="S56" i="10"/>
  <c r="Q56" i="10"/>
  <c r="B94" i="10"/>
  <c r="V69" i="8"/>
  <c r="P57" i="10"/>
  <c r="D57" i="10"/>
  <c r="F70" i="8"/>
  <c r="N90" i="8"/>
  <c r="L72" i="8" l="1"/>
  <c r="M72" i="8" s="1"/>
  <c r="E72" i="8" s="1"/>
  <c r="C72" i="8" s="1"/>
  <c r="P71" i="8"/>
  <c r="G71" i="8"/>
  <c r="Q57" i="10"/>
  <c r="S57" i="10"/>
  <c r="B95" i="10"/>
  <c r="I50" i="7"/>
  <c r="J50" i="7" s="1"/>
  <c r="D50" i="7" s="1"/>
  <c r="E50" i="7" s="1"/>
  <c r="F49" i="7"/>
  <c r="I92" i="8"/>
  <c r="K91" i="8"/>
  <c r="H72" i="8"/>
  <c r="U71" i="8"/>
  <c r="D71" i="8"/>
  <c r="W71" i="8"/>
  <c r="O71" i="8"/>
  <c r="G50" i="7"/>
  <c r="F71" i="8"/>
  <c r="N91" i="8"/>
  <c r="O89" i="10"/>
  <c r="I90" i="10"/>
  <c r="J58" i="10"/>
  <c r="K58" i="10" s="1"/>
  <c r="E58" i="10" s="1"/>
  <c r="M58" i="10"/>
  <c r="G57" i="10"/>
  <c r="V70" i="8"/>
  <c r="B95" i="8"/>
  <c r="S70" i="8"/>
  <c r="Q70" i="8"/>
  <c r="R70" i="8" s="1"/>
  <c r="P72" i="8" l="1"/>
  <c r="G72" i="8"/>
  <c r="L73" i="8"/>
  <c r="M73" i="8" s="1"/>
  <c r="E73" i="8" s="1"/>
  <c r="C73" i="8" s="1"/>
  <c r="F58" i="10"/>
  <c r="L83" i="10"/>
  <c r="C58" i="10"/>
  <c r="I93" i="8"/>
  <c r="K92" i="8"/>
  <c r="R58" i="10"/>
  <c r="N58" i="10"/>
  <c r="H58" i="10"/>
  <c r="I91" i="10"/>
  <c r="O90" i="10"/>
  <c r="G51" i="7"/>
  <c r="C50" i="7"/>
  <c r="V71" i="8"/>
  <c r="B96" i="10"/>
  <c r="Q71" i="8"/>
  <c r="R71" i="8" s="1"/>
  <c r="S71" i="8"/>
  <c r="B96" i="8"/>
  <c r="D72" i="8"/>
  <c r="W72" i="8"/>
  <c r="O72" i="8"/>
  <c r="H73" i="8"/>
  <c r="U72" i="8"/>
  <c r="B50" i="7"/>
  <c r="F72" i="8"/>
  <c r="N92" i="8"/>
  <c r="V72" i="8" l="1"/>
  <c r="L74" i="8"/>
  <c r="M74" i="8" s="1"/>
  <c r="E74" i="8" s="1"/>
  <c r="C74" i="8" s="1"/>
  <c r="P73" i="8"/>
  <c r="G73" i="8"/>
  <c r="H74" i="8"/>
  <c r="U73" i="8"/>
  <c r="D73" i="8"/>
  <c r="W73" i="8"/>
  <c r="O73" i="8"/>
  <c r="D58" i="10"/>
  <c r="P58" i="10"/>
  <c r="I94" i="8"/>
  <c r="K93" i="8"/>
  <c r="C51" i="7"/>
  <c r="M59" i="10"/>
  <c r="H59" i="10" s="1"/>
  <c r="G58" i="10"/>
  <c r="J59" i="10"/>
  <c r="K59" i="10" s="1"/>
  <c r="E59" i="10" s="1"/>
  <c r="F73" i="8"/>
  <c r="N93" i="8"/>
  <c r="B97" i="8"/>
  <c r="B97" i="10"/>
  <c r="F50" i="7"/>
  <c r="I51" i="7"/>
  <c r="J51" i="7" s="1"/>
  <c r="D51" i="7" s="1"/>
  <c r="E51" i="7" s="1"/>
  <c r="O91" i="10"/>
  <c r="I92" i="10"/>
  <c r="S72" i="8"/>
  <c r="Q72" i="8"/>
  <c r="R72" i="8" s="1"/>
  <c r="P59" i="10" l="1"/>
  <c r="D59" i="10"/>
  <c r="P74" i="8"/>
  <c r="G74" i="8"/>
  <c r="L75" i="8"/>
  <c r="M75" i="8" s="1"/>
  <c r="E75" i="8" s="1"/>
  <c r="C75" i="8" s="1"/>
  <c r="B98" i="8"/>
  <c r="F59" i="10"/>
  <c r="L84" i="10"/>
  <c r="S58" i="10"/>
  <c r="Q58" i="10"/>
  <c r="B51" i="7"/>
  <c r="I93" i="10"/>
  <c r="O92" i="10"/>
  <c r="C59" i="10"/>
  <c r="Q73" i="8"/>
  <c r="R73" i="8" s="1"/>
  <c r="S73" i="8"/>
  <c r="V73" i="8"/>
  <c r="B98" i="10"/>
  <c r="R59" i="10"/>
  <c r="N59" i="10"/>
  <c r="I95" i="8"/>
  <c r="K94" i="8"/>
  <c r="D74" i="8"/>
  <c r="W74" i="8"/>
  <c r="O74" i="8"/>
  <c r="H75" i="8"/>
  <c r="U74" i="8"/>
  <c r="V74" i="8" s="1"/>
  <c r="F74" i="8"/>
  <c r="N94" i="8"/>
  <c r="L76" i="8" l="1"/>
  <c r="M76" i="8" s="1"/>
  <c r="E76" i="8" s="1"/>
  <c r="C76" i="8" s="1"/>
  <c r="P75" i="8"/>
  <c r="G75" i="8"/>
  <c r="B99" i="8"/>
  <c r="S74" i="8"/>
  <c r="Q74" i="8"/>
  <c r="R74" i="8" s="1"/>
  <c r="I94" i="10"/>
  <c r="O93" i="10"/>
  <c r="I52" i="7"/>
  <c r="J52" i="7" s="1"/>
  <c r="D52" i="7" s="1"/>
  <c r="E52" i="7" s="1"/>
  <c r="F51" i="7"/>
  <c r="G52" i="7"/>
  <c r="F75" i="8"/>
  <c r="N95" i="8"/>
  <c r="H76" i="8"/>
  <c r="U75" i="8"/>
  <c r="D75" i="8"/>
  <c r="W75" i="8"/>
  <c r="O75" i="8"/>
  <c r="I96" i="8"/>
  <c r="K95" i="8"/>
  <c r="B99" i="10"/>
  <c r="J60" i="10"/>
  <c r="K60" i="10" s="1"/>
  <c r="E60" i="10" s="1"/>
  <c r="M60" i="10"/>
  <c r="G59" i="10"/>
  <c r="Q59" i="10"/>
  <c r="S59" i="10"/>
  <c r="V75" i="8" l="1"/>
  <c r="P76" i="8"/>
  <c r="G76" i="8"/>
  <c r="L77" i="8"/>
  <c r="M77" i="8" s="1"/>
  <c r="E77" i="8" s="1"/>
  <c r="C77" i="8" s="1"/>
  <c r="R60" i="10"/>
  <c r="N60" i="10"/>
  <c r="H60" i="10"/>
  <c r="B100" i="10"/>
  <c r="F60" i="10"/>
  <c r="L85" i="10"/>
  <c r="B52" i="7"/>
  <c r="Q75" i="8"/>
  <c r="R75" i="8" s="1"/>
  <c r="S75" i="8"/>
  <c r="C60" i="10"/>
  <c r="I97" i="8"/>
  <c r="K96" i="8"/>
  <c r="G53" i="7"/>
  <c r="C52" i="7"/>
  <c r="B100" i="8"/>
  <c r="D76" i="8"/>
  <c r="W76" i="8"/>
  <c r="O76" i="8"/>
  <c r="H77" i="8"/>
  <c r="U76" i="8"/>
  <c r="V76" i="8" s="1"/>
  <c r="I95" i="10"/>
  <c r="O94" i="10"/>
  <c r="F76" i="8"/>
  <c r="N96" i="8"/>
  <c r="L78" i="8" l="1"/>
  <c r="M78" i="8" s="1"/>
  <c r="E78" i="8" s="1"/>
  <c r="C78" i="8" s="1"/>
  <c r="P77" i="8"/>
  <c r="G77" i="8"/>
  <c r="M61" i="10"/>
  <c r="H61" i="10" s="1"/>
  <c r="G60" i="10"/>
  <c r="J61" i="10"/>
  <c r="K61" i="10" s="1"/>
  <c r="E61" i="10" s="1"/>
  <c r="H78" i="8"/>
  <c r="U77" i="8"/>
  <c r="D77" i="8"/>
  <c r="W77" i="8"/>
  <c r="O77" i="8"/>
  <c r="B101" i="8"/>
  <c r="I98" i="8"/>
  <c r="K97" i="8"/>
  <c r="F52" i="7"/>
  <c r="I53" i="7"/>
  <c r="J53" i="7" s="1"/>
  <c r="D53" i="7" s="1"/>
  <c r="E53" i="7" s="1"/>
  <c r="B101" i="10"/>
  <c r="D60" i="10"/>
  <c r="P60" i="10"/>
  <c r="F77" i="8"/>
  <c r="N97" i="8"/>
  <c r="C53" i="7"/>
  <c r="O95" i="10"/>
  <c r="I96" i="10"/>
  <c r="S76" i="8"/>
  <c r="Q76" i="8"/>
  <c r="R76" i="8" s="1"/>
  <c r="P61" i="10" l="1"/>
  <c r="D61" i="10"/>
  <c r="P78" i="8"/>
  <c r="G78" i="8"/>
  <c r="L79" i="8"/>
  <c r="M79" i="8" s="1"/>
  <c r="E79" i="8" s="1"/>
  <c r="C79" i="8" s="1"/>
  <c r="I99" i="8"/>
  <c r="K98" i="8"/>
  <c r="F61" i="10"/>
  <c r="L86" i="10"/>
  <c r="I97" i="10"/>
  <c r="O96" i="10"/>
  <c r="B53" i="7"/>
  <c r="B102" i="8"/>
  <c r="C61" i="10"/>
  <c r="Q77" i="8"/>
  <c r="R77" i="8" s="1"/>
  <c r="S77" i="8"/>
  <c r="V77" i="8"/>
  <c r="S60" i="10"/>
  <c r="Q60" i="10"/>
  <c r="B102" i="10"/>
  <c r="D78" i="8"/>
  <c r="W78" i="8"/>
  <c r="O78" i="8"/>
  <c r="H79" i="8"/>
  <c r="U78" i="8"/>
  <c r="R61" i="10"/>
  <c r="N61" i="10"/>
  <c r="F78" i="8"/>
  <c r="N98" i="8"/>
  <c r="L80" i="8" l="1"/>
  <c r="M80" i="8" s="1"/>
  <c r="E80" i="8" s="1"/>
  <c r="C80" i="8" s="1"/>
  <c r="P79" i="8"/>
  <c r="G79" i="8"/>
  <c r="H80" i="8"/>
  <c r="U79" i="8"/>
  <c r="D79" i="8"/>
  <c r="W79" i="8"/>
  <c r="O79" i="8"/>
  <c r="O97" i="10"/>
  <c r="I98" i="10"/>
  <c r="I100" i="8"/>
  <c r="K99" i="8"/>
  <c r="S78" i="8"/>
  <c r="Q78" i="8"/>
  <c r="R78" i="8" s="1"/>
  <c r="B103" i="10"/>
  <c r="B103" i="8"/>
  <c r="I54" i="7"/>
  <c r="J54" i="7" s="1"/>
  <c r="D54" i="7" s="1"/>
  <c r="E54" i="7" s="1"/>
  <c r="F53" i="7"/>
  <c r="G54" i="7"/>
  <c r="F79" i="8"/>
  <c r="N99" i="8"/>
  <c r="V78" i="8"/>
  <c r="J62" i="10"/>
  <c r="K62" i="10" s="1"/>
  <c r="E62" i="10" s="1"/>
  <c r="M62" i="10"/>
  <c r="G61" i="10"/>
  <c r="Q61" i="10"/>
  <c r="S61" i="10"/>
  <c r="P80" i="8" l="1"/>
  <c r="G80" i="8"/>
  <c r="L81" i="8"/>
  <c r="M81" i="8" s="1"/>
  <c r="E81" i="8" s="1"/>
  <c r="C81" i="8" s="1"/>
  <c r="R62" i="10"/>
  <c r="N62" i="10"/>
  <c r="H62" i="10"/>
  <c r="F62" i="10"/>
  <c r="L87" i="10"/>
  <c r="B54" i="7"/>
  <c r="B104" i="10"/>
  <c r="I101" i="8"/>
  <c r="K100" i="8"/>
  <c r="C62" i="10"/>
  <c r="G55" i="7"/>
  <c r="C54" i="7"/>
  <c r="B104" i="8"/>
  <c r="I99" i="10"/>
  <c r="O98" i="10"/>
  <c r="Q79" i="8"/>
  <c r="R79" i="8" s="1"/>
  <c r="S79" i="8"/>
  <c r="V79" i="8"/>
  <c r="D80" i="8"/>
  <c r="W80" i="8"/>
  <c r="O80" i="8"/>
  <c r="H81" i="8"/>
  <c r="U80" i="8"/>
  <c r="F80" i="8"/>
  <c r="N100" i="8"/>
  <c r="V80" i="8" l="1"/>
  <c r="L82" i="8"/>
  <c r="M82" i="8" s="1"/>
  <c r="E82" i="8" s="1"/>
  <c r="C82" i="8" s="1"/>
  <c r="P81" i="8"/>
  <c r="G81" i="8"/>
  <c r="H82" i="8"/>
  <c r="U81" i="8"/>
  <c r="D81" i="8"/>
  <c r="W81" i="8"/>
  <c r="O81" i="8"/>
  <c r="O99" i="10"/>
  <c r="I100" i="10"/>
  <c r="C55" i="7"/>
  <c r="M63" i="10"/>
  <c r="H63" i="10" s="1"/>
  <c r="G62" i="10"/>
  <c r="J63" i="10"/>
  <c r="K63" i="10" s="1"/>
  <c r="E63" i="10" s="1"/>
  <c r="C63" i="10" s="1"/>
  <c r="B105" i="10"/>
  <c r="D62" i="10"/>
  <c r="P62" i="10"/>
  <c r="F81" i="8"/>
  <c r="N101" i="8"/>
  <c r="B105" i="8"/>
  <c r="F54" i="7"/>
  <c r="I55" i="7"/>
  <c r="J55" i="7" s="1"/>
  <c r="D55" i="7" s="1"/>
  <c r="E55" i="7" s="1"/>
  <c r="I102" i="8"/>
  <c r="K101" i="8"/>
  <c r="S80" i="8"/>
  <c r="Q80" i="8"/>
  <c r="R80" i="8" s="1"/>
  <c r="J64" i="10" l="1"/>
  <c r="K64" i="10" s="1"/>
  <c r="E64" i="10" s="1"/>
  <c r="M64" i="10"/>
  <c r="H64" i="10" s="1"/>
  <c r="G63" i="10"/>
  <c r="P82" i="8"/>
  <c r="G82" i="8"/>
  <c r="L83" i="8"/>
  <c r="M83" i="8" s="1"/>
  <c r="E83" i="8" s="1"/>
  <c r="C83" i="8" s="1"/>
  <c r="P63" i="10"/>
  <c r="D63" i="10"/>
  <c r="B55" i="7"/>
  <c r="B106" i="10"/>
  <c r="I101" i="10"/>
  <c r="O100" i="10"/>
  <c r="Q81" i="8"/>
  <c r="R81" i="8" s="1"/>
  <c r="S81" i="8"/>
  <c r="I103" i="8"/>
  <c r="K102" i="8"/>
  <c r="B106" i="8"/>
  <c r="S62" i="10"/>
  <c r="Q62" i="10"/>
  <c r="R63" i="10"/>
  <c r="N63" i="10"/>
  <c r="V81" i="8"/>
  <c r="F63" i="10"/>
  <c r="L88" i="10"/>
  <c r="D82" i="8"/>
  <c r="W82" i="8"/>
  <c r="O82" i="8"/>
  <c r="H83" i="8"/>
  <c r="U82" i="8"/>
  <c r="V82" i="8" s="1"/>
  <c r="F82" i="8"/>
  <c r="N102" i="8"/>
  <c r="L84" i="8" l="1"/>
  <c r="M84" i="8" s="1"/>
  <c r="E84" i="8" s="1"/>
  <c r="C84" i="8" s="1"/>
  <c r="P83" i="8"/>
  <c r="G83" i="8"/>
  <c r="I56" i="7"/>
  <c r="J56" i="7" s="1"/>
  <c r="D56" i="7" s="1"/>
  <c r="E56" i="7" s="1"/>
  <c r="F55" i="7"/>
  <c r="G56" i="7"/>
  <c r="I104" i="8"/>
  <c r="K103" i="8"/>
  <c r="I102" i="10"/>
  <c r="O101" i="10"/>
  <c r="P64" i="10"/>
  <c r="D64" i="10"/>
  <c r="F83" i="8"/>
  <c r="N103" i="8"/>
  <c r="R64" i="10"/>
  <c r="N64" i="10"/>
  <c r="F64" i="10"/>
  <c r="L89" i="10"/>
  <c r="H84" i="8"/>
  <c r="U83" i="8"/>
  <c r="D83" i="8"/>
  <c r="W83" i="8"/>
  <c r="O83" i="8"/>
  <c r="B107" i="8"/>
  <c r="B107" i="10"/>
  <c r="Q63" i="10"/>
  <c r="S63" i="10"/>
  <c r="S82" i="8"/>
  <c r="Q82" i="8"/>
  <c r="R82" i="8" s="1"/>
  <c r="C64" i="10"/>
  <c r="P84" i="8" l="1"/>
  <c r="G84" i="8"/>
  <c r="L85" i="8"/>
  <c r="M85" i="8" s="1"/>
  <c r="E85" i="8" s="1"/>
  <c r="C85" i="8" s="1"/>
  <c r="B108" i="8"/>
  <c r="C56" i="7"/>
  <c r="M65" i="10"/>
  <c r="G64" i="10"/>
  <c r="J65" i="10"/>
  <c r="K65" i="10" s="1"/>
  <c r="E65" i="10" s="1"/>
  <c r="V83" i="8"/>
  <c r="I103" i="10"/>
  <c r="O102" i="10"/>
  <c r="Q83" i="8"/>
  <c r="R83" i="8" s="1"/>
  <c r="S83" i="8"/>
  <c r="B108" i="10"/>
  <c r="D84" i="8"/>
  <c r="W84" i="8"/>
  <c r="O84" i="8"/>
  <c r="H85" i="8"/>
  <c r="U84" i="8"/>
  <c r="S64" i="10"/>
  <c r="Q64" i="10"/>
  <c r="I105" i="8"/>
  <c r="K104" i="8"/>
  <c r="B56" i="7"/>
  <c r="G57" i="7" s="1"/>
  <c r="F84" i="8"/>
  <c r="N104" i="8"/>
  <c r="V84" i="8" l="1"/>
  <c r="C57" i="7"/>
  <c r="L86" i="8"/>
  <c r="M86" i="8" s="1"/>
  <c r="E86" i="8" s="1"/>
  <c r="C86" i="8" s="1"/>
  <c r="P85" i="8"/>
  <c r="G85" i="8"/>
  <c r="F65" i="10"/>
  <c r="L90" i="10"/>
  <c r="H86" i="8"/>
  <c r="U85" i="8"/>
  <c r="D85" i="8"/>
  <c r="W85" i="8"/>
  <c r="O85" i="8"/>
  <c r="C65" i="10"/>
  <c r="F85" i="8"/>
  <c r="N105" i="8"/>
  <c r="B109" i="10"/>
  <c r="I104" i="10"/>
  <c r="O103" i="10"/>
  <c r="I106" i="8"/>
  <c r="K105" i="8"/>
  <c r="F56" i="7"/>
  <c r="I57" i="7"/>
  <c r="J57" i="7" s="1"/>
  <c r="D57" i="7" s="1"/>
  <c r="E57" i="7" s="1"/>
  <c r="N65" i="10"/>
  <c r="R65" i="10"/>
  <c r="H65" i="10"/>
  <c r="B109" i="8"/>
  <c r="S84" i="8"/>
  <c r="Q84" i="8"/>
  <c r="R84" i="8" s="1"/>
  <c r="P86" i="8" l="1"/>
  <c r="G86" i="8"/>
  <c r="L87" i="8"/>
  <c r="M87" i="8" s="1"/>
  <c r="E87" i="8" s="1"/>
  <c r="C87" i="8" s="1"/>
  <c r="P65" i="10"/>
  <c r="D65" i="10"/>
  <c r="B57" i="7"/>
  <c r="I105" i="10"/>
  <c r="O104" i="10"/>
  <c r="F86" i="8"/>
  <c r="N106" i="8"/>
  <c r="B110" i="8"/>
  <c r="J66" i="10"/>
  <c r="K66" i="10" s="1"/>
  <c r="E66" i="10" s="1"/>
  <c r="M66" i="10"/>
  <c r="H66" i="10" s="1"/>
  <c r="G65" i="10"/>
  <c r="V85" i="8"/>
  <c r="I107" i="8"/>
  <c r="K106" i="8"/>
  <c r="B110" i="10"/>
  <c r="D86" i="8"/>
  <c r="W86" i="8"/>
  <c r="O86" i="8"/>
  <c r="H87" i="8"/>
  <c r="U86" i="8"/>
  <c r="Q85" i="8"/>
  <c r="R85" i="8" s="1"/>
  <c r="S85" i="8"/>
  <c r="V86" i="8" l="1"/>
  <c r="L88" i="8"/>
  <c r="M88" i="8" s="1"/>
  <c r="E88" i="8" s="1"/>
  <c r="C88" i="8" s="1"/>
  <c r="P87" i="8"/>
  <c r="G87" i="8"/>
  <c r="F66" i="10"/>
  <c r="L91" i="10"/>
  <c r="I58" i="7"/>
  <c r="J58" i="7" s="1"/>
  <c r="D58" i="7" s="1"/>
  <c r="E58" i="7" s="1"/>
  <c r="F57" i="7"/>
  <c r="G58" i="7"/>
  <c r="I108" i="8"/>
  <c r="K107" i="8"/>
  <c r="C66" i="10"/>
  <c r="D66" i="10"/>
  <c r="P66" i="10"/>
  <c r="F87" i="8"/>
  <c r="N107" i="8"/>
  <c r="H88" i="8"/>
  <c r="U87" i="8"/>
  <c r="D87" i="8"/>
  <c r="W87" i="8"/>
  <c r="O87" i="8"/>
  <c r="B111" i="10"/>
  <c r="R66" i="10"/>
  <c r="N66" i="10"/>
  <c r="B111" i="8"/>
  <c r="I106" i="10"/>
  <c r="O105" i="10"/>
  <c r="Q65" i="10"/>
  <c r="S65" i="10"/>
  <c r="S86" i="8"/>
  <c r="Q86" i="8"/>
  <c r="R86" i="8" s="1"/>
  <c r="V87" i="8" l="1"/>
  <c r="P88" i="8"/>
  <c r="G88" i="8"/>
  <c r="L89" i="8"/>
  <c r="M89" i="8" s="1"/>
  <c r="E89" i="8" s="1"/>
  <c r="C89" i="8" s="1"/>
  <c r="S66" i="10"/>
  <c r="Q66" i="10"/>
  <c r="B112" i="10"/>
  <c r="D88" i="8"/>
  <c r="W88" i="8"/>
  <c r="O88" i="8"/>
  <c r="H89" i="8"/>
  <c r="U88" i="8"/>
  <c r="I109" i="8"/>
  <c r="K108" i="8"/>
  <c r="B58" i="7"/>
  <c r="Q87" i="8"/>
  <c r="R87" i="8" s="1"/>
  <c r="S87" i="8"/>
  <c r="I107" i="10"/>
  <c r="O106" i="10"/>
  <c r="C58" i="7"/>
  <c r="B112" i="8"/>
  <c r="M67" i="10"/>
  <c r="G66" i="10"/>
  <c r="J67" i="10"/>
  <c r="K67" i="10" s="1"/>
  <c r="E67" i="10" s="1"/>
  <c r="F88" i="8"/>
  <c r="N108" i="8"/>
  <c r="L90" i="8" l="1"/>
  <c r="M90" i="8" s="1"/>
  <c r="E90" i="8" s="1"/>
  <c r="C90" i="8" s="1"/>
  <c r="P89" i="8"/>
  <c r="G89" i="8"/>
  <c r="F67" i="10"/>
  <c r="L92" i="10"/>
  <c r="F58" i="7"/>
  <c r="I59" i="7"/>
  <c r="J59" i="7" s="1"/>
  <c r="D59" i="7" s="1"/>
  <c r="E59" i="7" s="1"/>
  <c r="H90" i="8"/>
  <c r="U89" i="8"/>
  <c r="D89" i="8"/>
  <c r="W89" i="8"/>
  <c r="O89" i="8"/>
  <c r="C67" i="10"/>
  <c r="I108" i="10"/>
  <c r="O107" i="10"/>
  <c r="B113" i="10"/>
  <c r="F89" i="8"/>
  <c r="N109" i="8"/>
  <c r="I110" i="8"/>
  <c r="K109" i="8"/>
  <c r="B113" i="8"/>
  <c r="R67" i="10"/>
  <c r="N67" i="10"/>
  <c r="H67" i="10"/>
  <c r="G59" i="7"/>
  <c r="V88" i="8"/>
  <c r="S88" i="8"/>
  <c r="Q88" i="8"/>
  <c r="R88" i="8" s="1"/>
  <c r="L91" i="8" l="1"/>
  <c r="M91" i="8" s="1"/>
  <c r="E91" i="8" s="1"/>
  <c r="C91" i="8" s="1"/>
  <c r="G90" i="8"/>
  <c r="P90" i="8"/>
  <c r="B114" i="8"/>
  <c r="P67" i="10"/>
  <c r="D67" i="10"/>
  <c r="I109" i="10"/>
  <c r="O108" i="10"/>
  <c r="B59" i="7"/>
  <c r="B114" i="10"/>
  <c r="J68" i="10"/>
  <c r="K68" i="10" s="1"/>
  <c r="E68" i="10" s="1"/>
  <c r="M68" i="10"/>
  <c r="G67" i="10"/>
  <c r="V89" i="8"/>
  <c r="Q89" i="8"/>
  <c r="R89" i="8" s="1"/>
  <c r="S89" i="8"/>
  <c r="I111" i="8"/>
  <c r="K110" i="8"/>
  <c r="H91" i="8"/>
  <c r="U90" i="8"/>
  <c r="W90" i="8"/>
  <c r="O90" i="8"/>
  <c r="D90" i="8"/>
  <c r="C59" i="7"/>
  <c r="G60" i="7"/>
  <c r="F90" i="8"/>
  <c r="N110" i="8"/>
  <c r="V90" i="8" l="1"/>
  <c r="P91" i="8"/>
  <c r="G91" i="8"/>
  <c r="L92" i="8"/>
  <c r="M92" i="8" s="1"/>
  <c r="E92" i="8" s="1"/>
  <c r="C92" i="8" s="1"/>
  <c r="D91" i="8"/>
  <c r="W91" i="8"/>
  <c r="O91" i="8"/>
  <c r="H92" i="8"/>
  <c r="U91" i="8"/>
  <c r="F68" i="10"/>
  <c r="L93" i="10"/>
  <c r="I60" i="7"/>
  <c r="J60" i="7" s="1"/>
  <c r="D60" i="7" s="1"/>
  <c r="E60" i="7" s="1"/>
  <c r="F59" i="7"/>
  <c r="S90" i="8"/>
  <c r="Q90" i="8"/>
  <c r="R90" i="8" s="1"/>
  <c r="C68" i="10"/>
  <c r="Q67" i="10"/>
  <c r="S67" i="10"/>
  <c r="C60" i="7"/>
  <c r="I112" i="8"/>
  <c r="K111" i="8"/>
  <c r="I110" i="10"/>
  <c r="O109" i="10"/>
  <c r="R68" i="10"/>
  <c r="N68" i="10"/>
  <c r="B115" i="10"/>
  <c r="H68" i="10"/>
  <c r="B115" i="8"/>
  <c r="F91" i="8"/>
  <c r="N111" i="8"/>
  <c r="L93" i="8" l="1"/>
  <c r="M93" i="8" s="1"/>
  <c r="E93" i="8" s="1"/>
  <c r="C93" i="8" s="1"/>
  <c r="P92" i="8"/>
  <c r="G92" i="8"/>
  <c r="B116" i="10"/>
  <c r="I111" i="10"/>
  <c r="O110" i="10"/>
  <c r="B60" i="7"/>
  <c r="H93" i="8"/>
  <c r="U92" i="8"/>
  <c r="D92" i="8"/>
  <c r="W92" i="8"/>
  <c r="O92" i="8"/>
  <c r="B116" i="8"/>
  <c r="F92" i="8"/>
  <c r="N112" i="8"/>
  <c r="D68" i="10"/>
  <c r="P68" i="10"/>
  <c r="I113" i="8"/>
  <c r="K112" i="8"/>
  <c r="M69" i="10"/>
  <c r="G68" i="10"/>
  <c r="J69" i="10"/>
  <c r="K69" i="10" s="1"/>
  <c r="E69" i="10" s="1"/>
  <c r="V91" i="8"/>
  <c r="S91" i="8"/>
  <c r="Q91" i="8"/>
  <c r="R91" i="8" s="1"/>
  <c r="P93" i="8" l="1"/>
  <c r="G93" i="8"/>
  <c r="L94" i="8"/>
  <c r="M94" i="8" s="1"/>
  <c r="E94" i="8" s="1"/>
  <c r="C94" i="8" s="1"/>
  <c r="S68" i="10"/>
  <c r="Q68" i="10"/>
  <c r="R69" i="10"/>
  <c r="N69" i="10"/>
  <c r="B117" i="8"/>
  <c r="F69" i="10"/>
  <c r="L94" i="10"/>
  <c r="H69" i="10"/>
  <c r="V92" i="8"/>
  <c r="I112" i="10"/>
  <c r="O111" i="10"/>
  <c r="Q92" i="8"/>
  <c r="R92" i="8" s="1"/>
  <c r="S92" i="8"/>
  <c r="C69" i="10"/>
  <c r="I114" i="8"/>
  <c r="K113" i="8"/>
  <c r="D93" i="8"/>
  <c r="W93" i="8"/>
  <c r="O93" i="8"/>
  <c r="H94" i="8"/>
  <c r="U93" i="8"/>
  <c r="F60" i="7"/>
  <c r="I61" i="7"/>
  <c r="J61" i="7" s="1"/>
  <c r="D61" i="7" s="1"/>
  <c r="E61" i="7" s="1"/>
  <c r="G61" i="7"/>
  <c r="B117" i="10"/>
  <c r="F93" i="8"/>
  <c r="N113" i="8"/>
  <c r="V93" i="8" l="1"/>
  <c r="L95" i="8"/>
  <c r="M95" i="8" s="1"/>
  <c r="E95" i="8" s="1"/>
  <c r="C95" i="8" s="1"/>
  <c r="P94" i="8"/>
  <c r="G94" i="8"/>
  <c r="B61" i="7"/>
  <c r="I115" i="8"/>
  <c r="K114" i="8"/>
  <c r="B118" i="10"/>
  <c r="M70" i="10"/>
  <c r="H70" i="10" s="1"/>
  <c r="J70" i="10"/>
  <c r="K70" i="10" s="1"/>
  <c r="E70" i="10" s="1"/>
  <c r="G69" i="10"/>
  <c r="I113" i="10"/>
  <c r="O112" i="10"/>
  <c r="F94" i="8"/>
  <c r="N114" i="8"/>
  <c r="C61" i="7"/>
  <c r="G62" i="7"/>
  <c r="H95" i="8"/>
  <c r="U94" i="8"/>
  <c r="D94" i="8"/>
  <c r="W94" i="8"/>
  <c r="O94" i="8"/>
  <c r="D69" i="10"/>
  <c r="P69" i="10"/>
  <c r="B118" i="8"/>
  <c r="S93" i="8"/>
  <c r="Q93" i="8"/>
  <c r="R93" i="8" s="1"/>
  <c r="V94" i="8" l="1"/>
  <c r="P95" i="8"/>
  <c r="G95" i="8"/>
  <c r="L96" i="8"/>
  <c r="M96" i="8" s="1"/>
  <c r="E96" i="8" s="1"/>
  <c r="C96" i="8" s="1"/>
  <c r="P70" i="10"/>
  <c r="D70" i="10"/>
  <c r="F70" i="10"/>
  <c r="L95" i="10"/>
  <c r="B119" i="10"/>
  <c r="C62" i="7"/>
  <c r="R70" i="10"/>
  <c r="N70" i="10"/>
  <c r="Q94" i="8"/>
  <c r="R94" i="8" s="1"/>
  <c r="S94" i="8"/>
  <c r="D95" i="8"/>
  <c r="W95" i="8"/>
  <c r="O95" i="8"/>
  <c r="H96" i="8"/>
  <c r="U95" i="8"/>
  <c r="Q69" i="10"/>
  <c r="S69" i="10"/>
  <c r="I114" i="10"/>
  <c r="O113" i="10"/>
  <c r="C70" i="10"/>
  <c r="K115" i="8"/>
  <c r="I116" i="8"/>
  <c r="B119" i="8"/>
  <c r="I62" i="7"/>
  <c r="J62" i="7" s="1"/>
  <c r="D62" i="7" s="1"/>
  <c r="E62" i="7" s="1"/>
  <c r="F61" i="7"/>
  <c r="F95" i="8"/>
  <c r="N115" i="8"/>
  <c r="V95" i="8" l="1"/>
  <c r="L97" i="8"/>
  <c r="M97" i="8" s="1"/>
  <c r="E97" i="8" s="1"/>
  <c r="C97" i="8" s="1"/>
  <c r="P96" i="8"/>
  <c r="G96" i="8"/>
  <c r="B62" i="7"/>
  <c r="F96" i="8"/>
  <c r="N116" i="8"/>
  <c r="J71" i="10"/>
  <c r="K71" i="10" s="1"/>
  <c r="E71" i="10" s="1"/>
  <c r="M71" i="10"/>
  <c r="G70" i="10"/>
  <c r="B120" i="8"/>
  <c r="B120" i="10"/>
  <c r="I117" i="8"/>
  <c r="K116" i="8"/>
  <c r="I115" i="10"/>
  <c r="O114" i="10"/>
  <c r="H97" i="8"/>
  <c r="U96" i="8"/>
  <c r="D96" i="8"/>
  <c r="W96" i="8"/>
  <c r="O96" i="8"/>
  <c r="S70" i="10"/>
  <c r="Q70" i="10"/>
  <c r="S95" i="8"/>
  <c r="Q95" i="8"/>
  <c r="R95" i="8" s="1"/>
  <c r="P97" i="8" l="1"/>
  <c r="G97" i="8"/>
  <c r="L98" i="8"/>
  <c r="M98" i="8" s="1"/>
  <c r="E98" i="8" s="1"/>
  <c r="C98" i="8" s="1"/>
  <c r="I118" i="8"/>
  <c r="K117" i="8"/>
  <c r="F71" i="10"/>
  <c r="L96" i="10"/>
  <c r="D97" i="8"/>
  <c r="W97" i="8"/>
  <c r="O97" i="8"/>
  <c r="H98" i="8"/>
  <c r="U97" i="8"/>
  <c r="C71" i="10"/>
  <c r="Q96" i="8"/>
  <c r="R96" i="8" s="1"/>
  <c r="S96" i="8"/>
  <c r="I116" i="10"/>
  <c r="O115" i="10"/>
  <c r="V96" i="8"/>
  <c r="B121" i="8"/>
  <c r="R71" i="10"/>
  <c r="N71" i="10"/>
  <c r="H71" i="10"/>
  <c r="F62" i="7"/>
  <c r="I63" i="7"/>
  <c r="J63" i="7" s="1"/>
  <c r="D63" i="7" s="1"/>
  <c r="E63" i="7" s="1"/>
  <c r="G63" i="7"/>
  <c r="F97" i="8"/>
  <c r="N117" i="8"/>
  <c r="L99" i="8" l="1"/>
  <c r="M99" i="8" s="1"/>
  <c r="E99" i="8" s="1"/>
  <c r="C99" i="8" s="1"/>
  <c r="P98" i="8"/>
  <c r="G98" i="8"/>
  <c r="H99" i="8"/>
  <c r="U98" i="8"/>
  <c r="D98" i="8"/>
  <c r="W98" i="8"/>
  <c r="O98" i="8"/>
  <c r="F98" i="8"/>
  <c r="N118" i="8"/>
  <c r="M72" i="10"/>
  <c r="H72" i="10" s="1"/>
  <c r="G71" i="10"/>
  <c r="J72" i="10"/>
  <c r="K72" i="10" s="1"/>
  <c r="E72" i="10" s="1"/>
  <c r="C72" i="10" s="1"/>
  <c r="B63" i="7"/>
  <c r="C63" i="7"/>
  <c r="P71" i="10"/>
  <c r="D71" i="10"/>
  <c r="B122" i="8"/>
  <c r="I117" i="10"/>
  <c r="O116" i="10"/>
  <c r="V97" i="8"/>
  <c r="I119" i="8"/>
  <c r="K118" i="8"/>
  <c r="S97" i="8"/>
  <c r="Q97" i="8"/>
  <c r="R97" i="8" s="1"/>
  <c r="J73" i="10" l="1"/>
  <c r="K73" i="10" s="1"/>
  <c r="E73" i="10" s="1"/>
  <c r="C73" i="10" s="1"/>
  <c r="M73" i="10"/>
  <c r="G72" i="10"/>
  <c r="P99" i="8"/>
  <c r="G99" i="8"/>
  <c r="L100" i="8"/>
  <c r="M100" i="8" s="1"/>
  <c r="E100" i="8" s="1"/>
  <c r="C100" i="8" s="1"/>
  <c r="K119" i="8"/>
  <c r="I120" i="8"/>
  <c r="I118" i="10"/>
  <c r="O117" i="10"/>
  <c r="Q71" i="10"/>
  <c r="S71" i="10"/>
  <c r="B64" i="7"/>
  <c r="I64" i="7"/>
  <c r="J64" i="7" s="1"/>
  <c r="D64" i="7" s="1"/>
  <c r="E64" i="7" s="1"/>
  <c r="F63" i="7"/>
  <c r="F72" i="10"/>
  <c r="L97" i="10"/>
  <c r="Q98" i="8"/>
  <c r="R98" i="8" s="1"/>
  <c r="S98" i="8"/>
  <c r="P72" i="10"/>
  <c r="D72" i="10"/>
  <c r="H73" i="10"/>
  <c r="G64" i="7"/>
  <c r="V98" i="8"/>
  <c r="N72" i="10"/>
  <c r="R72" i="10"/>
  <c r="D99" i="8"/>
  <c r="W99" i="8"/>
  <c r="O99" i="8"/>
  <c r="H100" i="8"/>
  <c r="U99" i="8"/>
  <c r="F99" i="8"/>
  <c r="N119" i="8"/>
  <c r="V99" i="8" l="1"/>
  <c r="L101" i="8"/>
  <c r="M101" i="8" s="1"/>
  <c r="E101" i="8" s="1"/>
  <c r="C101" i="8" s="1"/>
  <c r="P100" i="8"/>
  <c r="G100" i="8"/>
  <c r="M74" i="10"/>
  <c r="H74" i="10" s="1"/>
  <c r="G73" i="10"/>
  <c r="J74" i="10"/>
  <c r="K74" i="10" s="1"/>
  <c r="E74" i="10" s="1"/>
  <c r="H101" i="8"/>
  <c r="U100" i="8"/>
  <c r="D100" i="8"/>
  <c r="W100" i="8"/>
  <c r="O100" i="8"/>
  <c r="S72" i="10"/>
  <c r="Q72" i="10"/>
  <c r="F64" i="7"/>
  <c r="I65" i="7"/>
  <c r="J65" i="7" s="1"/>
  <c r="D65" i="7" s="1"/>
  <c r="E65" i="7" s="1"/>
  <c r="I119" i="10"/>
  <c r="O118" i="10"/>
  <c r="F100" i="8"/>
  <c r="N120" i="8"/>
  <c r="G65" i="7"/>
  <c r="C64" i="7"/>
  <c r="I121" i="8"/>
  <c r="K120" i="8"/>
  <c r="R73" i="10"/>
  <c r="N73" i="10"/>
  <c r="D73" i="10"/>
  <c r="P73" i="10"/>
  <c r="S99" i="8"/>
  <c r="Q99" i="8"/>
  <c r="R99" i="8" s="1"/>
  <c r="F73" i="10"/>
  <c r="L98" i="10"/>
  <c r="P101" i="8" l="1"/>
  <c r="G101" i="8"/>
  <c r="L102" i="8"/>
  <c r="M102" i="8" s="1"/>
  <c r="E102" i="8" s="1"/>
  <c r="C102" i="8" s="1"/>
  <c r="F74" i="10"/>
  <c r="L99" i="10"/>
  <c r="Q73" i="10"/>
  <c r="S73" i="10"/>
  <c r="C65" i="7"/>
  <c r="I120" i="10"/>
  <c r="O120" i="10" s="1"/>
  <c r="O119" i="10"/>
  <c r="Q100" i="8"/>
  <c r="R100" i="8" s="1"/>
  <c r="S100" i="8"/>
  <c r="V100" i="8"/>
  <c r="R74" i="10"/>
  <c r="N74" i="10"/>
  <c r="P74" i="10"/>
  <c r="D74" i="10"/>
  <c r="I122" i="8"/>
  <c r="K122" i="8" s="1"/>
  <c r="K121" i="8"/>
  <c r="B65" i="7"/>
  <c r="D101" i="8"/>
  <c r="W101" i="8"/>
  <c r="O101" i="8"/>
  <c r="H102" i="8"/>
  <c r="U101" i="8"/>
  <c r="C74" i="10"/>
  <c r="F101" i="8"/>
  <c r="N121" i="8"/>
  <c r="V101" i="8" l="1"/>
  <c r="L103" i="8"/>
  <c r="M103" i="8" s="1"/>
  <c r="E103" i="8" s="1"/>
  <c r="F103" i="8" s="1"/>
  <c r="P102" i="8"/>
  <c r="G102" i="8"/>
  <c r="B66" i="7"/>
  <c r="I66" i="7"/>
  <c r="J66" i="7" s="1"/>
  <c r="D66" i="7" s="1"/>
  <c r="E66" i="7" s="1"/>
  <c r="F65" i="7"/>
  <c r="F102" i="8"/>
  <c r="N122" i="8"/>
  <c r="S74" i="10"/>
  <c r="Q74" i="10"/>
  <c r="G66" i="7"/>
  <c r="H103" i="8"/>
  <c r="U102" i="8"/>
  <c r="D102" i="8"/>
  <c r="W102" i="8"/>
  <c r="O102" i="8"/>
  <c r="J75" i="10"/>
  <c r="K75" i="10" s="1"/>
  <c r="E75" i="10" s="1"/>
  <c r="C75" i="10" s="1"/>
  <c r="M75" i="10"/>
  <c r="G74" i="10"/>
  <c r="S101" i="8"/>
  <c r="Q101" i="8"/>
  <c r="R101" i="8" s="1"/>
  <c r="V102" i="8" l="1"/>
  <c r="J76" i="10"/>
  <c r="K76" i="10" s="1"/>
  <c r="E76" i="10" s="1"/>
  <c r="M76" i="10"/>
  <c r="G75" i="10"/>
  <c r="D103" i="8"/>
  <c r="W103" i="8"/>
  <c r="O103" i="8"/>
  <c r="U103" i="8"/>
  <c r="G67" i="7"/>
  <c r="C67" i="7" s="1"/>
  <c r="C66" i="7"/>
  <c r="R75" i="10"/>
  <c r="N75" i="10"/>
  <c r="H75" i="10"/>
  <c r="Q102" i="8"/>
  <c r="R102" i="8" s="1"/>
  <c r="S102" i="8"/>
  <c r="F75" i="10"/>
  <c r="L100" i="10"/>
  <c r="C103" i="8"/>
  <c r="H104" i="8" s="1"/>
  <c r="F66" i="7"/>
  <c r="I67" i="7"/>
  <c r="J67" i="7" s="1"/>
  <c r="D67" i="7" s="1"/>
  <c r="E67" i="7" s="1"/>
  <c r="U104" i="8" l="1"/>
  <c r="D104" i="8"/>
  <c r="W104" i="8"/>
  <c r="O104" i="8"/>
  <c r="P103" i="8"/>
  <c r="G103" i="8"/>
  <c r="L104" i="8"/>
  <c r="M104" i="8" s="1"/>
  <c r="E104" i="8" s="1"/>
  <c r="F104" i="8" s="1"/>
  <c r="R76" i="10"/>
  <c r="N76" i="10"/>
  <c r="H76" i="10"/>
  <c r="P75" i="10"/>
  <c r="D75" i="10"/>
  <c r="F76" i="10"/>
  <c r="L101" i="10"/>
  <c r="B67" i="7"/>
  <c r="F67" i="7" s="1"/>
  <c r="V103" i="8"/>
  <c r="C76" i="10"/>
  <c r="P76" i="10" l="1"/>
  <c r="D76" i="10"/>
  <c r="J77" i="10"/>
  <c r="K77" i="10" s="1"/>
  <c r="E77" i="10" s="1"/>
  <c r="M77" i="10"/>
  <c r="H77" i="10" s="1"/>
  <c r="G76" i="10"/>
  <c r="S103" i="8"/>
  <c r="Q103" i="8"/>
  <c r="R103" i="8" s="1"/>
  <c r="Q75" i="10"/>
  <c r="S75" i="10"/>
  <c r="C104" i="8"/>
  <c r="V104" i="8" l="1"/>
  <c r="P77" i="10"/>
  <c r="D77" i="10"/>
  <c r="F77" i="10"/>
  <c r="L102" i="10"/>
  <c r="C77" i="10"/>
  <c r="L105" i="8"/>
  <c r="M105" i="8" s="1"/>
  <c r="E105" i="8" s="1"/>
  <c r="F105" i="8" s="1"/>
  <c r="P104" i="8"/>
  <c r="G104" i="8"/>
  <c r="H105" i="8"/>
  <c r="R77" i="10"/>
  <c r="N77" i="10"/>
  <c r="S76" i="10"/>
  <c r="Q76" i="10"/>
  <c r="D105" i="8" l="1"/>
  <c r="W105" i="8"/>
  <c r="O105" i="8"/>
  <c r="U105" i="8"/>
  <c r="C105" i="8"/>
  <c r="H106" i="8" s="1"/>
  <c r="J78" i="10"/>
  <c r="K78" i="10" s="1"/>
  <c r="E78" i="10" s="1"/>
  <c r="G77" i="10"/>
  <c r="M78" i="10"/>
  <c r="Q77" i="10"/>
  <c r="S77" i="10"/>
  <c r="Q104" i="8"/>
  <c r="R104" i="8" s="1"/>
  <c r="S104" i="8"/>
  <c r="U106" i="8" l="1"/>
  <c r="D106" i="8"/>
  <c r="W106" i="8"/>
  <c r="O106" i="8"/>
  <c r="F78" i="10"/>
  <c r="L103" i="10"/>
  <c r="C78" i="10"/>
  <c r="R78" i="10"/>
  <c r="N78" i="10"/>
  <c r="H78" i="10"/>
  <c r="P105" i="8"/>
  <c r="G105" i="8"/>
  <c r="L106" i="8"/>
  <c r="M106" i="8" s="1"/>
  <c r="E106" i="8" s="1"/>
  <c r="F106" i="8" s="1"/>
  <c r="V105" i="8"/>
  <c r="S105" i="8" l="1"/>
  <c r="Q105" i="8"/>
  <c r="R105" i="8" s="1"/>
  <c r="J79" i="10"/>
  <c r="K79" i="10" s="1"/>
  <c r="E79" i="10" s="1"/>
  <c r="M79" i="10"/>
  <c r="H79" i="10" s="1"/>
  <c r="G78" i="10"/>
  <c r="C106" i="8"/>
  <c r="P78" i="10"/>
  <c r="D78" i="10"/>
  <c r="V106" i="8" l="1"/>
  <c r="R79" i="10"/>
  <c r="N79" i="10"/>
  <c r="F79" i="10"/>
  <c r="L104" i="10"/>
  <c r="L107" i="8"/>
  <c r="M107" i="8" s="1"/>
  <c r="E107" i="8" s="1"/>
  <c r="F107" i="8" s="1"/>
  <c r="P106" i="8"/>
  <c r="G106" i="8"/>
  <c r="H107" i="8"/>
  <c r="C79" i="10"/>
  <c r="P79" i="10"/>
  <c r="D79" i="10"/>
  <c r="S78" i="10"/>
  <c r="Q78" i="10"/>
  <c r="D107" i="8" l="1"/>
  <c r="W107" i="8"/>
  <c r="O107" i="8"/>
  <c r="U107" i="8"/>
  <c r="Q106" i="8"/>
  <c r="R106" i="8" s="1"/>
  <c r="S106" i="8"/>
  <c r="Q79" i="10"/>
  <c r="S79" i="10"/>
  <c r="J80" i="10"/>
  <c r="K80" i="10" s="1"/>
  <c r="E80" i="10" s="1"/>
  <c r="G79" i="10"/>
  <c r="M80" i="10"/>
  <c r="C107" i="8"/>
  <c r="P107" i="8" l="1"/>
  <c r="G107" i="8"/>
  <c r="L108" i="8"/>
  <c r="M108" i="8" s="1"/>
  <c r="E108" i="8" s="1"/>
  <c r="F108" i="8" s="1"/>
  <c r="H108" i="8"/>
  <c r="F80" i="10"/>
  <c r="L105" i="10"/>
  <c r="C80" i="10"/>
  <c r="R80" i="10"/>
  <c r="N80" i="10"/>
  <c r="H80" i="10"/>
  <c r="V107" i="8"/>
  <c r="J81" i="10" l="1"/>
  <c r="K81" i="10" s="1"/>
  <c r="E81" i="10" s="1"/>
  <c r="C81" i="10" s="1"/>
  <c r="M81" i="10"/>
  <c r="H81" i="10" s="1"/>
  <c r="G80" i="10"/>
  <c r="C108" i="8"/>
  <c r="P80" i="10"/>
  <c r="D80" i="10"/>
  <c r="U108" i="8"/>
  <c r="D108" i="8"/>
  <c r="W108" i="8"/>
  <c r="O108" i="8"/>
  <c r="S107" i="8"/>
  <c r="Q107" i="8"/>
  <c r="R107" i="8" s="1"/>
  <c r="P81" i="10" l="1"/>
  <c r="D81" i="10"/>
  <c r="J82" i="10"/>
  <c r="K82" i="10" s="1"/>
  <c r="E82" i="10" s="1"/>
  <c r="C82" i="10" s="1"/>
  <c r="M82" i="10"/>
  <c r="G81" i="10"/>
  <c r="L109" i="8"/>
  <c r="M109" i="8" s="1"/>
  <c r="E109" i="8" s="1"/>
  <c r="F109" i="8" s="1"/>
  <c r="P108" i="8"/>
  <c r="G108" i="8"/>
  <c r="V108" i="8"/>
  <c r="S80" i="10"/>
  <c r="Q80" i="10"/>
  <c r="R81" i="10"/>
  <c r="N81" i="10"/>
  <c r="H109" i="8"/>
  <c r="F81" i="10"/>
  <c r="L106" i="10"/>
  <c r="J83" i="10" l="1"/>
  <c r="K83" i="10" s="1"/>
  <c r="E83" i="10" s="1"/>
  <c r="C83" i="10" s="1"/>
  <c r="M83" i="10"/>
  <c r="G82" i="10"/>
  <c r="Q108" i="8"/>
  <c r="R108" i="8" s="1"/>
  <c r="S108" i="8"/>
  <c r="R82" i="10"/>
  <c r="N82" i="10"/>
  <c r="Q81" i="10"/>
  <c r="S81" i="10"/>
  <c r="D109" i="8"/>
  <c r="W109" i="8"/>
  <c r="O109" i="8"/>
  <c r="U109" i="8"/>
  <c r="C109" i="8"/>
  <c r="F82" i="10"/>
  <c r="L107" i="10"/>
  <c r="H82" i="10"/>
  <c r="J84" i="10" l="1"/>
  <c r="K84" i="10" s="1"/>
  <c r="E84" i="10" s="1"/>
  <c r="M84" i="10"/>
  <c r="G83" i="10"/>
  <c r="P109" i="8"/>
  <c r="G109" i="8"/>
  <c r="L110" i="8"/>
  <c r="M110" i="8" s="1"/>
  <c r="E110" i="8" s="1"/>
  <c r="F110" i="8" s="1"/>
  <c r="P82" i="10"/>
  <c r="D82" i="10"/>
  <c r="H83" i="10"/>
  <c r="V109" i="8"/>
  <c r="H110" i="8"/>
  <c r="R83" i="10"/>
  <c r="N83" i="10"/>
  <c r="F83" i="10"/>
  <c r="L108" i="10"/>
  <c r="C110" i="8" l="1"/>
  <c r="H111" i="8" s="1"/>
  <c r="R84" i="10"/>
  <c r="N84" i="10"/>
  <c r="F84" i="10"/>
  <c r="L109" i="10"/>
  <c r="H84" i="10"/>
  <c r="P83" i="10"/>
  <c r="D83" i="10"/>
  <c r="U110" i="8"/>
  <c r="D110" i="8"/>
  <c r="W110" i="8"/>
  <c r="O110" i="8"/>
  <c r="S82" i="10"/>
  <c r="Q82" i="10"/>
  <c r="S109" i="8"/>
  <c r="Q109" i="8"/>
  <c r="R109" i="8" s="1"/>
  <c r="C84" i="10"/>
  <c r="D111" i="8" l="1"/>
  <c r="W111" i="8"/>
  <c r="O111" i="8"/>
  <c r="U111" i="8"/>
  <c r="Q83" i="10"/>
  <c r="S83" i="10"/>
  <c r="J85" i="10"/>
  <c r="K85" i="10" s="1"/>
  <c r="E85" i="10" s="1"/>
  <c r="M85" i="10"/>
  <c r="H85" i="10" s="1"/>
  <c r="G84" i="10"/>
  <c r="V110" i="8"/>
  <c r="P84" i="10"/>
  <c r="D84" i="10"/>
  <c r="L111" i="8"/>
  <c r="M111" i="8" s="1"/>
  <c r="E111" i="8" s="1"/>
  <c r="F111" i="8" s="1"/>
  <c r="P110" i="8"/>
  <c r="G110" i="8"/>
  <c r="F85" i="10" l="1"/>
  <c r="L110" i="10"/>
  <c r="P85" i="10"/>
  <c r="D85" i="10"/>
  <c r="C85" i="10"/>
  <c r="Q110" i="8"/>
  <c r="R110" i="8" s="1"/>
  <c r="S110" i="8"/>
  <c r="C111" i="8"/>
  <c r="S84" i="10"/>
  <c r="Q84" i="10"/>
  <c r="R85" i="10"/>
  <c r="N85" i="10"/>
  <c r="V111" i="8" l="1"/>
  <c r="Q85" i="10"/>
  <c r="S85" i="10"/>
  <c r="J86" i="10"/>
  <c r="K86" i="10" s="1"/>
  <c r="E86" i="10" s="1"/>
  <c r="G85" i="10"/>
  <c r="M86" i="10"/>
  <c r="P111" i="8"/>
  <c r="G111" i="8"/>
  <c r="L112" i="8"/>
  <c r="M112" i="8" s="1"/>
  <c r="E112" i="8" s="1"/>
  <c r="F112" i="8" s="1"/>
  <c r="H112" i="8"/>
  <c r="F86" i="10" l="1"/>
  <c r="L111" i="10"/>
  <c r="U112" i="8"/>
  <c r="D112" i="8"/>
  <c r="W112" i="8"/>
  <c r="O112" i="8"/>
  <c r="S111" i="8"/>
  <c r="Q111" i="8"/>
  <c r="R111" i="8" s="1"/>
  <c r="C86" i="10"/>
  <c r="C112" i="8"/>
  <c r="R86" i="10"/>
  <c r="N86" i="10"/>
  <c r="H86" i="10"/>
  <c r="V112" i="8" l="1"/>
  <c r="P86" i="10"/>
  <c r="D86" i="10"/>
  <c r="L113" i="8"/>
  <c r="M113" i="8" s="1"/>
  <c r="E113" i="8" s="1"/>
  <c r="F113" i="8" s="1"/>
  <c r="P112" i="8"/>
  <c r="G112" i="8"/>
  <c r="H113" i="8"/>
  <c r="J87" i="10"/>
  <c r="K87" i="10" s="1"/>
  <c r="E87" i="10" s="1"/>
  <c r="C87" i="10" s="1"/>
  <c r="M87" i="10"/>
  <c r="H87" i="10" s="1"/>
  <c r="G86" i="10"/>
  <c r="J88" i="10" l="1"/>
  <c r="K88" i="10" s="1"/>
  <c r="E88" i="10" s="1"/>
  <c r="G87" i="10"/>
  <c r="M88" i="10"/>
  <c r="P87" i="10"/>
  <c r="D87" i="10"/>
  <c r="D113" i="8"/>
  <c r="W113" i="8"/>
  <c r="O113" i="8"/>
  <c r="U113" i="8"/>
  <c r="R87" i="10"/>
  <c r="N87" i="10"/>
  <c r="Q112" i="8"/>
  <c r="R112" i="8" s="1"/>
  <c r="S112" i="8"/>
  <c r="F87" i="10"/>
  <c r="L112" i="10"/>
  <c r="C113" i="8"/>
  <c r="S86" i="10"/>
  <c r="Q86" i="10"/>
  <c r="V113" i="8" l="1"/>
  <c r="R88" i="10"/>
  <c r="N88" i="10"/>
  <c r="L114" i="8"/>
  <c r="M114" i="8" s="1"/>
  <c r="E114" i="8" s="1"/>
  <c r="F114" i="8" s="1"/>
  <c r="P113" i="8"/>
  <c r="G113" i="8"/>
  <c r="H114" i="8"/>
  <c r="F88" i="10"/>
  <c r="L113" i="10"/>
  <c r="Q87" i="10"/>
  <c r="S87" i="10"/>
  <c r="H88" i="10"/>
  <c r="C88" i="10"/>
  <c r="W114" i="8" l="1"/>
  <c r="O114" i="8"/>
  <c r="D114" i="8"/>
  <c r="U114" i="8"/>
  <c r="C114" i="8"/>
  <c r="H115" i="8" s="1"/>
  <c r="J89" i="10"/>
  <c r="K89" i="10" s="1"/>
  <c r="E89" i="10" s="1"/>
  <c r="M89" i="10"/>
  <c r="H89" i="10" s="1"/>
  <c r="G88" i="10"/>
  <c r="P88" i="10"/>
  <c r="D88" i="10"/>
  <c r="S113" i="8"/>
  <c r="Q113" i="8"/>
  <c r="R113" i="8" s="1"/>
  <c r="U115" i="8" l="1"/>
  <c r="D115" i="8"/>
  <c r="W115" i="8"/>
  <c r="O115" i="8"/>
  <c r="R89" i="10"/>
  <c r="N89" i="10"/>
  <c r="F89" i="10"/>
  <c r="L114" i="10"/>
  <c r="S88" i="10"/>
  <c r="Q88" i="10"/>
  <c r="C89" i="10"/>
  <c r="P114" i="8"/>
  <c r="L115" i="8"/>
  <c r="M115" i="8" s="1"/>
  <c r="E115" i="8" s="1"/>
  <c r="F115" i="8" s="1"/>
  <c r="G114" i="8"/>
  <c r="P89" i="10"/>
  <c r="D89" i="10"/>
  <c r="V114" i="8"/>
  <c r="Q89" i="10" l="1"/>
  <c r="S89" i="10"/>
  <c r="J90" i="10"/>
  <c r="K90" i="10" s="1"/>
  <c r="E90" i="10" s="1"/>
  <c r="M90" i="10"/>
  <c r="G89" i="10"/>
  <c r="C115" i="8"/>
  <c r="S114" i="8"/>
  <c r="Q114" i="8"/>
  <c r="R114" i="8" s="1"/>
  <c r="V115" i="8" l="1"/>
  <c r="F90" i="10"/>
  <c r="L115" i="10"/>
  <c r="L116" i="8"/>
  <c r="M116" i="8" s="1"/>
  <c r="E116" i="8" s="1"/>
  <c r="F116" i="8" s="1"/>
  <c r="P115" i="8"/>
  <c r="G115" i="8"/>
  <c r="H116" i="8"/>
  <c r="C90" i="10"/>
  <c r="R90" i="10"/>
  <c r="N90" i="10"/>
  <c r="H90" i="10"/>
  <c r="D116" i="8" l="1"/>
  <c r="W116" i="8"/>
  <c r="O116" i="8"/>
  <c r="U116" i="8"/>
  <c r="Q115" i="8"/>
  <c r="R115" i="8" s="1"/>
  <c r="S115" i="8"/>
  <c r="J91" i="10"/>
  <c r="K91" i="10" s="1"/>
  <c r="E91" i="10" s="1"/>
  <c r="M91" i="10"/>
  <c r="H91" i="10" s="1"/>
  <c r="G90" i="10"/>
  <c r="C116" i="8"/>
  <c r="H117" i="8" s="1"/>
  <c r="P90" i="10"/>
  <c r="D90" i="10"/>
  <c r="U117" i="8" l="1"/>
  <c r="W117" i="8"/>
  <c r="O117" i="8"/>
  <c r="D117" i="8"/>
  <c r="F91" i="10"/>
  <c r="L116" i="10"/>
  <c r="P116" i="8"/>
  <c r="G116" i="8"/>
  <c r="L117" i="8"/>
  <c r="M117" i="8" s="1"/>
  <c r="E117" i="8" s="1"/>
  <c r="F117" i="8" s="1"/>
  <c r="P91" i="10"/>
  <c r="D91" i="10"/>
  <c r="C91" i="10"/>
  <c r="S90" i="10"/>
  <c r="Q90" i="10"/>
  <c r="R91" i="10"/>
  <c r="N91" i="10"/>
  <c r="V116" i="8"/>
  <c r="S116" i="8" l="1"/>
  <c r="Q116" i="8"/>
  <c r="R116" i="8" s="1"/>
  <c r="J92" i="10"/>
  <c r="K92" i="10" s="1"/>
  <c r="E92" i="10" s="1"/>
  <c r="M92" i="10"/>
  <c r="G91" i="10"/>
  <c r="C117" i="8"/>
  <c r="Q91" i="10"/>
  <c r="S91" i="10"/>
  <c r="V117" i="8" l="1"/>
  <c r="F92" i="10"/>
  <c r="L117" i="10"/>
  <c r="L118" i="8"/>
  <c r="M118" i="8" s="1"/>
  <c r="E118" i="8" s="1"/>
  <c r="F118" i="8" s="1"/>
  <c r="P117" i="8"/>
  <c r="G117" i="8"/>
  <c r="H118" i="8"/>
  <c r="C92" i="10"/>
  <c r="R92" i="10"/>
  <c r="N92" i="10"/>
  <c r="H92" i="10"/>
  <c r="J93" i="10" l="1"/>
  <c r="K93" i="10" s="1"/>
  <c r="E93" i="10" s="1"/>
  <c r="C93" i="10" s="1"/>
  <c r="M93" i="10"/>
  <c r="H93" i="10" s="1"/>
  <c r="G92" i="10"/>
  <c r="C118" i="8"/>
  <c r="P92" i="10"/>
  <c r="D92" i="10"/>
  <c r="D118" i="8"/>
  <c r="W118" i="8"/>
  <c r="O118" i="8"/>
  <c r="U118" i="8"/>
  <c r="Q117" i="8"/>
  <c r="R117" i="8" s="1"/>
  <c r="S117" i="8"/>
  <c r="P93" i="10" l="1"/>
  <c r="D93" i="10"/>
  <c r="J94" i="10"/>
  <c r="K94" i="10" s="1"/>
  <c r="E94" i="10" s="1"/>
  <c r="C94" i="10" s="1"/>
  <c r="G93" i="10"/>
  <c r="M94" i="10"/>
  <c r="V118" i="8"/>
  <c r="P118" i="8"/>
  <c r="G118" i="8"/>
  <c r="L119" i="8"/>
  <c r="M119" i="8" s="1"/>
  <c r="E119" i="8" s="1"/>
  <c r="F119" i="8" s="1"/>
  <c r="H119" i="8"/>
  <c r="S92" i="10"/>
  <c r="Q92" i="10"/>
  <c r="R93" i="10"/>
  <c r="N93" i="10"/>
  <c r="F93" i="10"/>
  <c r="L118" i="10"/>
  <c r="J95" i="10" l="1"/>
  <c r="K95" i="10" s="1"/>
  <c r="E95" i="10" s="1"/>
  <c r="C95" i="10" s="1"/>
  <c r="M95" i="10"/>
  <c r="G94" i="10"/>
  <c r="S118" i="8"/>
  <c r="Q118" i="8"/>
  <c r="R118" i="8" s="1"/>
  <c r="C119" i="8"/>
  <c r="H120" i="8" s="1"/>
  <c r="R94" i="10"/>
  <c r="N94" i="10"/>
  <c r="Q93" i="10"/>
  <c r="S93" i="10"/>
  <c r="U119" i="8"/>
  <c r="D119" i="8"/>
  <c r="W119" i="8"/>
  <c r="O119" i="8"/>
  <c r="F94" i="10"/>
  <c r="L119" i="10"/>
  <c r="H94" i="10"/>
  <c r="V119" i="8" l="1"/>
  <c r="D120" i="8"/>
  <c r="W120" i="8"/>
  <c r="O120" i="8"/>
  <c r="U120" i="8"/>
  <c r="J96" i="10"/>
  <c r="K96" i="10" s="1"/>
  <c r="E96" i="10" s="1"/>
  <c r="F96" i="10" s="1"/>
  <c r="G95" i="10"/>
  <c r="M96" i="10"/>
  <c r="P94" i="10"/>
  <c r="D94" i="10"/>
  <c r="H95" i="10"/>
  <c r="L120" i="8"/>
  <c r="M120" i="8" s="1"/>
  <c r="E120" i="8" s="1"/>
  <c r="F120" i="8" s="1"/>
  <c r="P119" i="8"/>
  <c r="G119" i="8"/>
  <c r="R95" i="10"/>
  <c r="N95" i="10"/>
  <c r="F95" i="10"/>
  <c r="L120" i="10"/>
  <c r="H96" i="10" l="1"/>
  <c r="P95" i="10"/>
  <c r="D95" i="10"/>
  <c r="Q119" i="8"/>
  <c r="R119" i="8" s="1"/>
  <c r="S119" i="8"/>
  <c r="C120" i="8"/>
  <c r="S94" i="10"/>
  <c r="Q94" i="10"/>
  <c r="C96" i="10"/>
  <c r="R96" i="10"/>
  <c r="N96" i="10"/>
  <c r="V120" i="8" l="1"/>
  <c r="P120" i="8"/>
  <c r="G120" i="8"/>
  <c r="L121" i="8"/>
  <c r="M121" i="8" s="1"/>
  <c r="E121" i="8" s="1"/>
  <c r="F121" i="8" s="1"/>
  <c r="H121" i="8"/>
  <c r="Q95" i="10"/>
  <c r="S95" i="10"/>
  <c r="J97" i="10"/>
  <c r="K97" i="10" s="1"/>
  <c r="E97" i="10" s="1"/>
  <c r="F97" i="10" s="1"/>
  <c r="M97" i="10"/>
  <c r="H97" i="10" s="1"/>
  <c r="G96" i="10"/>
  <c r="P96" i="10"/>
  <c r="D96" i="10"/>
  <c r="C121" i="8" l="1"/>
  <c r="H122" i="8" s="1"/>
  <c r="C97" i="10"/>
  <c r="S96" i="10"/>
  <c r="Q96" i="10"/>
  <c r="P97" i="10"/>
  <c r="D97" i="10"/>
  <c r="R97" i="10"/>
  <c r="N97" i="10"/>
  <c r="U121" i="8"/>
  <c r="W121" i="8"/>
  <c r="O121" i="8"/>
  <c r="D121" i="8"/>
  <c r="S120" i="8"/>
  <c r="Q120" i="8"/>
  <c r="R120" i="8" s="1"/>
  <c r="V121" i="8" l="1"/>
  <c r="D122" i="8"/>
  <c r="W122" i="8"/>
  <c r="O122" i="8"/>
  <c r="U122" i="8"/>
  <c r="Q97" i="10"/>
  <c r="S97" i="10"/>
  <c r="J98" i="10"/>
  <c r="K98" i="10" s="1"/>
  <c r="E98" i="10" s="1"/>
  <c r="F98" i="10" s="1"/>
  <c r="M98" i="10"/>
  <c r="G97" i="10"/>
  <c r="L122" i="8"/>
  <c r="M122" i="8" s="1"/>
  <c r="E122" i="8" s="1"/>
  <c r="F122" i="8" s="1"/>
  <c r="P121" i="8"/>
  <c r="G121" i="8"/>
  <c r="C122" i="8" l="1"/>
  <c r="C98" i="10"/>
  <c r="Q121" i="8"/>
  <c r="R121" i="8" s="1"/>
  <c r="S121" i="8"/>
  <c r="R98" i="10"/>
  <c r="N98" i="10"/>
  <c r="H98" i="10"/>
  <c r="P98" i="10" l="1"/>
  <c r="D98" i="10"/>
  <c r="V122" i="8"/>
  <c r="J99" i="10"/>
  <c r="K99" i="10" s="1"/>
  <c r="E99" i="10" s="1"/>
  <c r="F99" i="10" s="1"/>
  <c r="M99" i="10"/>
  <c r="H99" i="10" s="1"/>
  <c r="G98" i="10"/>
  <c r="P122" i="8"/>
  <c r="G122" i="8"/>
  <c r="P99" i="10" l="1"/>
  <c r="D99" i="10"/>
  <c r="S122" i="8"/>
  <c r="Q122" i="8"/>
  <c r="R122" i="8" s="1"/>
  <c r="C99" i="10"/>
  <c r="R99" i="10"/>
  <c r="N99" i="10"/>
  <c r="S98" i="10"/>
  <c r="Q98" i="10"/>
  <c r="J100" i="10" l="1"/>
  <c r="K100" i="10" s="1"/>
  <c r="E100" i="10" s="1"/>
  <c r="F100" i="10" s="1"/>
  <c r="M100" i="10"/>
  <c r="G99" i="10"/>
  <c r="Q99" i="10"/>
  <c r="S99" i="10"/>
  <c r="R100" i="10" l="1"/>
  <c r="N100" i="10"/>
  <c r="H100" i="10"/>
  <c r="C100" i="10"/>
  <c r="J101" i="10" l="1"/>
  <c r="K101" i="10" s="1"/>
  <c r="E101" i="10" s="1"/>
  <c r="F101" i="10" s="1"/>
  <c r="M101" i="10"/>
  <c r="H101" i="10" s="1"/>
  <c r="G100" i="10"/>
  <c r="P100" i="10"/>
  <c r="D100" i="10"/>
  <c r="S100" i="10" l="1"/>
  <c r="Q100" i="10"/>
  <c r="C101" i="10"/>
  <c r="P101" i="10"/>
  <c r="D101" i="10"/>
  <c r="R101" i="10"/>
  <c r="N101" i="10"/>
  <c r="J102" i="10" l="1"/>
  <c r="K102" i="10" s="1"/>
  <c r="E102" i="10" s="1"/>
  <c r="F102" i="10" s="1"/>
  <c r="G101" i="10"/>
  <c r="M102" i="10"/>
  <c r="Q101" i="10"/>
  <c r="S101" i="10"/>
  <c r="R102" i="10" l="1"/>
  <c r="N102" i="10"/>
  <c r="H102" i="10"/>
  <c r="C102" i="10"/>
  <c r="M103" i="10" l="1"/>
  <c r="H103" i="10" s="1"/>
  <c r="G102" i="10"/>
  <c r="J103" i="10"/>
  <c r="K103" i="10" s="1"/>
  <c r="E103" i="10" s="1"/>
  <c r="F103" i="10" s="1"/>
  <c r="D102" i="10"/>
  <c r="P102" i="10"/>
  <c r="S102" i="10" l="1"/>
  <c r="Q102" i="10"/>
  <c r="C103" i="10"/>
  <c r="P103" i="10"/>
  <c r="D103" i="10"/>
  <c r="R103" i="10"/>
  <c r="N103" i="10"/>
  <c r="Q103" i="10" l="1"/>
  <c r="S103" i="10"/>
  <c r="J104" i="10"/>
  <c r="K104" i="10" s="1"/>
  <c r="E104" i="10" s="1"/>
  <c r="F104" i="10" s="1"/>
  <c r="M104" i="10"/>
  <c r="G103" i="10"/>
  <c r="R104" i="10" l="1"/>
  <c r="N104" i="10"/>
  <c r="H104" i="10"/>
  <c r="C104" i="10"/>
  <c r="M105" i="10" l="1"/>
  <c r="H105" i="10" s="1"/>
  <c r="G104" i="10"/>
  <c r="J105" i="10"/>
  <c r="K105" i="10" s="1"/>
  <c r="E105" i="10" s="1"/>
  <c r="F105" i="10" s="1"/>
  <c r="P104" i="10"/>
  <c r="D104" i="10"/>
  <c r="C105" i="10" l="1"/>
  <c r="S104" i="10"/>
  <c r="Q104" i="10"/>
  <c r="P105" i="10"/>
  <c r="D105" i="10"/>
  <c r="N105" i="10"/>
  <c r="R105" i="10"/>
  <c r="Q105" i="10" l="1"/>
  <c r="S105" i="10"/>
  <c r="J106" i="10"/>
  <c r="K106" i="10" s="1"/>
  <c r="E106" i="10" s="1"/>
  <c r="F106" i="10" s="1"/>
  <c r="M106" i="10"/>
  <c r="G105" i="10"/>
  <c r="C106" i="10" l="1"/>
  <c r="R106" i="10"/>
  <c r="N106" i="10"/>
  <c r="H106" i="10"/>
  <c r="D106" i="10" l="1"/>
  <c r="P106" i="10"/>
  <c r="M107" i="10"/>
  <c r="G106" i="10"/>
  <c r="J107" i="10"/>
  <c r="K107" i="10" s="1"/>
  <c r="E107" i="10" s="1"/>
  <c r="F107" i="10" s="1"/>
  <c r="R107" i="10" l="1"/>
  <c r="N107" i="10"/>
  <c r="S106" i="10"/>
  <c r="Q106" i="10"/>
  <c r="C107" i="10"/>
  <c r="H107" i="10"/>
  <c r="J108" i="10" l="1"/>
  <c r="K108" i="10" s="1"/>
  <c r="E108" i="10" s="1"/>
  <c r="F108" i="10" s="1"/>
  <c r="M108" i="10"/>
  <c r="H108" i="10" s="1"/>
  <c r="G107" i="10"/>
  <c r="P107" i="10"/>
  <c r="D107" i="10"/>
  <c r="Q107" i="10" l="1"/>
  <c r="S107" i="10"/>
  <c r="D108" i="10"/>
  <c r="P108" i="10"/>
  <c r="R108" i="10"/>
  <c r="N108" i="10"/>
  <c r="C108" i="10"/>
  <c r="M109" i="10" l="1"/>
  <c r="G108" i="10"/>
  <c r="J109" i="10"/>
  <c r="K109" i="10" s="1"/>
  <c r="E109" i="10" s="1"/>
  <c r="F109" i="10" s="1"/>
  <c r="S108" i="10"/>
  <c r="Q108" i="10"/>
  <c r="C109" i="10" l="1"/>
  <c r="R109" i="10"/>
  <c r="N109" i="10"/>
  <c r="H109" i="10"/>
  <c r="P109" i="10" l="1"/>
  <c r="D109" i="10"/>
  <c r="J110" i="10"/>
  <c r="K110" i="10" s="1"/>
  <c r="E110" i="10" s="1"/>
  <c r="F110" i="10" s="1"/>
  <c r="M110" i="10"/>
  <c r="H110" i="10" s="1"/>
  <c r="G109" i="10"/>
  <c r="D110" i="10" l="1"/>
  <c r="P110" i="10"/>
  <c r="C110" i="10"/>
  <c r="R110" i="10"/>
  <c r="N110" i="10"/>
  <c r="Q109" i="10"/>
  <c r="S109" i="10"/>
  <c r="M111" i="10" l="1"/>
  <c r="G110" i="10"/>
  <c r="J111" i="10"/>
  <c r="K111" i="10" s="1"/>
  <c r="E111" i="10" s="1"/>
  <c r="F111" i="10" s="1"/>
  <c r="S110" i="10"/>
  <c r="Q110" i="10"/>
  <c r="C111" i="10" l="1"/>
  <c r="R111" i="10"/>
  <c r="N111" i="10"/>
  <c r="H111" i="10"/>
  <c r="P111" i="10" l="1"/>
  <c r="D111" i="10"/>
  <c r="J112" i="10"/>
  <c r="K112" i="10" s="1"/>
  <c r="E112" i="10" s="1"/>
  <c r="F112" i="10" s="1"/>
  <c r="M112" i="10"/>
  <c r="H112" i="10" s="1"/>
  <c r="G111" i="10"/>
  <c r="P112" i="10" l="1"/>
  <c r="D112" i="10"/>
  <c r="C112" i="10"/>
  <c r="R112" i="10"/>
  <c r="N112" i="10"/>
  <c r="Q111" i="10"/>
  <c r="S111" i="10"/>
  <c r="M113" i="10" l="1"/>
  <c r="G112" i="10"/>
  <c r="J113" i="10"/>
  <c r="K113" i="10" s="1"/>
  <c r="E113" i="10" s="1"/>
  <c r="F113" i="10" s="1"/>
  <c r="S112" i="10"/>
  <c r="Q112" i="10"/>
  <c r="C113" i="10" l="1"/>
  <c r="N113" i="10"/>
  <c r="R113" i="10"/>
  <c r="H113" i="10"/>
  <c r="P113" i="10" l="1"/>
  <c r="D113" i="10"/>
  <c r="J114" i="10"/>
  <c r="K114" i="10" s="1"/>
  <c r="E114" i="10" s="1"/>
  <c r="F114" i="10" s="1"/>
  <c r="M114" i="10"/>
  <c r="H114" i="10" s="1"/>
  <c r="G113" i="10"/>
  <c r="D114" i="10" l="1"/>
  <c r="P114" i="10"/>
  <c r="C114" i="10"/>
  <c r="R114" i="10"/>
  <c r="N114" i="10"/>
  <c r="Q113" i="10"/>
  <c r="S113" i="10"/>
  <c r="M115" i="10" l="1"/>
  <c r="G114" i="10"/>
  <c r="J115" i="10"/>
  <c r="K115" i="10" s="1"/>
  <c r="E115" i="10" s="1"/>
  <c r="F115" i="10" s="1"/>
  <c r="S114" i="10"/>
  <c r="Q114" i="10"/>
  <c r="C115" i="10" l="1"/>
  <c r="R115" i="10"/>
  <c r="N115" i="10"/>
  <c r="H115" i="10"/>
  <c r="P115" i="10" l="1"/>
  <c r="D115" i="10"/>
  <c r="J116" i="10"/>
  <c r="K116" i="10" s="1"/>
  <c r="E116" i="10" s="1"/>
  <c r="F116" i="10" s="1"/>
  <c r="M116" i="10"/>
  <c r="G115" i="10"/>
  <c r="R116" i="10" l="1"/>
  <c r="N116" i="10"/>
  <c r="C116" i="10"/>
  <c r="H116" i="10"/>
  <c r="Q115" i="10"/>
  <c r="S115" i="10"/>
  <c r="D116" i="10" l="1"/>
  <c r="P116" i="10"/>
  <c r="M117" i="10"/>
  <c r="G116" i="10"/>
  <c r="J117" i="10"/>
  <c r="K117" i="10" s="1"/>
  <c r="E117" i="10" s="1"/>
  <c r="F117" i="10" s="1"/>
  <c r="R117" i="10" l="1"/>
  <c r="N117" i="10"/>
  <c r="S116" i="10"/>
  <c r="Q116" i="10"/>
  <c r="C117" i="10"/>
  <c r="H117" i="10"/>
  <c r="J118" i="10" l="1"/>
  <c r="K118" i="10" s="1"/>
  <c r="E118" i="10" s="1"/>
  <c r="F118" i="10" s="1"/>
  <c r="M118" i="10"/>
  <c r="G117" i="10"/>
  <c r="P117" i="10"/>
  <c r="D117" i="10"/>
  <c r="R118" i="10" l="1"/>
  <c r="N118" i="10"/>
  <c r="H118" i="10"/>
  <c r="Q117" i="10"/>
  <c r="S117" i="10"/>
  <c r="C118" i="10"/>
  <c r="M119" i="10" l="1"/>
  <c r="H119" i="10" s="1"/>
  <c r="G118" i="10"/>
  <c r="J119" i="10"/>
  <c r="K119" i="10" s="1"/>
  <c r="E119" i="10" s="1"/>
  <c r="F119" i="10" s="1"/>
  <c r="D118" i="10"/>
  <c r="P118" i="10"/>
  <c r="S118" i="10" l="1"/>
  <c r="Q118" i="10"/>
  <c r="C119" i="10"/>
  <c r="P119" i="10"/>
  <c r="D119" i="10"/>
  <c r="R119" i="10"/>
  <c r="N119" i="10"/>
  <c r="Q119" i="10" l="1"/>
  <c r="S119" i="10"/>
  <c r="J120" i="10"/>
  <c r="K120" i="10" s="1"/>
  <c r="E120" i="10" s="1"/>
  <c r="F120" i="10" s="1"/>
  <c r="M120" i="10"/>
  <c r="G119" i="10"/>
  <c r="R120" i="10" l="1"/>
  <c r="N120" i="10"/>
  <c r="H120" i="10"/>
  <c r="C120" i="10"/>
  <c r="G120" i="10" s="1"/>
  <c r="P120" i="10" l="1"/>
  <c r="D120" i="10"/>
  <c r="S120" i="10" l="1"/>
  <c r="Q120" i="10"/>
</calcChain>
</file>

<file path=xl/sharedStrings.xml><?xml version="1.0" encoding="utf-8"?>
<sst xmlns="http://schemas.openxmlformats.org/spreadsheetml/2006/main" count="522" uniqueCount="373">
  <si>
    <t>Wind Speed Information</t>
  </si>
  <si>
    <t>Forest CO2 Summary</t>
  </si>
  <si>
    <t>m/s</t>
  </si>
  <si>
    <t>CO2 Values</t>
  </si>
  <si>
    <t>Carbon from coal to make electricity (kg/kWh)</t>
  </si>
  <si>
    <t>http://www.iti.gov.nt.ca/publications/2013/energy/2012_WIND_ENERGY_RESOURCES_V2.pdf</t>
  </si>
  <si>
    <t>See bottom half of spreadsheet for derivation</t>
  </si>
  <si>
    <t>CO2 from producing tar sands (tons per barrel of oil)</t>
  </si>
  <si>
    <t>http://www.forestecologynetwork.org/climate_change/sequestration_facts.html</t>
  </si>
  <si>
    <t>(tonnes/m^2)</t>
  </si>
  <si>
    <t xml:space="preserve">     Edit History</t>
  </si>
  <si>
    <t>Name</t>
  </si>
  <si>
    <t>tonnes/km^2</t>
  </si>
  <si>
    <t>http://oilprice.com/Energy/Energy-General/Keystone-XLs-Miniscule-CO2-Impact-and-the-Bigger-Picture.html</t>
  </si>
  <si>
    <t>http://www.scientificamerican.com/article.cfm?id=tar-sands-and-keystone-xl-pipeline-impact-on-global-warming</t>
  </si>
  <si>
    <t>CO2 from burning oil (tonnes per barrel oil)</t>
  </si>
  <si>
    <t>http://www.epa.gov/cleanenergy/energy-resources/refs.html</t>
  </si>
  <si>
    <t>Dave's Alberta CO2 Average (kg/kWh) (see sheet Alberta Electricity)</t>
  </si>
  <si>
    <t>mph</t>
  </si>
  <si>
    <t>Can wind turbines or PV cells on reclaimed tar sands land offset the CO2 created by mining and using the oil sands oil?</t>
  </si>
  <si>
    <t xml:space="preserve">Written by Prof. Alexander H Slocum, Massachusetts Institute of Technology </t>
  </si>
  <si>
    <t>Date Started: June 2013</t>
  </si>
  <si>
    <t>If edited please enter info on "edit history" worksheet</t>
  </si>
  <si>
    <t>Enter data in BOLD, calculated output in RED</t>
  </si>
  <si>
    <t>Motivation</t>
  </si>
  <si>
    <t>Previous value Carbon from coal to make electricity (kg/kWh)</t>
  </si>
  <si>
    <t xml:space="preserve">  Development Plan Solar</t>
  </si>
  <si>
    <t>Wind Development Plan</t>
  </si>
  <si>
    <t>How much carbon dioxide (CO2) is produced per kilowatt-hour when generating electricity with fossil fuels?</t>
  </si>
  <si>
    <t>millions barrels oil per year recovered from tar sands</t>
  </si>
  <si>
    <t>Alberta Electricity Profile</t>
  </si>
  <si>
    <t>Generation in 2012</t>
  </si>
  <si>
    <t>Additional Solar Graphs</t>
  </si>
  <si>
    <t>Date</t>
  </si>
  <si>
    <t>CO2 Offset with different investments and $0.05/kWh reinvestment</t>
  </si>
  <si>
    <t>Calculation of the solar PV energy ouput of a photovoltaic system</t>
  </si>
  <si>
    <t>Gigawatt hour (GWh)**</t>
  </si>
  <si>
    <t>Direct CO2 EmissionRate (kg/kWh)</t>
  </si>
  <si>
    <t>$ per barrell of oil to be invested on wind farm on site</t>
  </si>
  <si>
    <t xml:space="preserve">You can calculate the amount of CO2 produced per kWh for specific fuels and specific types of generators by multiplying the CO2 emissions factor for the fuel (in pounds of CO2 per million Btu) </t>
  </si>
  <si>
    <t>by the heat rate of a generator (in Btu per kWh generated), and dividing the result by 1,000,000. </t>
  </si>
  <si>
    <t>For example, here are the number of pounds of CO2 produced by a steam-electric generator for different fuels using that formula and the average heat rates for steam-electric generators in 2011:</t>
  </si>
  <si>
    <t>Fuel</t>
  </si>
  <si>
    <t>Lbs of CO2 per Million Btu</t>
  </si>
  <si>
    <t>source  http://en.wikipedia.org/wiki/Oil_sands</t>
  </si>
  <si>
    <t>CO2 Offset with different investments and $0.07/kWh reinvestment</t>
  </si>
  <si>
    <t>Year</t>
  </si>
  <si>
    <t>Yelow cell = Enter your own data</t>
  </si>
  <si>
    <t>$10/bbl Investment</t>
  </si>
  <si>
    <t>$15/bbl Investment</t>
  </si>
  <si>
    <t>$20/bbl Investment</t>
  </si>
  <si>
    <t>$25/bbl Investment</t>
  </si>
  <si>
    <t>$30/bbl Investment</t>
  </si>
  <si>
    <t>Daily Hours of Daylight and Twilight</t>
  </si>
  <si>
    <t>Source: https://weatherspark.com/averages/28151/Fort-McMurray-Alberta-Canada</t>
  </si>
  <si>
    <t>White cell = Calculated value (do not change the value)</t>
  </si>
  <si>
    <t>Source:  http://www.cenovus.com/operations/docs/foster-creek/phase-j/appendix-3-2C.pdf</t>
  </si>
  <si>
    <t>Heat Rate (Btu per kWh) </t>
  </si>
  <si>
    <t>Lbs CO2 per kWh</t>
  </si>
  <si>
    <t>Coal</t>
  </si>
  <si>
    <t>X%</t>
  </si>
  <si>
    <t>If price per barrel is 100, X% = 20/100 = 20%</t>
  </si>
  <si>
    <t>Annual amount to be spent (Billions)</t>
  </si>
  <si>
    <t>Direct CO2 Emissions Total (kg CO2)</t>
  </si>
  <si>
    <t xml:space="preserve">Maps From </t>
  </si>
  <si>
    <t>$/kWhr for reinvestment in purchasing more wind turbines</t>
  </si>
  <si>
    <t>Wind energy: if all the money were spent on wind energy:</t>
  </si>
  <si>
    <t>Assumed cost of wind ($/W) in this location (include transmission)</t>
  </si>
  <si>
    <t>Yelow cell = enter your own data</t>
  </si>
  <si>
    <t>Modification</t>
  </si>
  <si>
    <t>Alex Slocum</t>
  </si>
  <si>
    <t>White cell = calculated value (do not change the value)</t>
  </si>
  <si>
    <t>Global formula :</t>
  </si>
  <si>
    <t>Nameplate (peak power) size of wind turbine (MW)</t>
  </si>
  <si>
    <t xml:space="preserve">cost per wind turbine installed </t>
  </si>
  <si>
    <t>http://www.energy.alberta.ca/Org/pdfs/Alberta_Energy_Overview.pdf</t>
  </si>
  <si>
    <t>    Coal</t>
  </si>
  <si>
    <t>  Bituminous</t>
  </si>
  <si>
    <t>Alberta Oil Sands</t>
  </si>
  <si>
    <t xml:space="preserve">   Technical Assumptions: </t>
  </si>
  <si>
    <t xml:space="preserve">    Technical Assumptions:</t>
  </si>
  <si>
    <t xml:space="preserve">  Life expectancy of a Wind Turbine (yrs)</t>
  </si>
  <si>
    <t>  Sub-bituminous</t>
  </si>
  <si>
    <t>  Lignite</t>
  </si>
  <si>
    <t>Natural gas</t>
  </si>
  <si>
    <t>Distillate Oil (No. 2)</t>
  </si>
  <si>
    <t>Residual Oil (No. 6)</t>
  </si>
  <si>
    <t>number of wind turbines per year to be installed</t>
  </si>
  <si>
    <t>Number of automobiles manufactured equivalent to 1 wind turbine</t>
  </si>
  <si>
    <t>E = A * r * H * PR</t>
  </si>
  <si>
    <t>2013.06.27</t>
  </si>
  <si>
    <t>added development plan worksheet</t>
  </si>
  <si>
    <t>2013.09.13</t>
  </si>
  <si>
    <t>format columns review numbers</t>
  </si>
  <si>
    <t>Santiago Paiva</t>
  </si>
  <si>
    <t>2014.03.13</t>
  </si>
  <si>
    <t xml:space="preserve">Alberta tar sands land area (km^2) to 140,200 </t>
  </si>
  <si>
    <t>Wind Turbine Peak Power to 7 MW</t>
  </si>
  <si>
    <t>Wind Turbine Capacity Factor to 40.35%</t>
  </si>
  <si>
    <t>PV cell efficiency to 15%</t>
  </si>
  <si>
    <t>Insolation values for Fort McMurray Area: 1388.89 in January and 6250 in June</t>
  </si>
  <si>
    <t>CO2 from producing tar sands (tons per barrel of oil) to 0.071</t>
  </si>
  <si>
    <t>Oil produced (million barrels per year) to 693.5</t>
  </si>
  <si>
    <t>2014.03.17</t>
  </si>
  <si>
    <t>Wind Turbine Peak Power back to 5 MW</t>
  </si>
  <si>
    <t>Added solar insolation graph in the Solar tab</t>
  </si>
  <si>
    <t>Added peak power for solar cells 1.3 kW in Alberta in Summary tab</t>
  </si>
  <si>
    <t>Added land area per solar pannel (The general dimension is 1600mm x 1020mm = 0.0016 km^2) in Summary Tab</t>
  </si>
  <si>
    <t>E = Energy   (kWh/year)</t>
  </si>
  <si>
    <t>Added number of solar pannels to be built for land area in Summary tab</t>
  </si>
  <si>
    <t>Added Wind Graphs &amp; Solar graphs sheets</t>
  </si>
  <si>
    <t>2014.03.21</t>
  </si>
  <si>
    <t>cost per solar "cell" of 38k too high… does not make sense….. Base it all on cost per Watt as I did originally.  INSTALLED (cell plus cabling plus inverter….) is about $4/watt (and coming down)</t>
  </si>
  <si>
    <t>David Taylor</t>
  </si>
  <si>
    <t>2014.03.22</t>
  </si>
  <si>
    <t>Added Data for Alberta Electricty profile</t>
  </si>
  <si>
    <t>2014.03.23</t>
  </si>
  <si>
    <t>Hided development plan (wind) tab and kept Dave's DT Adjusted Dev Plan (wind) tab</t>
  </si>
  <si>
    <t>Updated Wind Graphs tab with new percentage values</t>
  </si>
  <si>
    <t>Added life expectancy of solar pv cell (around 25 years) in development plan (solar) tab</t>
  </si>
  <si>
    <t>Removed solar cell price of 38K to $4/Watt</t>
  </si>
  <si>
    <t>Modified peak power of solar panel to 1.41 kW (Edmonton value)</t>
  </si>
  <si>
    <t>Modified land area per solar panel to 8.3 acres per MW</t>
  </si>
  <si>
    <t>Updated Solar Graphs tab with new percentages values</t>
  </si>
  <si>
    <t>2014.03.24</t>
  </si>
  <si>
    <t>Updated Wind Graphs tab</t>
  </si>
  <si>
    <t>Updated Solar Graphs tab</t>
  </si>
  <si>
    <t>2014.03.25</t>
  </si>
  <si>
    <t>Added average 24/7 solar insolation April (Wh/m^2/day) in Summary tab</t>
  </si>
  <si>
    <t>Added nominal power of the solar cell in Summary tab</t>
  </si>
  <si>
    <t>2014.03.27</t>
  </si>
  <si>
    <t>Removed nomial powerin Summary tab</t>
  </si>
  <si>
    <t>Changed percent land area covered by PV cells to 15% (formerly 10%)</t>
  </si>
  <si>
    <t>2014.03.31</t>
  </si>
  <si>
    <t>Used Offsets to make life expectancy math dynamic</t>
  </si>
  <si>
    <t>2014.04.01</t>
  </si>
  <si>
    <t>Major revision of wind tab. Decomissioning now works dynamically!</t>
  </si>
  <si>
    <t>Decomissioning in Solar now works too!</t>
  </si>
  <si>
    <t>Calculated % of electricity supply in wind</t>
  </si>
  <si>
    <t>2014.04.05</t>
  </si>
  <si>
    <t>Changed name of "peak power of solar cell (MW)" to "Nominal Power" in Summary tab</t>
  </si>
  <si>
    <t>Added "average 24/7 solar insolation April (kWh/m^2/year)" in Summary tab</t>
  </si>
  <si>
    <t>Added "PV Output" tab to calculate "Nominal Power" in Summary tab</t>
  </si>
  <si>
    <t>Added some formatting to some tabs to look better!</t>
  </si>
  <si>
    <t>2014.04.06</t>
  </si>
  <si>
    <t>Added different graphs in "Wind Graphs" tab</t>
  </si>
  <si>
    <t>Deleted "Land Area Per Solar Panel" in Summary Tab</t>
  </si>
  <si>
    <t>Added calculation for number of panels to build in the "Summary" tab</t>
  </si>
  <si>
    <t>Added graph of daily sun hours in the "Solar" tab</t>
  </si>
  <si>
    <t>Modifed Solar Graphs in "Solar Graphs" tab</t>
  </si>
  <si>
    <t>2014.04.07</t>
  </si>
  <si>
    <t>Added % addition to Canada's electricity generation to both wind and solar</t>
  </si>
  <si>
    <t>Fixed solar column J to be 365 days/year</t>
  </si>
  <si>
    <t>Fixed inconsistency between solar summary and solar development plan, by moving to a $ -&gt; panels -&gt; MW -&gt; savings logic. ATTN! Still need to figure out what W it is for the cost of $4/W...</t>
  </si>
  <si>
    <t>Went through the spreadsheet for solar in detail and made the conversion to panels (by citing cost/m^2 of solar, but then defining panel size and rated power per panel</t>
  </si>
  <si>
    <t>2014.04.08</t>
  </si>
  <si>
    <t>Fixed percentage values in the "Wind Graphs", values are now accurate</t>
  </si>
  <si>
    <t>    Natural Gas</t>
  </si>
  <si>
    <t>year</t>
  </si>
  <si>
    <t>    Hydro</t>
  </si>
  <si>
    <t xml:space="preserve">   Life expectancy of a solar cell (yrs)</t>
  </si>
  <si>
    <t>https://www.irena.org/DocumentDownloads/Publications/RE_Technologies_Cost_Analysis-WIND_POWER.pdf</t>
  </si>
  <si>
    <t>Alberta Oil sands land area (km^2)</t>
  </si>
  <si>
    <t>http://www.seia.org/policy/environment/pv-recycling</t>
  </si>
  <si>
    <t>Last updated: March 11, 2014</t>
  </si>
  <si>
    <t>By Source Type (US Country Avg.s from EPA)</t>
  </si>
  <si>
    <t>lbs/MWh</t>
  </si>
  <si>
    <t>kg/kWh</t>
  </si>
  <si>
    <t>http://www.epa.gov/cleanenergy/energy-and-you/affect/air-emissions.html</t>
  </si>
  <si>
    <t>Nat Gas</t>
  </si>
  <si>
    <t>    Wind</t>
  </si>
  <si>
    <t>    Biomass</t>
  </si>
  <si>
    <t>total number of installed wind turbines</t>
  </si>
  <si>
    <t>cumulative ratio carbon saved/carbon burned</t>
  </si>
  <si>
    <t>number of wind turbines purchased</t>
  </si>
  <si>
    <t>Millions of autos equivelant</t>
  </si>
  <si>
    <t>% of total wind turbines to be built</t>
  </si>
  <si>
    <t>cumulative carbon saved</t>
  </si>
  <si>
    <t>cumulative carbon burned (MT)</t>
  </si>
  <si>
    <t>value of wind produced in previous year reinvested (million $)</t>
  </si>
  <si>
    <t>Billions to be spent on wind turbine acquisition next year</t>
  </si>
  <si>
    <t>    Others*</t>
  </si>
  <si>
    <t>Oil</t>
  </si>
  <si>
    <t>Biomass</t>
  </si>
  <si>
    <t>debatable, but EPA site gives no #</t>
  </si>
  <si>
    <t>Conversion Factors</t>
  </si>
  <si>
    <t>1lbs=?kgs</t>
  </si>
  <si>
    <t>kWh/an</t>
  </si>
  <si>
    <t>    Total</t>
  </si>
  <si>
    <t xml:space="preserve">   Millions barrels oil per year recovered from oil sands</t>
  </si>
  <si>
    <t>Source</t>
  </si>
  <si>
    <t>http://www.energy.alberta.ca/Electricity/682.asp</t>
  </si>
  <si>
    <t xml:space="preserve">  Millions barrels oil per year recovered from tar sands</t>
  </si>
  <si>
    <t>See Carbon sheet</t>
  </si>
  <si>
    <t>Therefore Province Wide Average CO2/kWh</t>
  </si>
  <si>
    <t>http://www.energy.alberta.ca/oilsands/791.asp</t>
  </si>
  <si>
    <t>Carbon in the forest (billions of tonnes)</t>
  </si>
  <si>
    <t>Capacity</t>
  </si>
  <si>
    <t>Generating Capacity</t>
  </si>
  <si>
    <t>Megawatt (MW)</t>
  </si>
  <si>
    <t>    Gas</t>
  </si>
  <si>
    <t>    Waste Heat* </t>
  </si>
  <si>
    <t>    Fuel Oil</t>
  </si>
  <si>
    <t>    Subtotal</t>
  </si>
  <si>
    <t>Interconnections Capacity</t>
  </si>
  <si>
    <t xml:space="preserve">   $ per barrell of oil to be invested on solar farm on site</t>
  </si>
  <si>
    <t>A = Total solar panel Area  (m²)</t>
  </si>
  <si>
    <t>m²</t>
  </si>
  <si>
    <t>r = solar panel yield (%)</t>
  </si>
  <si>
    <t>H = Annual average irradiation on tilted panels (shadings not included)*</t>
  </si>
  <si>
    <t xml:space="preserve">   $ per barrell of oil to be invested on wind farm on site</t>
  </si>
  <si>
    <t>    British Columbia</t>
  </si>
  <si>
    <t>    Saskatchewan</t>
  </si>
  <si>
    <t>CO2 Saved from Electricity by Wind Power Installed on Oil Sands Land</t>
  </si>
  <si>
    <t>Turbine size, peak power (MW)</t>
  </si>
  <si>
    <t>http://www.power-technology.com/features/featurethe-worlds-biggest-wind-turbines-4154395/</t>
  </si>
  <si>
    <t xml:space="preserve">   Annual amount to be spent (Billions)</t>
  </si>
  <si>
    <t>kWh/m².an</t>
  </si>
  <si>
    <t>PR = Performance ratio, coefficient for losses  (range between 0.9 and 0.5, default value =  0.75)</t>
  </si>
  <si>
    <t xml:space="preserve">   $/kWhr for reinvestment in purchasing more solar cells</t>
  </si>
  <si>
    <t xml:space="preserve">   Solar energy: if all the money were spent on solar energy:</t>
  </si>
  <si>
    <t>Avg 24/7/365 Power</t>
  </si>
  <si>
    <t>Capacity factor</t>
  </si>
  <si>
    <t>http://cleantechnica.com/2012/07/27/wind-turbine-net-capacity-factor-50-the-new-normal/</t>
  </si>
  <si>
    <t xml:space="preserve">  Annual amount to be spent </t>
  </si>
  <si>
    <t>Land area per turbine (km^2)</t>
  </si>
  <si>
    <t>Percent land area for wind turbines</t>
  </si>
  <si>
    <t>Area of wind farm (km^2)</t>
  </si>
  <si>
    <t>Grand Total</t>
  </si>
  <si>
    <t>Assumed installed cost of solar ($/W) based on peak performance of panel</t>
  </si>
  <si>
    <t xml:space="preserve"> (Square Miles)</t>
  </si>
  <si>
    <t xml:space="preserve">  $/kWhr for reinvestment in purchasing more wind turbines</t>
  </si>
  <si>
    <t xml:space="preserve">   Wind energy: if all the money were spent on wind energy:</t>
  </si>
  <si>
    <t xml:space="preserve">Cost per wind turbine installed </t>
  </si>
  <si>
    <t>Square Size (Miles x Miles)</t>
  </si>
  <si>
    <t>GW</t>
  </si>
  <si>
    <t>Number of turbines to be built for land area</t>
  </si>
  <si>
    <t>Average power generated (GW)</t>
  </si>
  <si>
    <t>Average annual energy produced (TWhr)</t>
  </si>
  <si>
    <t>Losses details (depend of site, technology, and sizing of the system)</t>
  </si>
  <si>
    <t>CO2/MW saved by not burning coal to produce energy generated by wind (tonnes/year/MW)</t>
  </si>
  <si>
    <t>Number of wind turbines per year to be installed</t>
  </si>
  <si>
    <t>CO2 saved by not burning coal to produce energy generated by wind (magatonnes/year)</t>
  </si>
  <si>
    <t xml:space="preserve">Canada Generation Capaticy </t>
  </si>
  <si>
    <t>http://en.wikipedia.org/wiki/Electricity_sector_in_Canada#Nameplate_capacity</t>
  </si>
  <si>
    <t>Type</t>
  </si>
  <si>
    <t>-</t>
  </si>
  <si>
    <t>Solar Panel power (peak W)</t>
  </si>
  <si>
    <t>Inverter losses (6% to 15 %)</t>
  </si>
  <si>
    <t>Température losses (5% to 15%)</t>
  </si>
  <si>
    <t>DC cables losses (1 to 3 %)</t>
  </si>
  <si>
    <t>AC cables losses (1 to 3 %)</t>
  </si>
  <si>
    <t>Shadings  0 % to 40% (depends of site)</t>
  </si>
  <si>
    <t>Losses weak irradiation 3% yo 7%</t>
  </si>
  <si>
    <t>Losses due to dust, snow... (2%)</t>
  </si>
  <si>
    <t>Other Losses</t>
  </si>
  <si>
    <t>Canada</t>
  </si>
  <si>
    <t>NL</t>
  </si>
  <si>
    <t>PE</t>
  </si>
  <si>
    <t>NS</t>
  </si>
  <si>
    <t>NB</t>
  </si>
  <si>
    <t>QC</t>
  </si>
  <si>
    <t>ON</t>
  </si>
  <si>
    <t>MB</t>
  </si>
  <si>
    <t>SK</t>
  </si>
  <si>
    <t>AB</t>
  </si>
  <si>
    <t>BC</t>
  </si>
  <si>
    <t>YT</t>
  </si>
  <si>
    <t>NT</t>
  </si>
  <si>
    <t>NU</t>
  </si>
  <si>
    <t>These cells check the self consistency of the spreadsheet</t>
  </si>
  <si>
    <t>MW</t>
  </si>
  <si>
    <t>Total number of installed wind turbines</t>
  </si>
  <si>
    <t>Cumulative ratio carbon saved/carbon burned</t>
  </si>
  <si>
    <t>Number of wind turbines purchased</t>
  </si>
  <si>
    <t>Cumulative carbon saved (MT)</t>
  </si>
  <si>
    <t xml:space="preserve"> Cumulative Carbon from oil sands (vs. conventional) (MT)</t>
  </si>
  <si>
    <t>Cumulative Carbon from oil end use (MT)</t>
  </si>
  <si>
    <t>Cumulative carbon burned (MT)</t>
  </si>
  <si>
    <t>Value of wind produced in previous year reinvested $</t>
  </si>
  <si>
    <t>$ to be spent on wind turbine acquisition next year</t>
  </si>
  <si>
    <t xml:space="preserve">Decomissioned Turbines </t>
  </si>
  <si>
    <t>Marginal carbon offset ratio</t>
  </si>
  <si>
    <t>Total Installed Capacity (MW)</t>
  </si>
  <si>
    <t>Power Generated (MW)</t>
  </si>
  <si>
    <t>Percentage of System in Wind</t>
  </si>
  <si>
    <t>Percentage addition to Canada's electricity generation</t>
  </si>
  <si>
    <t>carbon burned this year (MT)</t>
  </si>
  <si>
    <t>carbon saved this year (MT)</t>
  </si>
  <si>
    <t>MT/GW</t>
  </si>
  <si>
    <t>Savings (T/turbune)</t>
  </si>
  <si>
    <t>Solar Panel effective 24/7 power (W)</t>
  </si>
  <si>
    <t xml:space="preserve">Cost per solar panel installed </t>
  </si>
  <si>
    <t>Number of solar panels per year to be installed</t>
  </si>
  <si>
    <t>Number of automobiles manufactured equivalent to 1 solar cell</t>
  </si>
  <si>
    <t>Hydro</t>
  </si>
  <si>
    <t>CO2 from Oil sands production and oil use</t>
  </si>
  <si>
    <t>Wind</t>
  </si>
  <si>
    <t>Tidal</t>
  </si>
  <si>
    <t>Solar</t>
  </si>
  <si>
    <t>Thermal</t>
  </si>
  <si>
    <t>Conventional Steam</t>
  </si>
  <si>
    <t>Nuclear</t>
  </si>
  <si>
    <t>0[a]</t>
  </si>
  <si>
    <t>Total number of installed solar panels</t>
  </si>
  <si>
    <t>Number of solar panels purchased</t>
  </si>
  <si>
    <t>% of total solar panels to be built</t>
  </si>
  <si>
    <t>Cumulative carbon saved</t>
  </si>
  <si>
    <t>675[b]</t>
  </si>
  <si>
    <t>Value of solar energy produced in previous year reinvested (million $)</t>
  </si>
  <si>
    <t>Billions to be spent on solar cells acquisition next year</t>
  </si>
  <si>
    <t xml:space="preserve">Decomissioned Panels </t>
  </si>
  <si>
    <t>Generation Potential (MW)</t>
  </si>
  <si>
    <t>Combustion turbine</t>
  </si>
  <si>
    <t>Internal combustion</t>
  </si>
  <si>
    <t>Total installed capacity</t>
  </si>
  <si>
    <t>Oil produced (million barrels per year)</t>
  </si>
  <si>
    <t>% addition to canada</t>
  </si>
  <si>
    <t>Carbon burned this year</t>
  </si>
  <si>
    <t>Carbon saved this year</t>
  </si>
  <si>
    <t>Watts/ cell</t>
  </si>
  <si>
    <t>Savings per panel (T)</t>
  </si>
  <si>
    <t>http://oilsands.alberta.ca/resource.html</t>
  </si>
  <si>
    <t>CO2 to produce the oil (megatonnes/year)</t>
  </si>
  <si>
    <t>CO2 from oil use (megatonnes/year)</t>
  </si>
  <si>
    <t>Total CO2 per year from tar sands (megatonnes/year)</t>
  </si>
  <si>
    <t>CO2 Saved from Electricity by Solar PV Cells Installed on Oil Sands Land</t>
  </si>
  <si>
    <t xml:space="preserve">   Total average annual power of the system - Nominal Power (GW)</t>
  </si>
  <si>
    <t xml:space="preserve">   Average Nominal Power (GWh/Year)</t>
  </si>
  <si>
    <t xml:space="preserve">   Average Nominal Power (GWh/Day)</t>
  </si>
  <si>
    <t xml:space="preserve">   Average Nominal Power (GW) per daylight hour</t>
  </si>
  <si>
    <t>Note per daylight hour</t>
  </si>
  <si>
    <t xml:space="preserve">   Average Nominal Power (GW) per day</t>
  </si>
  <si>
    <t>Note per day (so would assume storage, or for opurposes of powering heaters</t>
  </si>
  <si>
    <t xml:space="preserve">   Average Number of Daily hours with 100% Full Sun Level </t>
  </si>
  <si>
    <t>June</t>
  </si>
  <si>
    <t>https://weatherspark.com/averages/28151/Fort-McMurray-Alberta-Canada</t>
  </si>
  <si>
    <t>January</t>
  </si>
  <si>
    <t>Solar insolation at which panel power is rated (W/m^2)</t>
  </si>
  <si>
    <t>Solar panel peak output (W)</t>
  </si>
  <si>
    <t>Solar panel 24/7 average power for panels installed in Alberta (W)</t>
  </si>
  <si>
    <t>(MW)</t>
  </si>
  <si>
    <t>Area of solar panel (m^2)</t>
  </si>
  <si>
    <t>Percent land area assumed covered by PV fields</t>
  </si>
  <si>
    <t>Area of PV farm (km^2)</t>
  </si>
  <si>
    <t>Square size (km x km)</t>
  </si>
  <si>
    <t>Ideal power potential calculations</t>
  </si>
  <si>
    <t>Area to be covered by solar panels (m^2)</t>
  </si>
  <si>
    <t>Number of solar pannels to be installed for land area</t>
  </si>
  <si>
    <t>Density of coverage on land designated for PV fields</t>
  </si>
  <si>
    <t>PV efficiency</t>
  </si>
  <si>
    <t>http://www.forbes.com/sites/peterdetwiler/2013/07/16/as-solar-panel-efficiencies-keep-improving-its-time-to-adopt-some-new-metrics/</t>
  </si>
  <si>
    <t>PR = Performance ratio, coefficient for losses</t>
  </si>
  <si>
    <t>Net PV cell efficiency</t>
  </si>
  <si>
    <t>Average 24/7 solar insolation (W/m^2)</t>
  </si>
  <si>
    <t>Average 24/7 solar insolation (kWh/m^2/year)</t>
  </si>
  <si>
    <t>http://www.cenovus.com/operations/docs/foster-creek/phase-j/appendix-3-2C.pdf</t>
  </si>
  <si>
    <t>Average power (assumes 24/7 operation made possible with storage technology) (GW)</t>
  </si>
  <si>
    <t>This was the old value</t>
  </si>
  <si>
    <t>Average</t>
  </si>
  <si>
    <t>CO2 saved by not burning coal to produce energy generated by solar (magatonnes/year)</t>
  </si>
  <si>
    <t xml:space="preserve">This is an estimated conversion </t>
  </si>
  <si>
    <t>Average Solar Energy Insoluation (MJ/m^2/day)</t>
  </si>
  <si>
    <t>Average Solar Energy Insoluation (kWh/m^2/year)</t>
  </si>
  <si>
    <t>These are the numbers we had before and they dio NOT jive with the plots in the workbook tab "Solar", so I instead used the more conservative values from the plot</t>
  </si>
  <si>
    <t>$5/bbl Investment</t>
  </si>
  <si>
    <t>Wind Graphs</t>
  </si>
  <si>
    <r>
      <t xml:space="preserve">Email: </t>
    </r>
    <r>
      <rPr>
        <u/>
        <sz val="11"/>
        <color rgb="FF000000"/>
        <rFont val="Calibri"/>
        <family val="2"/>
      </rPr>
      <t>slocum@mit.edu</t>
    </r>
  </si>
  <si>
    <t>2015.03.20</t>
  </si>
  <si>
    <t>Fixed Exel layout formatting</t>
  </si>
  <si>
    <t>Added 5$/bbl graphs for Wind and for Solar</t>
  </si>
  <si>
    <t xml:space="preserve">  Summary </t>
  </si>
  <si>
    <t>Carbon in northern forest (tonnes/acre)</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</si>
</sst>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164" formatCode="0.0"/>
    <numFmt numFmtId="165" formatCode="_(&quot;$&quot;* #,##0.00_);_(&quot;$&quot;* \(#,##0.00\);_(&quot;$&quot;* &quot;-&quot;??_);_(@_)"/>
    <numFmt numFmtId="166" formatCode="_(&quot;$&quot;* #,##0_);_(&quot;$&quot;* \(#,##0\);_(&quot;$&quot;* &quot;-&quot;??_);_(@_)"/>
    <numFmt numFmtId="167" formatCode="0.0%"/>
    <numFmt numFmtId="168" formatCode="_(* #,##0_);_(* \(#,##0\);_(* &quot;-&quot;??_);_(@_)"/>
    <numFmt numFmtId="169" formatCode="&quot;$&quot;#,##0.00"/>
    <numFmt numFmtId="170" formatCode="_(* #,##0.00_);_(* \(#,##0.00\);_(* &quot;-&quot;??_);_(@_)"/>
    <numFmt numFmtId="171" formatCode="0.0000000"/>
    <numFmt numFmtId="172" formatCode="0.00000"/>
    <numFmt numFmtId="173" formatCode="_-* #,##0_-;\-* #,##0_-;_-* &quot;-&quot;??_-;_-@"/>
    <numFmt numFmtId="174" formatCode="_-* #,##0.00_-;\-* #,##0.00_-;_-* &quot;-&quot;??_-;_-@"/>
    <numFmt numFmtId="175" formatCode="_(* #,##0.00000000000000000_);_(* \(#,##0.00000000000000000\);_(* &quot;-&quot;??_);_(@_)"/>
  </numFmts>
  <fonts count="34">
    <font>
      <sz val="10"/>
      <name val="Arial"/>
    </font>
    <font>
      <sz val="11"/>
      <color rgb="FF000000"/>
      <name val="Calibri"/>
    </font>
    <font>
      <b/>
      <sz val="16"/>
      <color rgb="FFFFFFFF"/>
      <name val="Arial"/>
    </font>
    <font>
      <b/>
      <sz val="11"/>
      <color rgb="FF000000"/>
      <name val="Calibri"/>
    </font>
    <font>
      <b/>
      <sz val="11"/>
      <color rgb="FFFF0000"/>
      <name val="Calibri"/>
    </font>
    <font>
      <u/>
      <sz val="11"/>
      <color rgb="FF0000FF"/>
      <name val="Calibri"/>
    </font>
    <font>
      <sz val="11"/>
      <color rgb="FF7F7F7F"/>
      <name val="Calibri"/>
    </font>
    <font>
      <u/>
      <sz val="11"/>
      <color rgb="FF0000FF"/>
      <name val="Calibri"/>
    </font>
    <font>
      <sz val="11"/>
      <color rgb="FFFF0000"/>
      <name val="Calibri"/>
    </font>
    <font>
      <b/>
      <sz val="11"/>
      <color rgb="FFFFFFFF"/>
      <name val="Calibri"/>
    </font>
    <font>
      <b/>
      <sz val="10"/>
      <name val="Arial"/>
    </font>
    <font>
      <sz val="10"/>
      <color rgb="FF00FF00"/>
      <name val="Arial"/>
    </font>
    <font>
      <b/>
      <sz val="11"/>
      <color rgb="FFFFFFFF"/>
      <name val="Arial"/>
    </font>
    <font>
      <sz val="11"/>
      <color rgb="FFFFFFFF"/>
      <name val="Calibri"/>
    </font>
    <font>
      <b/>
      <sz val="11"/>
      <color rgb="FF001E3C"/>
      <name val="Verdana"/>
    </font>
    <font>
      <b/>
      <sz val="10"/>
      <color rgb="FFFFFFFF"/>
      <name val="Arial"/>
    </font>
    <font>
      <b/>
      <sz val="12"/>
      <name val="Arial"/>
    </font>
    <font>
      <b/>
      <sz val="11"/>
      <name val="Calibri"/>
    </font>
    <font>
      <u/>
      <sz val="11"/>
      <color rgb="FF0000FF"/>
      <name val="Calibri"/>
    </font>
    <font>
      <sz val="11"/>
      <name val="Calibri"/>
    </font>
    <font>
      <b/>
      <sz val="10"/>
      <color rgb="FFFF0000"/>
      <name val="Arial"/>
    </font>
    <font>
      <u/>
      <sz val="11"/>
      <color rgb="FF0000FF"/>
      <name val="Calibri"/>
    </font>
    <font>
      <u/>
      <sz val="11"/>
      <color rgb="FF0000FF"/>
      <name val="Calibri"/>
    </font>
    <font>
      <b/>
      <i/>
      <sz val="11"/>
      <color rgb="FF000000"/>
      <name val="Calibri"/>
    </font>
    <font>
      <u/>
      <sz val="11"/>
      <color rgb="FF0000FF"/>
      <name val="Calibri"/>
    </font>
    <font>
      <i/>
      <sz val="11"/>
      <color rgb="FF000000"/>
      <name val="Calibri"/>
    </font>
    <font>
      <sz val="9"/>
      <color rgb="FF4F4F4F"/>
      <name val="Arial"/>
    </font>
    <font>
      <u/>
      <sz val="11"/>
      <color rgb="FF0000FF"/>
      <name val="Calibri"/>
    </font>
    <font>
      <u/>
      <sz val="11"/>
      <color rgb="FF0000FF"/>
      <name val="Calibri"/>
    </font>
    <font>
      <b/>
      <sz val="11"/>
      <color rgb="FF000000"/>
      <name val="Calibri"/>
      <family val="2"/>
    </font>
    <font>
      <b/>
      <sz val="16"/>
      <color rgb="FFFFFFFF"/>
      <name val="Arial"/>
      <family val="2"/>
    </font>
    <font>
      <u/>
      <sz val="11"/>
      <color rgb="FF000000"/>
      <name val="Calibri"/>
      <family val="2"/>
    </font>
    <font>
      <sz val="11"/>
      <color rgb="FF000000"/>
      <name val="Calibri"/>
      <family val="2"/>
    </font>
    <font>
      <b/>
      <sz val="11"/>
      <color rgb="FFFF0000"/>
      <name val="Calibri"/>
      <family val="2"/>
    </font>
  </fonts>
  <fills count="16">
    <fill>
      <patternFill patternType="none"/>
    </fill>
    <fill>
      <patternFill patternType="gray125"/>
    </fill>
    <fill>
      <patternFill patternType="solid">
        <fgColor rgb="FFBFBFBF"/>
        <bgColor rgb="FFBFBFBF"/>
      </patternFill>
    </fill>
    <fill>
      <patternFill patternType="solid">
        <fgColor rgb="FF000000"/>
        <bgColor rgb="FF000000"/>
      </patternFill>
    </fill>
    <fill>
      <patternFill patternType="solid">
        <fgColor rgb="FFFFFFFF"/>
        <bgColor rgb="FFFFFFFF"/>
      </patternFill>
    </fill>
    <fill>
      <patternFill patternType="solid">
        <fgColor rgb="FFFFFF00"/>
        <bgColor rgb="FFFFFF00"/>
      </patternFill>
    </fill>
    <fill>
      <patternFill patternType="solid">
        <fgColor rgb="FF92D050"/>
        <bgColor rgb="FF92D050"/>
      </patternFill>
    </fill>
    <fill>
      <patternFill patternType="solid">
        <fgColor rgb="FFFF6600"/>
        <bgColor rgb="FFFF6600"/>
      </patternFill>
    </fill>
    <fill>
      <patternFill patternType="solid">
        <fgColor theme="1"/>
        <bgColor rgb="FF000000"/>
      </patternFill>
    </fill>
    <fill>
      <patternFill patternType="solid">
        <fgColor theme="0"/>
        <bgColor rgb="FF000000"/>
      </patternFill>
    </fill>
    <fill>
      <patternFill patternType="solid">
        <fgColor theme="0"/>
        <bgColor rgb="FFBFBFBF"/>
      </patternFill>
    </fill>
    <fill>
      <patternFill patternType="solid">
        <fgColor theme="0"/>
        <bgColor indexed="64"/>
      </patternFill>
    </fill>
    <fill>
      <patternFill patternType="solid">
        <fgColor theme="0"/>
        <bgColor rgb="FFFF6600"/>
      </patternFill>
    </fill>
    <fill>
      <patternFill patternType="solid">
        <fgColor theme="0"/>
        <bgColor rgb="FFFFFFFF"/>
      </patternFill>
    </fill>
    <fill>
      <patternFill patternType="solid">
        <fgColor theme="1"/>
        <bgColor indexed="64"/>
      </patternFill>
    </fill>
    <fill>
      <patternFill patternType="solid">
        <fgColor theme="0"/>
        <bgColor rgb="FFC0C0C0"/>
      </patternFill>
    </fill>
  </fills>
  <borders count="44">
    <border>
      <left/>
      <right/>
      <top/>
      <bottom/>
      <diagonal/>
    </border>
    <border>
      <left/>
      <right/>
      <top/>
      <bottom/>
      <diagonal/>
    </border>
    <border>
      <left style="thin">
        <color rgb="FF000000"/>
      </left>
      <right style="thin">
        <color rgb="FF000000"/>
      </right>
      <top style="thin">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thin">
        <color rgb="FF000000"/>
      </left>
      <right style="thin">
        <color rgb="FF000000"/>
      </right>
      <top/>
      <bottom style="thin">
        <color rgb="FF000000"/>
      </bottom>
      <diagonal/>
    </border>
    <border>
      <left/>
      <right/>
      <top/>
      <bottom style="medium">
        <color rgb="FF000000"/>
      </bottom>
      <diagonal/>
    </border>
    <border>
      <left/>
      <right style="medium">
        <color rgb="FF000000"/>
      </right>
      <top style="medium">
        <color rgb="FF000000"/>
      </top>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bottom/>
      <diagonal/>
    </border>
    <border>
      <left style="medium">
        <color rgb="FF000000"/>
      </left>
      <right style="medium">
        <color rgb="FF000000"/>
      </right>
      <top style="thin">
        <color rgb="FF000000"/>
      </top>
      <bottom style="thin">
        <color rgb="FF000000"/>
      </bottom>
      <diagonal/>
    </border>
    <border>
      <left style="medium">
        <color rgb="FF000000"/>
      </left>
      <right/>
      <top/>
      <bottom/>
      <diagonal/>
    </border>
    <border>
      <left style="thin">
        <color rgb="FF000000"/>
      </left>
      <right/>
      <top style="thin">
        <color rgb="FF000000"/>
      </top>
      <bottom style="thin">
        <color rgb="FF000000"/>
      </bottom>
      <diagonal/>
    </border>
    <border>
      <left style="medium">
        <color rgb="FF000000"/>
      </left>
      <right/>
      <top/>
      <bottom style="medium">
        <color rgb="FF000000"/>
      </bottom>
      <diagonal/>
    </border>
    <border>
      <left style="medium">
        <color rgb="FF000000"/>
      </left>
      <right/>
      <top style="medium">
        <color rgb="FF000000"/>
      </top>
      <bottom style="thin">
        <color rgb="FF000000"/>
      </bottom>
      <diagonal/>
    </border>
    <border>
      <left/>
      <right style="medium">
        <color rgb="FF000000"/>
      </right>
      <top/>
      <bottom style="medium">
        <color rgb="FF000000"/>
      </bottom>
      <diagonal/>
    </border>
    <border>
      <left style="medium">
        <color rgb="FF000000"/>
      </left>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diagonal/>
    </border>
    <border>
      <left style="thin">
        <color rgb="FF000000"/>
      </left>
      <right style="medium">
        <color rgb="FF000000"/>
      </right>
      <top style="thin">
        <color rgb="FF000000"/>
      </top>
      <bottom/>
      <diagonal/>
    </border>
    <border>
      <left/>
      <right/>
      <top style="medium">
        <color rgb="FF000000"/>
      </top>
      <bottom/>
      <diagonal/>
    </border>
    <border>
      <left style="medium">
        <color rgb="FF000000"/>
      </left>
      <right style="medium">
        <color rgb="FF000000"/>
      </right>
      <top style="thin">
        <color rgb="FF000000"/>
      </top>
      <bottom/>
      <diagonal/>
    </border>
    <border>
      <left style="medium">
        <color rgb="FF000000"/>
      </left>
      <right style="medium">
        <color rgb="FF000000"/>
      </right>
      <top/>
      <bottom style="thin">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right style="thin">
        <color rgb="FF000000"/>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62">
    <xf numFmtId="0" fontId="0" fillId="0" borderId="0" xfId="0"/>
    <xf numFmtId="0" fontId="3" fillId="0" borderId="2" xfId="0" applyFont="1" applyBorder="1"/>
    <xf numFmtId="0" fontId="1" fillId="4" borderId="1" xfId="0" applyFont="1" applyFill="1" applyBorder="1"/>
    <xf numFmtId="0" fontId="1" fillId="4" borderId="3" xfId="0" applyFont="1" applyFill="1" applyBorder="1"/>
    <xf numFmtId="164" fontId="3" fillId="0" borderId="2" xfId="0" applyNumberFormat="1" applyFont="1" applyBorder="1"/>
    <xf numFmtId="0" fontId="4" fillId="4" borderId="3" xfId="0" applyFont="1" applyFill="1" applyBorder="1"/>
    <xf numFmtId="0" fontId="5" fillId="4" borderId="1" xfId="0" applyFont="1" applyFill="1" applyBorder="1"/>
    <xf numFmtId="0" fontId="3" fillId="4" borderId="4" xfId="0" applyFont="1" applyFill="1" applyBorder="1"/>
    <xf numFmtId="0" fontId="1" fillId="4" borderId="5" xfId="0" applyFont="1" applyFill="1" applyBorder="1" applyAlignment="1">
      <alignment horizontal="right"/>
    </xf>
    <xf numFmtId="0" fontId="4" fillId="4" borderId="5" xfId="0" applyFont="1" applyFill="1" applyBorder="1"/>
    <xf numFmtId="0" fontId="1" fillId="4" borderId="6" xfId="0" applyFont="1" applyFill="1" applyBorder="1" applyAlignment="1">
      <alignment horizontal="right"/>
    </xf>
    <xf numFmtId="0" fontId="1" fillId="4" borderId="5" xfId="0" applyFont="1" applyFill="1" applyBorder="1"/>
    <xf numFmtId="164" fontId="4" fillId="4" borderId="6" xfId="0" applyNumberFormat="1" applyFont="1" applyFill="1" applyBorder="1"/>
    <xf numFmtId="0" fontId="1" fillId="4" borderId="5" xfId="0" applyFont="1" applyFill="1" applyBorder="1"/>
    <xf numFmtId="0" fontId="7" fillId="0" borderId="1" xfId="0" applyFont="1" applyBorder="1"/>
    <xf numFmtId="0" fontId="1" fillId="0" borderId="1" xfId="0" applyFont="1" applyBorder="1"/>
    <xf numFmtId="0" fontId="3" fillId="0" borderId="1" xfId="0" applyFont="1" applyBorder="1"/>
    <xf numFmtId="0" fontId="8" fillId="4" borderId="5" xfId="0" applyFont="1" applyFill="1" applyBorder="1"/>
    <xf numFmtId="0" fontId="9" fillId="3" borderId="7" xfId="0" applyFont="1" applyFill="1" applyBorder="1"/>
    <xf numFmtId="0" fontId="1" fillId="4" borderId="6" xfId="0" applyFont="1" applyFill="1" applyBorder="1"/>
    <xf numFmtId="0" fontId="3" fillId="0" borderId="8" xfId="0" applyFont="1" applyBorder="1"/>
    <xf numFmtId="0" fontId="1" fillId="4" borderId="6" xfId="0" applyFont="1" applyFill="1" applyBorder="1"/>
    <xf numFmtId="164" fontId="3" fillId="0" borderId="8" xfId="0" applyNumberFormat="1" applyFont="1" applyBorder="1"/>
    <xf numFmtId="0" fontId="1" fillId="0" borderId="9" xfId="0" applyFont="1" applyBorder="1" applyAlignment="1">
      <alignment wrapText="1"/>
    </xf>
    <xf numFmtId="0" fontId="3" fillId="0" borderId="9" xfId="0" applyFont="1" applyBorder="1"/>
    <xf numFmtId="0" fontId="1" fillId="0" borderId="9" xfId="0" applyFont="1" applyBorder="1"/>
    <xf numFmtId="0" fontId="10" fillId="4" borderId="10" xfId="0" applyFont="1" applyFill="1" applyBorder="1"/>
    <xf numFmtId="0" fontId="0" fillId="0" borderId="1" xfId="0" applyFont="1" applyBorder="1"/>
    <xf numFmtId="0" fontId="2" fillId="3" borderId="1" xfId="0" applyFont="1" applyFill="1" applyBorder="1"/>
    <xf numFmtId="0" fontId="11" fillId="3" borderId="1" xfId="0" applyFont="1" applyFill="1" applyBorder="1"/>
    <xf numFmtId="0" fontId="4" fillId="0" borderId="9" xfId="0" applyFont="1" applyBorder="1"/>
    <xf numFmtId="0" fontId="4" fillId="0" borderId="9" xfId="0" applyFont="1" applyBorder="1"/>
    <xf numFmtId="0" fontId="1" fillId="0" borderId="12" xfId="0" applyFont="1" applyBorder="1"/>
    <xf numFmtId="0" fontId="3" fillId="4" borderId="1" xfId="0" applyFont="1" applyFill="1" applyBorder="1"/>
    <xf numFmtId="0" fontId="13" fillId="3" borderId="14" xfId="0" applyFont="1" applyFill="1" applyBorder="1"/>
    <xf numFmtId="0" fontId="3" fillId="4" borderId="4" xfId="0" applyFont="1" applyFill="1" applyBorder="1" applyAlignment="1">
      <alignment horizontal="center" wrapText="1"/>
    </xf>
    <xf numFmtId="0" fontId="3" fillId="4" borderId="10" xfId="0" applyFont="1" applyFill="1" applyBorder="1"/>
    <xf numFmtId="0" fontId="3" fillId="4" borderId="15" xfId="0" applyFont="1" applyFill="1" applyBorder="1"/>
    <xf numFmtId="0" fontId="1" fillId="4" borderId="4" xfId="0" applyFont="1" applyFill="1" applyBorder="1"/>
    <xf numFmtId="165" fontId="3" fillId="0" borderId="9" xfId="0" applyNumberFormat="1" applyFont="1" applyBorder="1"/>
    <xf numFmtId="166" fontId="3" fillId="0" borderId="9" xfId="0" applyNumberFormat="1" applyFont="1" applyBorder="1"/>
    <xf numFmtId="0" fontId="0" fillId="5" borderId="9" xfId="0" applyFont="1" applyFill="1" applyBorder="1"/>
    <xf numFmtId="0" fontId="10" fillId="4" borderId="4" xfId="0" applyFont="1" applyFill="1" applyBorder="1"/>
    <xf numFmtId="0" fontId="3" fillId="4" borderId="4" xfId="0" applyFont="1" applyFill="1" applyBorder="1" applyAlignment="1">
      <alignment horizontal="center" vertical="center" wrapText="1"/>
    </xf>
    <xf numFmtId="1" fontId="0" fillId="0" borderId="9" xfId="0" applyNumberFormat="1" applyFont="1" applyBorder="1"/>
    <xf numFmtId="0" fontId="1" fillId="0" borderId="9" xfId="0" applyFont="1" applyBorder="1" applyAlignment="1">
      <alignment horizontal="left" wrapText="1"/>
    </xf>
    <xf numFmtId="0" fontId="1" fillId="4" borderId="17" xfId="0" applyFont="1" applyFill="1" applyBorder="1"/>
    <xf numFmtId="0" fontId="3" fillId="4" borderId="5" xfId="0" applyFont="1" applyFill="1" applyBorder="1" applyAlignment="1">
      <alignment horizontal="center"/>
    </xf>
    <xf numFmtId="9" fontId="4" fillId="4" borderId="5" xfId="0" applyNumberFormat="1" applyFont="1" applyFill="1" applyBorder="1" applyAlignment="1">
      <alignment horizontal="center" vertical="center"/>
    </xf>
    <xf numFmtId="3" fontId="1" fillId="4" borderId="5" xfId="0" applyNumberFormat="1" applyFont="1" applyFill="1" applyBorder="1"/>
    <xf numFmtId="166" fontId="4" fillId="0" borderId="9" xfId="0" applyNumberFormat="1" applyFont="1" applyBorder="1"/>
    <xf numFmtId="0" fontId="16" fillId="0" borderId="1" xfId="0" applyFont="1" applyBorder="1"/>
    <xf numFmtId="0" fontId="3" fillId="4" borderId="3" xfId="0" applyFont="1" applyFill="1" applyBorder="1" applyAlignment="1">
      <alignment horizontal="center" vertical="center"/>
    </xf>
    <xf numFmtId="0" fontId="1" fillId="4" borderId="19" xfId="0" applyFont="1" applyFill="1" applyBorder="1"/>
    <xf numFmtId="0" fontId="3" fillId="4" borderId="5" xfId="0" applyFont="1" applyFill="1" applyBorder="1" applyAlignment="1">
      <alignment horizontal="center" vertical="center"/>
    </xf>
    <xf numFmtId="0" fontId="3" fillId="4" borderId="6" xfId="0" applyFont="1" applyFill="1" applyBorder="1" applyAlignment="1">
      <alignment horizontal="center"/>
    </xf>
    <xf numFmtId="9" fontId="4" fillId="4" borderId="6" xfId="0" applyNumberFormat="1" applyFont="1" applyFill="1" applyBorder="1" applyAlignment="1">
      <alignment horizontal="center" vertical="center"/>
    </xf>
    <xf numFmtId="0" fontId="17" fillId="0" borderId="9" xfId="0" applyFont="1" applyBorder="1"/>
    <xf numFmtId="0" fontId="1" fillId="4" borderId="21" xfId="0" applyFont="1" applyFill="1" applyBorder="1"/>
    <xf numFmtId="0" fontId="1" fillId="4" borderId="13" xfId="0" applyFont="1" applyFill="1" applyBorder="1"/>
    <xf numFmtId="3" fontId="1" fillId="4" borderId="6" xfId="0" applyNumberFormat="1" applyFont="1" applyFill="1" applyBorder="1"/>
    <xf numFmtId="0" fontId="1" fillId="4" borderId="22" xfId="0" applyFont="1" applyFill="1" applyBorder="1" applyAlignment="1">
      <alignment wrapText="1"/>
    </xf>
    <xf numFmtId="0" fontId="3" fillId="4" borderId="11" xfId="0" applyFont="1" applyFill="1" applyBorder="1"/>
    <xf numFmtId="0" fontId="3" fillId="0" borderId="19" xfId="0" applyFont="1" applyBorder="1"/>
    <xf numFmtId="0" fontId="17" fillId="4" borderId="6" xfId="0" applyFont="1" applyFill="1" applyBorder="1" applyAlignment="1">
      <alignment horizontal="center"/>
    </xf>
    <xf numFmtId="0" fontId="1" fillId="0" borderId="17" xfId="0" applyFont="1" applyBorder="1"/>
    <xf numFmtId="0" fontId="1" fillId="4" borderId="23" xfId="0" applyFont="1" applyFill="1" applyBorder="1"/>
    <xf numFmtId="3" fontId="1" fillId="4" borderId="1" xfId="0" applyNumberFormat="1" applyFont="1" applyFill="1" applyBorder="1"/>
    <xf numFmtId="0" fontId="1" fillId="0" borderId="9" xfId="0" applyFont="1" applyBorder="1" applyAlignment="1">
      <alignment horizontal="right" wrapText="1"/>
    </xf>
    <xf numFmtId="1" fontId="20" fillId="0" borderId="9" xfId="0" applyNumberFormat="1" applyFont="1" applyBorder="1" applyAlignment="1">
      <alignment vertical="center"/>
    </xf>
    <xf numFmtId="0" fontId="4" fillId="4" borderId="1" xfId="0" applyFont="1" applyFill="1" applyBorder="1"/>
    <xf numFmtId="0" fontId="1" fillId="0" borderId="24" xfId="0" applyFont="1" applyBorder="1" applyAlignment="1">
      <alignment horizontal="left"/>
    </xf>
    <xf numFmtId="9" fontId="4" fillId="4" borderId="6" xfId="0" applyNumberFormat="1" applyFont="1" applyFill="1" applyBorder="1" applyAlignment="1">
      <alignment horizontal="center"/>
    </xf>
    <xf numFmtId="0" fontId="3" fillId="0" borderId="26" xfId="0" applyFont="1" applyBorder="1"/>
    <xf numFmtId="0" fontId="1" fillId="0" borderId="27" xfId="0" applyFont="1" applyBorder="1" applyAlignment="1">
      <alignment horizontal="left"/>
    </xf>
    <xf numFmtId="2" fontId="4" fillId="0" borderId="28" xfId="0" applyNumberFormat="1" applyFont="1" applyBorder="1"/>
    <xf numFmtId="0" fontId="4" fillId="4" borderId="18" xfId="0" applyFont="1" applyFill="1" applyBorder="1"/>
    <xf numFmtId="0" fontId="0" fillId="0" borderId="1" xfId="0" applyFont="1" applyBorder="1" applyAlignment="1">
      <alignment vertical="center"/>
    </xf>
    <xf numFmtId="9" fontId="8" fillId="0" borderId="9" xfId="0" applyNumberFormat="1" applyFont="1" applyBorder="1"/>
    <xf numFmtId="0" fontId="20" fillId="5" borderId="9" xfId="0" applyFont="1" applyFill="1" applyBorder="1" applyAlignment="1">
      <alignment vertical="center"/>
    </xf>
    <xf numFmtId="0" fontId="8" fillId="0" borderId="9" xfId="0" applyFont="1" applyBorder="1"/>
    <xf numFmtId="9" fontId="20" fillId="5" borderId="9" xfId="0" applyNumberFormat="1" applyFont="1" applyFill="1" applyBorder="1" applyAlignment="1">
      <alignment vertical="center"/>
    </xf>
    <xf numFmtId="2" fontId="8" fillId="0" borderId="9" xfId="0" applyNumberFormat="1" applyFont="1" applyBorder="1"/>
    <xf numFmtId="167" fontId="8" fillId="0" borderId="9" xfId="0" applyNumberFormat="1" applyFont="1" applyBorder="1"/>
    <xf numFmtId="1" fontId="8" fillId="0" borderId="9" xfId="0" applyNumberFormat="1" applyFont="1" applyBorder="1"/>
    <xf numFmtId="0" fontId="8" fillId="0" borderId="9" xfId="0" applyFont="1" applyBorder="1"/>
    <xf numFmtId="166" fontId="8" fillId="0" borderId="9" xfId="0" applyNumberFormat="1" applyFont="1" applyBorder="1"/>
    <xf numFmtId="0" fontId="1" fillId="4" borderId="24" xfId="0" applyFont="1" applyFill="1" applyBorder="1" applyAlignment="1">
      <alignment wrapText="1"/>
    </xf>
    <xf numFmtId="0" fontId="1" fillId="5" borderId="24" xfId="0" applyFont="1" applyFill="1" applyBorder="1" applyAlignment="1">
      <alignment wrapText="1"/>
    </xf>
    <xf numFmtId="0" fontId="1" fillId="0" borderId="9" xfId="0" applyFont="1" applyBorder="1"/>
    <xf numFmtId="0" fontId="9" fillId="3" borderId="19" xfId="0" applyFont="1" applyFill="1" applyBorder="1" applyAlignment="1">
      <alignment horizontal="left"/>
    </xf>
    <xf numFmtId="0" fontId="9" fillId="3" borderId="17" xfId="0" applyFont="1" applyFill="1" applyBorder="1"/>
    <xf numFmtId="165" fontId="3" fillId="5" borderId="18" xfId="0" applyNumberFormat="1" applyFont="1" applyFill="1" applyBorder="1"/>
    <xf numFmtId="1" fontId="20" fillId="5" borderId="9" xfId="0" applyNumberFormat="1" applyFont="1" applyFill="1" applyBorder="1" applyAlignment="1">
      <alignment vertical="center"/>
    </xf>
    <xf numFmtId="2" fontId="20" fillId="5" borderId="9" xfId="0" applyNumberFormat="1" applyFont="1" applyFill="1" applyBorder="1" applyAlignment="1">
      <alignment vertical="center"/>
    </xf>
    <xf numFmtId="0" fontId="22" fillId="4" borderId="1" xfId="0" applyFont="1" applyFill="1" applyBorder="1" applyAlignment="1">
      <alignment vertical="center"/>
    </xf>
    <xf numFmtId="9" fontId="3" fillId="0" borderId="26" xfId="0" applyNumberFormat="1" applyFont="1" applyBorder="1"/>
    <xf numFmtId="0" fontId="3" fillId="4" borderId="18" xfId="0" applyFont="1" applyFill="1" applyBorder="1"/>
    <xf numFmtId="1" fontId="4" fillId="0" borderId="26" xfId="0" applyNumberFormat="1" applyFont="1" applyBorder="1"/>
    <xf numFmtId="166" fontId="4" fillId="4" borderId="18" xfId="0" applyNumberFormat="1" applyFont="1" applyFill="1" applyBorder="1"/>
    <xf numFmtId="0" fontId="1" fillId="4" borderId="24" xfId="0" applyFont="1" applyFill="1" applyBorder="1" applyAlignment="1">
      <alignment horizontal="left" wrapText="1"/>
    </xf>
    <xf numFmtId="0" fontId="1" fillId="0" borderId="24" xfId="0" applyFont="1" applyBorder="1" applyAlignment="1">
      <alignment horizontal="right"/>
    </xf>
    <xf numFmtId="1" fontId="20" fillId="4" borderId="9" xfId="0" applyNumberFormat="1" applyFont="1" applyFill="1" applyBorder="1"/>
    <xf numFmtId="168" fontId="4" fillId="0" borderId="26" xfId="0" applyNumberFormat="1" applyFont="1" applyBorder="1"/>
    <xf numFmtId="0" fontId="0" fillId="4" borderId="1" xfId="0" applyFont="1" applyFill="1" applyBorder="1"/>
    <xf numFmtId="0" fontId="1" fillId="4" borderId="32" xfId="0" applyFont="1" applyFill="1" applyBorder="1" applyAlignment="1">
      <alignment horizontal="left" wrapText="1"/>
    </xf>
    <xf numFmtId="0" fontId="1" fillId="6" borderId="27" xfId="0" applyFont="1" applyFill="1" applyBorder="1" applyAlignment="1">
      <alignment horizontal="left"/>
    </xf>
    <xf numFmtId="0" fontId="10" fillId="0" borderId="1" xfId="0" applyFont="1" applyBorder="1"/>
    <xf numFmtId="1" fontId="4" fillId="6" borderId="28" xfId="0" applyNumberFormat="1" applyFont="1" applyFill="1" applyBorder="1"/>
    <xf numFmtId="0" fontId="0" fillId="0" borderId="1" xfId="0" applyFont="1" applyBorder="1" applyAlignment="1">
      <alignment horizontal="right"/>
    </xf>
    <xf numFmtId="0" fontId="0" fillId="0" borderId="1" xfId="0" applyFont="1" applyBorder="1" applyAlignment="1">
      <alignment horizontal="left"/>
    </xf>
    <xf numFmtId="9" fontId="10" fillId="5" borderId="9" xfId="0" applyNumberFormat="1" applyFont="1" applyFill="1" applyBorder="1"/>
    <xf numFmtId="0" fontId="17" fillId="4" borderId="25" xfId="0" applyFont="1" applyFill="1" applyBorder="1"/>
    <xf numFmtId="0" fontId="1" fillId="0" borderId="32" xfId="0" applyFont="1" applyBorder="1" applyAlignment="1">
      <alignment horizontal="left"/>
    </xf>
    <xf numFmtId="1" fontId="4" fillId="0" borderId="33" xfId="0" applyNumberFormat="1" applyFont="1" applyBorder="1"/>
    <xf numFmtId="0" fontId="4" fillId="4" borderId="5" xfId="0" applyFont="1" applyFill="1" applyBorder="1" applyAlignment="1">
      <alignment horizontal="center" vertical="center"/>
    </xf>
    <xf numFmtId="2" fontId="4" fillId="4" borderId="5" xfId="0" applyNumberFormat="1" applyFont="1" applyFill="1" applyBorder="1" applyAlignment="1">
      <alignment horizontal="center" vertical="center"/>
    </xf>
    <xf numFmtId="0" fontId="9" fillId="3" borderId="19" xfId="0" applyFont="1" applyFill="1" applyBorder="1"/>
    <xf numFmtId="167" fontId="4" fillId="4" borderId="5" xfId="0" applyNumberFormat="1" applyFont="1" applyFill="1" applyBorder="1" applyAlignment="1">
      <alignment horizontal="center" vertical="center"/>
    </xf>
    <xf numFmtId="1" fontId="4" fillId="4" borderId="5" xfId="0" applyNumberFormat="1" applyFont="1" applyFill="1" applyBorder="1" applyAlignment="1">
      <alignment horizontal="center" vertical="center"/>
    </xf>
    <xf numFmtId="0" fontId="4" fillId="4" borderId="5" xfId="0" applyFont="1" applyFill="1" applyBorder="1" applyAlignment="1">
      <alignment horizontal="center" vertical="center"/>
    </xf>
    <xf numFmtId="0" fontId="3" fillId="0" borderId="26" xfId="0" applyFont="1" applyBorder="1"/>
    <xf numFmtId="166" fontId="4" fillId="4" borderId="5" xfId="0" applyNumberFormat="1" applyFont="1" applyFill="1" applyBorder="1" applyAlignment="1">
      <alignment horizontal="center" vertical="center"/>
    </xf>
    <xf numFmtId="2" fontId="13" fillId="3" borderId="17" xfId="0" applyNumberFormat="1" applyFont="1" applyFill="1" applyBorder="1"/>
    <xf numFmtId="0" fontId="3" fillId="4" borderId="5" xfId="0" applyFont="1" applyFill="1" applyBorder="1" applyAlignment="1">
      <alignment horizontal="center" vertical="center"/>
    </xf>
    <xf numFmtId="0" fontId="3" fillId="4" borderId="24" xfId="0" applyFont="1" applyFill="1" applyBorder="1"/>
    <xf numFmtId="1" fontId="4" fillId="4" borderId="26" xfId="0" applyNumberFormat="1" applyFont="1" applyFill="1" applyBorder="1"/>
    <xf numFmtId="0" fontId="1" fillId="4" borderId="24" xfId="0" applyFont="1" applyFill="1" applyBorder="1"/>
    <xf numFmtId="0" fontId="1" fillId="5" borderId="9" xfId="0" applyFont="1" applyFill="1" applyBorder="1"/>
    <xf numFmtId="0" fontId="4" fillId="5" borderId="9" xfId="0" applyFont="1" applyFill="1" applyBorder="1"/>
    <xf numFmtId="9" fontId="8" fillId="5" borderId="9" xfId="0" applyNumberFormat="1" applyFont="1" applyFill="1" applyBorder="1"/>
    <xf numFmtId="2" fontId="4" fillId="4" borderId="26" xfId="0" applyNumberFormat="1" applyFont="1" applyFill="1" applyBorder="1"/>
    <xf numFmtId="0" fontId="8" fillId="5" borderId="9" xfId="0" applyFont="1" applyFill="1" applyBorder="1"/>
    <xf numFmtId="0" fontId="1" fillId="4" borderId="24" xfId="0" applyFont="1" applyFill="1" applyBorder="1" applyAlignment="1">
      <alignment horizontal="right"/>
    </xf>
    <xf numFmtId="164" fontId="17" fillId="4" borderId="26" xfId="0" applyNumberFormat="1" applyFont="1" applyFill="1" applyBorder="1"/>
    <xf numFmtId="2" fontId="8" fillId="5" borderId="9" xfId="0" applyNumberFormat="1" applyFont="1" applyFill="1" applyBorder="1"/>
    <xf numFmtId="0" fontId="1" fillId="4" borderId="24" xfId="0" applyFont="1" applyFill="1" applyBorder="1" applyAlignment="1">
      <alignment horizontal="left"/>
    </xf>
    <xf numFmtId="1" fontId="17" fillId="4" borderId="26" xfId="0" applyNumberFormat="1" applyFont="1" applyFill="1" applyBorder="1"/>
    <xf numFmtId="167" fontId="8" fillId="5" borderId="9" xfId="0" applyNumberFormat="1" applyFont="1" applyFill="1" applyBorder="1"/>
    <xf numFmtId="0" fontId="3" fillId="4" borderId="1" xfId="0" applyFont="1" applyFill="1" applyBorder="1" applyAlignment="1">
      <alignment horizontal="left"/>
    </xf>
    <xf numFmtId="1" fontId="8" fillId="5" borderId="9" xfId="0" applyNumberFormat="1" applyFont="1" applyFill="1" applyBorder="1"/>
    <xf numFmtId="172" fontId="4" fillId="4" borderId="26" xfId="0" applyNumberFormat="1" applyFont="1" applyFill="1" applyBorder="1"/>
    <xf numFmtId="9" fontId="3" fillId="4" borderId="26" xfId="0" applyNumberFormat="1" applyFont="1" applyFill="1" applyBorder="1"/>
    <xf numFmtId="168" fontId="4" fillId="4" borderId="26" xfId="0" applyNumberFormat="1" applyFont="1" applyFill="1" applyBorder="1"/>
    <xf numFmtId="0" fontId="3" fillId="4" borderId="24" xfId="0" applyFont="1" applyFill="1" applyBorder="1" applyAlignment="1">
      <alignment horizontal="left"/>
    </xf>
    <xf numFmtId="168" fontId="4" fillId="4" borderId="26" xfId="0" applyNumberFormat="1" applyFont="1" applyFill="1" applyBorder="1" applyAlignment="1">
      <alignment horizontal="right"/>
    </xf>
    <xf numFmtId="0" fontId="1" fillId="4" borderId="9" xfId="0" applyFont="1" applyFill="1" applyBorder="1" applyAlignment="1">
      <alignment horizontal="left"/>
    </xf>
    <xf numFmtId="9" fontId="4" fillId="4" borderId="9" xfId="0" applyNumberFormat="1" applyFont="1" applyFill="1" applyBorder="1"/>
    <xf numFmtId="170" fontId="1" fillId="4" borderId="1" xfId="0" applyNumberFormat="1" applyFont="1" applyFill="1" applyBorder="1"/>
    <xf numFmtId="1" fontId="3" fillId="4" borderId="26" xfId="0" applyNumberFormat="1" applyFont="1" applyFill="1" applyBorder="1"/>
    <xf numFmtId="0" fontId="3" fillId="4" borderId="26" xfId="0" applyFont="1" applyFill="1" applyBorder="1"/>
    <xf numFmtId="173" fontId="4" fillId="4" borderId="26" xfId="0" applyNumberFormat="1" applyFont="1" applyFill="1" applyBorder="1" applyAlignment="1">
      <alignment horizontal="right" vertical="center"/>
    </xf>
    <xf numFmtId="1" fontId="1" fillId="4" borderId="1" xfId="0" applyNumberFormat="1" applyFont="1" applyFill="1" applyBorder="1"/>
    <xf numFmtId="0" fontId="1" fillId="6" borderId="24" xfId="0" applyFont="1" applyFill="1" applyBorder="1" applyAlignment="1">
      <alignment horizontal="left"/>
    </xf>
    <xf numFmtId="1" fontId="4" fillId="6" borderId="26" xfId="0" applyNumberFormat="1" applyFont="1" applyFill="1" applyBorder="1"/>
    <xf numFmtId="0" fontId="25" fillId="4" borderId="1" xfId="0" applyFont="1" applyFill="1" applyBorder="1"/>
    <xf numFmtId="0" fontId="1" fillId="4" borderId="34" xfId="0" applyFont="1" applyFill="1" applyBorder="1"/>
    <xf numFmtId="0" fontId="1" fillId="4" borderId="9" xfId="0" applyFont="1" applyFill="1" applyBorder="1"/>
    <xf numFmtId="0" fontId="1" fillId="4" borderId="9" xfId="0" applyFont="1" applyFill="1" applyBorder="1" applyAlignment="1">
      <alignment horizontal="right"/>
    </xf>
    <xf numFmtId="0" fontId="3" fillId="4" borderId="9" xfId="0" applyFont="1" applyFill="1" applyBorder="1"/>
    <xf numFmtId="1" fontId="4" fillId="4" borderId="9" xfId="0" applyNumberFormat="1" applyFont="1" applyFill="1" applyBorder="1"/>
    <xf numFmtId="0" fontId="3" fillId="7" borderId="26" xfId="0" applyFont="1" applyFill="1" applyBorder="1"/>
    <xf numFmtId="0" fontId="28" fillId="7" borderId="1" xfId="0" applyFont="1" applyFill="1" applyBorder="1"/>
    <xf numFmtId="0" fontId="1" fillId="7" borderId="1" xfId="0" applyFont="1" applyFill="1" applyBorder="1"/>
    <xf numFmtId="0" fontId="17"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6" xfId="0" applyFont="1" applyFill="1" applyBorder="1" applyAlignment="1">
      <alignment horizontal="center" vertical="center"/>
    </xf>
    <xf numFmtId="2" fontId="4" fillId="4" borderId="6" xfId="0" applyNumberFormat="1" applyFont="1" applyFill="1" applyBorder="1" applyAlignment="1">
      <alignment horizontal="center" vertical="center"/>
    </xf>
    <xf numFmtId="167" fontId="4" fillId="4" borderId="6" xfId="0" applyNumberFormat="1" applyFont="1" applyFill="1" applyBorder="1" applyAlignment="1">
      <alignment horizontal="center" vertical="center"/>
    </xf>
    <xf numFmtId="1" fontId="4" fillId="4" borderId="6" xfId="0" applyNumberFormat="1" applyFont="1" applyFill="1" applyBorder="1" applyAlignment="1">
      <alignment horizontal="center" vertical="center"/>
    </xf>
    <xf numFmtId="166" fontId="4" fillId="4" borderId="6" xfId="0" applyNumberFormat="1" applyFont="1" applyFill="1" applyBorder="1" applyAlignment="1">
      <alignment horizontal="center" vertical="center"/>
    </xf>
    <xf numFmtId="0" fontId="3" fillId="4" borderId="1" xfId="0" applyFont="1" applyFill="1" applyBorder="1" applyAlignment="1">
      <alignment horizontal="center" vertical="center"/>
    </xf>
    <xf numFmtId="0" fontId="4" fillId="4" borderId="1" xfId="0" applyFont="1" applyFill="1" applyBorder="1" applyAlignment="1">
      <alignment horizontal="center" vertical="center"/>
    </xf>
    <xf numFmtId="9" fontId="4" fillId="4" borderId="1" xfId="0" applyNumberFormat="1" applyFont="1" applyFill="1" applyBorder="1" applyAlignment="1">
      <alignment horizontal="center" vertical="center"/>
    </xf>
    <xf numFmtId="2" fontId="4" fillId="4" borderId="1" xfId="0" applyNumberFormat="1" applyFont="1" applyFill="1" applyBorder="1" applyAlignment="1">
      <alignment horizontal="center" vertical="center"/>
    </xf>
    <xf numFmtId="167" fontId="4" fillId="4"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66" fontId="4" fillId="4" borderId="1" xfId="0" applyNumberFormat="1" applyFont="1" applyFill="1" applyBorder="1" applyAlignment="1">
      <alignment horizontal="center" vertical="center"/>
    </xf>
    <xf numFmtId="0" fontId="0" fillId="0" borderId="0" xfId="0"/>
    <xf numFmtId="0" fontId="1" fillId="4" borderId="1" xfId="0" applyFont="1" applyFill="1" applyBorder="1" applyAlignment="1">
      <alignment horizontal="center" vertical="center" wrapText="1"/>
    </xf>
    <xf numFmtId="0" fontId="27" fillId="7" borderId="1" xfId="0" applyFont="1" applyFill="1" applyBorder="1" applyAlignment="1">
      <alignment horizontal="center" vertical="center" wrapText="1"/>
    </xf>
    <xf numFmtId="0" fontId="1" fillId="7" borderId="35" xfId="0" applyFont="1" applyFill="1" applyBorder="1" applyAlignment="1">
      <alignment horizontal="center"/>
    </xf>
    <xf numFmtId="0" fontId="3" fillId="4" borderId="1" xfId="0" applyFont="1" applyFill="1" applyBorder="1" applyAlignment="1">
      <alignment horizontal="left"/>
    </xf>
    <xf numFmtId="0" fontId="2" fillId="3" borderId="1" xfId="0" applyFont="1" applyFill="1" applyBorder="1" applyAlignment="1">
      <alignment horizontal="center"/>
    </xf>
    <xf numFmtId="0" fontId="0" fillId="4" borderId="1" xfId="0" applyFont="1" applyFill="1" applyBorder="1" applyAlignment="1">
      <alignment horizontal="center"/>
    </xf>
    <xf numFmtId="0" fontId="0" fillId="0" borderId="20" xfId="0" applyFont="1" applyBorder="1" applyAlignment="1">
      <alignment horizontal="left" vertical="center"/>
    </xf>
    <xf numFmtId="0" fontId="0" fillId="0" borderId="0" xfId="0" applyAlignment="1">
      <alignment horizontal="center"/>
    </xf>
    <xf numFmtId="0" fontId="1" fillId="2" borderId="1" xfId="0" applyFont="1" applyFill="1" applyBorder="1" applyAlignment="1">
      <alignment horizontal="center"/>
    </xf>
    <xf numFmtId="0" fontId="29" fillId="4" borderId="15" xfId="0" applyFont="1" applyFill="1" applyBorder="1"/>
    <xf numFmtId="0" fontId="12" fillId="9" borderId="1" xfId="0" applyFont="1" applyFill="1" applyBorder="1" applyAlignment="1">
      <alignment vertical="center"/>
    </xf>
    <xf numFmtId="0" fontId="1" fillId="10" borderId="1" xfId="0" applyFont="1" applyFill="1" applyBorder="1"/>
    <xf numFmtId="0" fontId="0" fillId="11" borderId="0" xfId="0" applyFill="1"/>
    <xf numFmtId="0" fontId="1" fillId="10" borderId="17" xfId="0" applyFont="1" applyFill="1" applyBorder="1"/>
    <xf numFmtId="0" fontId="1" fillId="10" borderId="29" xfId="0" applyFont="1" applyFill="1" applyBorder="1" applyAlignment="1">
      <alignment horizontal="left"/>
    </xf>
    <xf numFmtId="2" fontId="4" fillId="10" borderId="29" xfId="0" applyNumberFormat="1" applyFont="1" applyFill="1" applyBorder="1"/>
    <xf numFmtId="2" fontId="4" fillId="10" borderId="1" xfId="0" applyNumberFormat="1" applyFont="1" applyFill="1" applyBorder="1"/>
    <xf numFmtId="0" fontId="18" fillId="10" borderId="1" xfId="0" applyFont="1" applyFill="1" applyBorder="1"/>
    <xf numFmtId="0" fontId="1" fillId="11" borderId="1" xfId="0" applyFont="1" applyFill="1" applyBorder="1"/>
    <xf numFmtId="0" fontId="13" fillId="10" borderId="1" xfId="0" applyFont="1" applyFill="1" applyBorder="1"/>
    <xf numFmtId="0" fontId="3" fillId="10" borderId="1" xfId="0" applyFont="1" applyFill="1" applyBorder="1"/>
    <xf numFmtId="0" fontId="9" fillId="10" borderId="1" xfId="0" applyFont="1" applyFill="1" applyBorder="1"/>
    <xf numFmtId="9" fontId="3" fillId="10" borderId="1" xfId="0" applyNumberFormat="1" applyFont="1" applyFill="1" applyBorder="1"/>
    <xf numFmtId="1" fontId="4" fillId="10" borderId="1" xfId="0" applyNumberFormat="1" applyFont="1" applyFill="1" applyBorder="1"/>
    <xf numFmtId="168" fontId="4" fillId="10" borderId="1" xfId="0" applyNumberFormat="1" applyFont="1" applyFill="1" applyBorder="1"/>
    <xf numFmtId="0" fontId="4" fillId="10" borderId="1" xfId="0" applyFont="1" applyFill="1" applyBorder="1"/>
    <xf numFmtId="2" fontId="13" fillId="10" borderId="1" xfId="0" applyNumberFormat="1" applyFont="1" applyFill="1" applyBorder="1"/>
    <xf numFmtId="172" fontId="3" fillId="10" borderId="1" xfId="0" applyNumberFormat="1" applyFont="1" applyFill="1" applyBorder="1"/>
    <xf numFmtId="174" fontId="4" fillId="10" borderId="1" xfId="0" applyNumberFormat="1" applyFont="1" applyFill="1" applyBorder="1" applyAlignment="1">
      <alignment horizontal="right" vertical="center"/>
    </xf>
    <xf numFmtId="0" fontId="26" fillId="10" borderId="1" xfId="0" applyFont="1" applyFill="1" applyBorder="1"/>
    <xf numFmtId="0" fontId="3" fillId="12" borderId="1" xfId="0" applyFont="1" applyFill="1" applyBorder="1"/>
    <xf numFmtId="170" fontId="1" fillId="10" borderId="1" xfId="0" applyNumberFormat="1" applyFont="1" applyFill="1" applyBorder="1"/>
    <xf numFmtId="171" fontId="4" fillId="10" borderId="1" xfId="0" applyNumberFormat="1" applyFont="1" applyFill="1" applyBorder="1"/>
    <xf numFmtId="1" fontId="4" fillId="10" borderId="29" xfId="0" applyNumberFormat="1" applyFont="1" applyFill="1" applyBorder="1"/>
    <xf numFmtId="175" fontId="1" fillId="10" borderId="1" xfId="0" applyNumberFormat="1" applyFont="1" applyFill="1" applyBorder="1"/>
    <xf numFmtId="2" fontId="1" fillId="10" borderId="1" xfId="0" applyNumberFormat="1" applyFont="1" applyFill="1" applyBorder="1"/>
    <xf numFmtId="0" fontId="29" fillId="4" borderId="9" xfId="0" applyFont="1" applyFill="1" applyBorder="1"/>
    <xf numFmtId="0" fontId="0" fillId="0" borderId="38" xfId="0" applyBorder="1" applyAlignment="1">
      <alignment horizontal="left"/>
    </xf>
    <xf numFmtId="0" fontId="0" fillId="0" borderId="39" xfId="0" applyBorder="1" applyAlignment="1">
      <alignment horizontal="left"/>
    </xf>
    <xf numFmtId="0" fontId="30" fillId="3" borderId="37" xfId="0" applyFont="1" applyFill="1" applyBorder="1" applyAlignment="1">
      <alignment horizontal="left" vertical="center"/>
    </xf>
    <xf numFmtId="0" fontId="32" fillId="0" borderId="1" xfId="0" applyFont="1" applyBorder="1"/>
    <xf numFmtId="0" fontId="29" fillId="0" borderId="1" xfId="0" applyFont="1" applyBorder="1"/>
    <xf numFmtId="0" fontId="6" fillId="10" borderId="1" xfId="0" applyFont="1" applyFill="1" applyBorder="1"/>
    <xf numFmtId="0" fontId="32" fillId="4" borderId="19" xfId="0" applyFont="1" applyFill="1" applyBorder="1"/>
    <xf numFmtId="0" fontId="32" fillId="4" borderId="5" xfId="0" applyFont="1" applyFill="1" applyBorder="1"/>
    <xf numFmtId="0" fontId="32" fillId="4" borderId="1" xfId="0" applyFont="1" applyFill="1" applyBorder="1"/>
    <xf numFmtId="0" fontId="10" fillId="4" borderId="7" xfId="0" applyFont="1" applyFill="1" applyBorder="1"/>
    <xf numFmtId="0" fontId="0" fillId="4" borderId="29" xfId="0" applyFont="1" applyFill="1" applyBorder="1"/>
    <xf numFmtId="0" fontId="1" fillId="4" borderId="29" xfId="0" applyFont="1" applyFill="1" applyBorder="1"/>
    <xf numFmtId="0" fontId="1" fillId="10" borderId="1" xfId="0" applyFont="1" applyFill="1" applyBorder="1" applyAlignment="1">
      <alignment wrapText="1"/>
    </xf>
    <xf numFmtId="0" fontId="2" fillId="3" borderId="1" xfId="0" applyFont="1" applyFill="1" applyBorder="1" applyAlignment="1">
      <alignment horizontal="left" vertical="center"/>
    </xf>
    <xf numFmtId="0" fontId="0" fillId="0" borderId="0" xfId="0" applyAlignment="1">
      <alignment horizontal="left"/>
    </xf>
    <xf numFmtId="0" fontId="29" fillId="4" borderId="4" xfId="0" applyFont="1" applyFill="1" applyBorder="1"/>
    <xf numFmtId="0" fontId="14" fillId="11" borderId="1" xfId="0" applyFont="1" applyFill="1" applyBorder="1" applyAlignment="1">
      <alignment horizontal="center" vertical="center" wrapText="1"/>
    </xf>
    <xf numFmtId="0" fontId="0" fillId="11" borderId="0" xfId="0" applyFill="1"/>
    <xf numFmtId="0" fontId="2" fillId="10" borderId="1" xfId="0" applyFont="1" applyFill="1" applyBorder="1" applyAlignment="1">
      <alignment horizontal="center" vertical="center" wrapText="1"/>
    </xf>
    <xf numFmtId="0" fontId="2" fillId="10" borderId="1" xfId="0" applyFont="1" applyFill="1" applyBorder="1" applyAlignment="1">
      <alignment vertical="center" wrapText="1"/>
    </xf>
    <xf numFmtId="0" fontId="2" fillId="3" borderId="1" xfId="0" applyFont="1" applyFill="1" applyBorder="1" applyAlignment="1">
      <alignment horizontal="left" vertical="center" wrapText="1"/>
    </xf>
    <xf numFmtId="0" fontId="0" fillId="10" borderId="1" xfId="0" applyFont="1" applyFill="1" applyBorder="1"/>
    <xf numFmtId="0" fontId="2" fillId="10" borderId="1" xfId="0" applyFont="1" applyFill="1" applyBorder="1" applyAlignment="1">
      <alignment horizontal="left" vertical="center" wrapText="1"/>
    </xf>
    <xf numFmtId="0" fontId="2" fillId="10" borderId="1" xfId="0" applyFont="1" applyFill="1" applyBorder="1" applyAlignment="1">
      <alignment horizontal="left" vertical="center"/>
    </xf>
    <xf numFmtId="165" fontId="3" fillId="10" borderId="1" xfId="0" applyNumberFormat="1" applyFont="1" applyFill="1" applyBorder="1"/>
    <xf numFmtId="166" fontId="3" fillId="10" borderId="1" xfId="0" applyNumberFormat="1" applyFont="1" applyFill="1" applyBorder="1"/>
    <xf numFmtId="166" fontId="4" fillId="10" borderId="1" xfId="0" applyNumberFormat="1" applyFont="1" applyFill="1" applyBorder="1"/>
    <xf numFmtId="0" fontId="1" fillId="10" borderId="1" xfId="0" applyFont="1" applyFill="1" applyBorder="1" applyAlignment="1">
      <alignment horizontal="center" wrapText="1"/>
    </xf>
    <xf numFmtId="1" fontId="0" fillId="10" borderId="1" xfId="0" applyNumberFormat="1" applyFont="1" applyFill="1" applyBorder="1"/>
    <xf numFmtId="1" fontId="15" fillId="3" borderId="10" xfId="0" applyNumberFormat="1" applyFont="1" applyFill="1" applyBorder="1" applyAlignment="1">
      <alignment horizontal="left" vertical="center"/>
    </xf>
    <xf numFmtId="0" fontId="0" fillId="0" borderId="15" xfId="0" applyBorder="1"/>
    <xf numFmtId="0" fontId="3" fillId="10" borderId="1" xfId="0" applyFont="1" applyFill="1" applyBorder="1" applyAlignment="1">
      <alignment horizontal="left" wrapText="1"/>
    </xf>
    <xf numFmtId="0" fontId="17" fillId="10" borderId="1" xfId="0" applyFont="1" applyFill="1" applyBorder="1"/>
    <xf numFmtId="0" fontId="29" fillId="10" borderId="4" xfId="0" applyFont="1" applyFill="1" applyBorder="1" applyAlignment="1">
      <alignment horizontal="center" vertical="center" wrapText="1"/>
    </xf>
    <xf numFmtId="9" fontId="33" fillId="10" borderId="3" xfId="0" applyNumberFormat="1" applyFont="1" applyFill="1" applyBorder="1"/>
    <xf numFmtId="1" fontId="33" fillId="10" borderId="3" xfId="0" applyNumberFormat="1" applyFont="1" applyFill="1" applyBorder="1"/>
    <xf numFmtId="0" fontId="33" fillId="10" borderId="3" xfId="0" applyFont="1" applyFill="1" applyBorder="1"/>
    <xf numFmtId="9" fontId="33" fillId="10" borderId="5" xfId="0" applyNumberFormat="1" applyFont="1" applyFill="1" applyBorder="1"/>
    <xf numFmtId="1" fontId="33" fillId="10" borderId="5" xfId="0" applyNumberFormat="1" applyFont="1" applyFill="1" applyBorder="1"/>
    <xf numFmtId="0" fontId="33" fillId="10" borderId="5" xfId="0" applyFont="1" applyFill="1" applyBorder="1"/>
    <xf numFmtId="1" fontId="0" fillId="0" borderId="40" xfId="0" applyNumberFormat="1" applyFont="1" applyBorder="1"/>
    <xf numFmtId="0" fontId="0" fillId="0" borderId="41" xfId="0" applyFont="1" applyBorder="1"/>
    <xf numFmtId="0" fontId="0" fillId="5" borderId="37" xfId="0" applyFont="1" applyFill="1" applyBorder="1"/>
    <xf numFmtId="0" fontId="0" fillId="5" borderId="39" xfId="0" applyFont="1" applyFill="1" applyBorder="1"/>
    <xf numFmtId="0" fontId="1" fillId="10" borderId="1" xfId="0" applyFont="1" applyFill="1" applyBorder="1" applyAlignment="1">
      <alignment vertical="center"/>
    </xf>
    <xf numFmtId="0" fontId="3" fillId="13" borderId="1" xfId="0" applyFont="1" applyFill="1" applyBorder="1"/>
    <xf numFmtId="9" fontId="4" fillId="13" borderId="1" xfId="0" applyNumberFormat="1" applyFont="1" applyFill="1" applyBorder="1" applyAlignment="1">
      <alignment horizontal="center" vertical="center"/>
    </xf>
    <xf numFmtId="0" fontId="12" fillId="3" borderId="10" xfId="0" applyFont="1" applyFill="1" applyBorder="1" applyAlignment="1">
      <alignment horizontal="center" vertical="center"/>
    </xf>
    <xf numFmtId="0" fontId="12" fillId="3" borderId="16" xfId="0" applyFont="1" applyFill="1" applyBorder="1" applyAlignment="1">
      <alignment horizontal="center" vertical="center"/>
    </xf>
    <xf numFmtId="0" fontId="12" fillId="3" borderId="15" xfId="0" applyFont="1" applyFill="1" applyBorder="1" applyAlignment="1">
      <alignment horizontal="center" vertical="center"/>
    </xf>
    <xf numFmtId="0" fontId="30" fillId="3" borderId="1" xfId="0" applyFont="1" applyFill="1" applyBorder="1" applyAlignment="1">
      <alignment horizontal="left" vertical="center"/>
    </xf>
    <xf numFmtId="0" fontId="0" fillId="0" borderId="0" xfId="0" applyAlignment="1">
      <alignment horizontal="center"/>
    </xf>
    <xf numFmtId="0" fontId="1" fillId="10" borderId="1" xfId="0" applyFont="1" applyFill="1" applyBorder="1" applyAlignment="1">
      <alignment horizontal="center"/>
    </xf>
    <xf numFmtId="0" fontId="0" fillId="5" borderId="37" xfId="0" applyFont="1" applyFill="1" applyBorder="1" applyAlignment="1">
      <alignment horizontal="center"/>
    </xf>
    <xf numFmtId="0" fontId="0" fillId="5" borderId="39" xfId="0" applyFont="1" applyFill="1" applyBorder="1" applyAlignment="1">
      <alignment horizontal="center"/>
    </xf>
    <xf numFmtId="0" fontId="2" fillId="10" borderId="1" xfId="0" applyFont="1" applyFill="1" applyBorder="1" applyAlignment="1">
      <alignment horizontal="center" vertical="center"/>
    </xf>
    <xf numFmtId="1" fontId="0" fillId="0" borderId="37" xfId="0" applyNumberFormat="1" applyFont="1" applyBorder="1" applyAlignment="1">
      <alignment horizontal="center"/>
    </xf>
    <xf numFmtId="0" fontId="0" fillId="0" borderId="39" xfId="0" applyFont="1" applyBorder="1" applyAlignment="1">
      <alignment horizontal="center"/>
    </xf>
    <xf numFmtId="1" fontId="0" fillId="10" borderId="1" xfId="0" applyNumberFormat="1" applyFont="1" applyFill="1" applyBorder="1" applyAlignment="1">
      <alignment horizontal="center"/>
    </xf>
    <xf numFmtId="0" fontId="0" fillId="10" borderId="1" xfId="0" applyFont="1" applyFill="1" applyBorder="1" applyAlignment="1">
      <alignment horizontal="center"/>
    </xf>
    <xf numFmtId="1" fontId="15" fillId="3" borderId="13" xfId="0" applyNumberFormat="1" applyFont="1" applyFill="1" applyBorder="1" applyAlignment="1">
      <alignment horizontal="center" vertical="center"/>
    </xf>
    <xf numFmtId="0" fontId="1" fillId="10" borderId="1" xfId="0" applyFont="1" applyFill="1" applyBorder="1" applyAlignment="1">
      <alignment horizontal="center" vertical="center"/>
    </xf>
    <xf numFmtId="0" fontId="1" fillId="4" borderId="11" xfId="0" applyFont="1" applyFill="1" applyBorder="1" applyAlignment="1">
      <alignment horizontal="center" wrapText="1"/>
    </xf>
    <xf numFmtId="0" fontId="3" fillId="4" borderId="11" xfId="0" applyFont="1" applyFill="1" applyBorder="1" applyAlignment="1">
      <alignment horizontal="center"/>
    </xf>
    <xf numFmtId="0" fontId="18" fillId="10" borderId="1" xfId="0" applyFont="1" applyFill="1" applyBorder="1" applyAlignment="1">
      <alignment horizontal="center"/>
    </xf>
    <xf numFmtId="0" fontId="3" fillId="10" borderId="1" xfId="0" applyFont="1" applyFill="1" applyBorder="1" applyAlignment="1">
      <alignment horizontal="center"/>
    </xf>
    <xf numFmtId="0" fontId="1" fillId="4" borderId="18" xfId="0" applyFont="1" applyFill="1" applyBorder="1" applyAlignment="1">
      <alignment horizontal="center" wrapText="1"/>
    </xf>
    <xf numFmtId="0" fontId="4" fillId="4" borderId="18" xfId="0" applyFont="1" applyFill="1" applyBorder="1" applyAlignment="1">
      <alignment horizontal="center"/>
    </xf>
    <xf numFmtId="0" fontId="4" fillId="10" borderId="1" xfId="0" applyFont="1" applyFill="1" applyBorder="1" applyAlignment="1">
      <alignment horizontal="center"/>
    </xf>
    <xf numFmtId="0" fontId="1" fillId="5" borderId="18" xfId="0" applyFont="1" applyFill="1" applyBorder="1" applyAlignment="1">
      <alignment horizontal="center" wrapText="1"/>
    </xf>
    <xf numFmtId="165" fontId="3" fillId="5" borderId="18" xfId="0" applyNumberFormat="1" applyFont="1" applyFill="1" applyBorder="1" applyAlignment="1">
      <alignment horizontal="center"/>
    </xf>
    <xf numFmtId="165" fontId="3" fillId="10" borderId="1" xfId="0" applyNumberFormat="1" applyFont="1" applyFill="1" applyBorder="1" applyAlignment="1">
      <alignment horizontal="center"/>
    </xf>
    <xf numFmtId="166" fontId="3" fillId="4" borderId="18" xfId="0" applyNumberFormat="1" applyFont="1" applyFill="1" applyBorder="1" applyAlignment="1">
      <alignment horizontal="center"/>
    </xf>
    <xf numFmtId="166" fontId="3" fillId="10" borderId="1" xfId="0" applyNumberFormat="1" applyFont="1" applyFill="1" applyBorder="1" applyAlignment="1">
      <alignment horizontal="center"/>
    </xf>
    <xf numFmtId="0" fontId="3" fillId="4" borderId="18" xfId="0" applyFont="1" applyFill="1" applyBorder="1" applyAlignment="1">
      <alignment horizontal="center"/>
    </xf>
    <xf numFmtId="169" fontId="3" fillId="4" borderId="18" xfId="0" applyNumberFormat="1" applyFont="1" applyFill="1" applyBorder="1" applyAlignment="1">
      <alignment horizontal="center"/>
    </xf>
    <xf numFmtId="3" fontId="4" fillId="4" borderId="18" xfId="0" applyNumberFormat="1" applyFont="1" applyFill="1" applyBorder="1" applyAlignment="1">
      <alignment horizontal="center"/>
    </xf>
    <xf numFmtId="1" fontId="4" fillId="4" borderId="18" xfId="0" applyNumberFormat="1" applyFont="1" applyFill="1" applyBorder="1" applyAlignment="1">
      <alignment horizontal="center"/>
    </xf>
    <xf numFmtId="166" fontId="4" fillId="4" borderId="18" xfId="0" applyNumberFormat="1" applyFont="1" applyFill="1" applyBorder="1" applyAlignment="1">
      <alignment horizontal="center"/>
    </xf>
    <xf numFmtId="166" fontId="4" fillId="10" borderId="1" xfId="0" applyNumberFormat="1" applyFont="1" applyFill="1" applyBorder="1" applyAlignment="1">
      <alignment horizontal="center"/>
    </xf>
    <xf numFmtId="0" fontId="1" fillId="4" borderId="25" xfId="0" applyFont="1" applyFill="1" applyBorder="1" applyAlignment="1">
      <alignment horizontal="center" wrapText="1"/>
    </xf>
    <xf numFmtId="0" fontId="17" fillId="4" borderId="25" xfId="0" applyFont="1" applyFill="1" applyBorder="1" applyAlignment="1">
      <alignment horizontal="center"/>
    </xf>
    <xf numFmtId="0" fontId="1" fillId="10" borderId="1" xfId="0" applyFont="1" applyFill="1" applyBorder="1" applyAlignment="1">
      <alignment horizontal="center" wrapText="1"/>
    </xf>
    <xf numFmtId="0" fontId="17" fillId="10" borderId="1" xfId="0" applyFont="1" applyFill="1" applyBorder="1" applyAlignment="1">
      <alignment horizontal="center"/>
    </xf>
    <xf numFmtId="0" fontId="4" fillId="4" borderId="5" xfId="0" applyFont="1" applyFill="1" applyBorder="1" applyAlignment="1">
      <alignment horizontal="center"/>
    </xf>
    <xf numFmtId="9" fontId="4" fillId="4" borderId="5" xfId="0" applyNumberFormat="1" applyFont="1" applyFill="1" applyBorder="1" applyAlignment="1">
      <alignment horizontal="center"/>
    </xf>
    <xf numFmtId="1" fontId="4" fillId="4" borderId="5" xfId="0" applyNumberFormat="1" applyFont="1" applyFill="1" applyBorder="1" applyAlignment="1">
      <alignment horizontal="center"/>
    </xf>
    <xf numFmtId="1" fontId="4" fillId="4" borderId="6" xfId="0" applyNumberFormat="1" applyFont="1" applyFill="1" applyBorder="1" applyAlignment="1">
      <alignment horizontal="center"/>
    </xf>
    <xf numFmtId="0" fontId="4" fillId="4" borderId="6" xfId="0" applyFont="1" applyFill="1" applyBorder="1" applyAlignment="1">
      <alignment horizontal="center"/>
    </xf>
    <xf numFmtId="0" fontId="1" fillId="4" borderId="1" xfId="0" applyFont="1" applyFill="1" applyBorder="1" applyAlignment="1">
      <alignment horizontal="center"/>
    </xf>
    <xf numFmtId="9" fontId="8" fillId="10" borderId="1" xfId="0" applyNumberFormat="1" applyFont="1" applyFill="1" applyBorder="1" applyAlignment="1">
      <alignment horizontal="center"/>
    </xf>
    <xf numFmtId="0" fontId="8" fillId="10" borderId="1" xfId="0" applyFont="1" applyFill="1" applyBorder="1" applyAlignment="1">
      <alignment horizontal="center"/>
    </xf>
    <xf numFmtId="2" fontId="8" fillId="10" borderId="1" xfId="0" applyNumberFormat="1" applyFont="1" applyFill="1" applyBorder="1" applyAlignment="1">
      <alignment horizontal="center"/>
    </xf>
    <xf numFmtId="167" fontId="8" fillId="10" borderId="1" xfId="0" applyNumberFormat="1" applyFont="1" applyFill="1" applyBorder="1" applyAlignment="1">
      <alignment horizontal="center"/>
    </xf>
    <xf numFmtId="1" fontId="8" fillId="10" borderId="1" xfId="0" applyNumberFormat="1" applyFont="1" applyFill="1" applyBorder="1" applyAlignment="1">
      <alignment horizontal="center"/>
    </xf>
    <xf numFmtId="166" fontId="8" fillId="10" borderId="1" xfId="0" applyNumberFormat="1" applyFont="1" applyFill="1" applyBorder="1" applyAlignment="1">
      <alignment horizontal="center"/>
    </xf>
    <xf numFmtId="0" fontId="12" fillId="3" borderId="10" xfId="0" applyFont="1" applyFill="1" applyBorder="1" applyAlignment="1">
      <alignment horizontal="center"/>
    </xf>
    <xf numFmtId="0" fontId="12" fillId="3" borderId="16" xfId="0" applyFont="1" applyFill="1" applyBorder="1" applyAlignment="1">
      <alignment horizontal="center"/>
    </xf>
    <xf numFmtId="0" fontId="12" fillId="3" borderId="15" xfId="0" applyFont="1" applyFill="1" applyBorder="1" applyAlignment="1">
      <alignment horizontal="center"/>
    </xf>
    <xf numFmtId="9" fontId="4" fillId="4" borderId="29" xfId="0" applyNumberFormat="1" applyFont="1" applyFill="1" applyBorder="1" applyAlignment="1">
      <alignment horizontal="center" vertical="center"/>
    </xf>
    <xf numFmtId="0" fontId="3" fillId="11" borderId="1" xfId="0" applyFont="1" applyFill="1" applyBorder="1"/>
    <xf numFmtId="0" fontId="8" fillId="11" borderId="1" xfId="0" applyFont="1" applyFill="1" applyBorder="1"/>
    <xf numFmtId="0" fontId="3" fillId="11" borderId="11" xfId="0" applyFont="1" applyFill="1" applyBorder="1" applyAlignment="1">
      <alignment vertical="center" wrapText="1"/>
    </xf>
    <xf numFmtId="0" fontId="3" fillId="11" borderId="11" xfId="0" applyFont="1" applyFill="1" applyBorder="1" applyAlignment="1">
      <alignment wrapText="1"/>
    </xf>
    <xf numFmtId="0" fontId="1" fillId="11" borderId="18" xfId="0" applyFont="1" applyFill="1" applyBorder="1" applyAlignment="1">
      <alignment vertical="center" wrapText="1"/>
    </xf>
    <xf numFmtId="3" fontId="1" fillId="11" borderId="18" xfId="0" applyNumberFormat="1" applyFont="1" applyFill="1" applyBorder="1" applyAlignment="1">
      <alignment horizontal="right" vertical="center" wrapText="1"/>
    </xf>
    <xf numFmtId="0" fontId="8" fillId="11" borderId="18" xfId="0" applyFont="1" applyFill="1" applyBorder="1"/>
    <xf numFmtId="0" fontId="19" fillId="11" borderId="18" xfId="0" applyFont="1" applyFill="1" applyBorder="1"/>
    <xf numFmtId="0" fontId="1" fillId="11" borderId="18" xfId="0" applyFont="1" applyFill="1" applyBorder="1" applyAlignment="1">
      <alignment horizontal="right" vertical="center" wrapText="1"/>
    </xf>
    <xf numFmtId="0" fontId="3" fillId="11" borderId="18" xfId="0" applyFont="1" applyFill="1" applyBorder="1" applyAlignment="1">
      <alignment vertical="center" wrapText="1"/>
    </xf>
    <xf numFmtId="3" fontId="3" fillId="11" borderId="18" xfId="0" applyNumberFormat="1" applyFont="1" applyFill="1" applyBorder="1" applyAlignment="1">
      <alignment horizontal="right" vertical="center" wrapText="1"/>
    </xf>
    <xf numFmtId="0" fontId="1" fillId="11" borderId="25" xfId="0" applyFont="1" applyFill="1" applyBorder="1" applyAlignment="1">
      <alignment vertical="center" wrapText="1"/>
    </xf>
    <xf numFmtId="0" fontId="21" fillId="11" borderId="25" xfId="0" applyFont="1" applyFill="1" applyBorder="1" applyAlignment="1">
      <alignment wrapText="1"/>
    </xf>
    <xf numFmtId="0" fontId="17" fillId="11" borderId="25" xfId="0" applyFont="1" applyFill="1" applyBorder="1"/>
    <xf numFmtId="0" fontId="1" fillId="11" borderId="25" xfId="0" applyFont="1" applyFill="1" applyBorder="1"/>
    <xf numFmtId="0" fontId="3" fillId="11" borderId="30" xfId="0" applyFont="1" applyFill="1" applyBorder="1" applyAlignment="1">
      <alignment vertical="center" wrapText="1"/>
    </xf>
    <xf numFmtId="0" fontId="1" fillId="11" borderId="30" xfId="0" applyFont="1" applyFill="1" applyBorder="1" applyAlignment="1">
      <alignment vertical="center" wrapText="1"/>
    </xf>
    <xf numFmtId="0" fontId="3" fillId="11" borderId="31" xfId="0" applyFont="1" applyFill="1" applyBorder="1" applyAlignment="1">
      <alignment vertical="center" wrapText="1"/>
    </xf>
    <xf numFmtId="0" fontId="1" fillId="11" borderId="31" xfId="0" applyFont="1" applyFill="1" applyBorder="1" applyAlignment="1">
      <alignment vertical="center" wrapText="1"/>
    </xf>
    <xf numFmtId="0" fontId="3" fillId="11" borderId="18" xfId="0" applyFont="1" applyFill="1" applyBorder="1" applyAlignment="1">
      <alignment horizontal="right" vertical="center" wrapText="1"/>
    </xf>
    <xf numFmtId="0" fontId="3" fillId="11" borderId="25" xfId="0" applyFont="1" applyFill="1" applyBorder="1" applyAlignment="1">
      <alignment vertical="center" wrapText="1"/>
    </xf>
    <xf numFmtId="3" fontId="3" fillId="11" borderId="25" xfId="0" applyNumberFormat="1" applyFont="1" applyFill="1" applyBorder="1" applyAlignment="1">
      <alignment horizontal="right" vertical="center" wrapText="1"/>
    </xf>
    <xf numFmtId="0" fontId="2" fillId="8" borderId="1" xfId="0" applyFont="1" applyFill="1" applyBorder="1" applyAlignment="1">
      <alignment horizontal="left" vertical="center"/>
    </xf>
    <xf numFmtId="0" fontId="0" fillId="14" borderId="0" xfId="0" applyFill="1" applyAlignment="1">
      <alignment horizontal="left"/>
    </xf>
    <xf numFmtId="0" fontId="3" fillId="11" borderId="36" xfId="0" applyFont="1" applyFill="1" applyBorder="1" applyAlignment="1">
      <alignment horizontal="center" vertical="center" wrapText="1"/>
    </xf>
    <xf numFmtId="0" fontId="0" fillId="11" borderId="36" xfId="0" applyFill="1" applyBorder="1"/>
    <xf numFmtId="0" fontId="3" fillId="11" borderId="36" xfId="0" applyFont="1" applyFill="1" applyBorder="1" applyAlignment="1">
      <alignment horizontal="center" vertical="center" wrapText="1"/>
    </xf>
    <xf numFmtId="0" fontId="1" fillId="11" borderId="36" xfId="0" applyFont="1" applyFill="1" applyBorder="1" applyAlignment="1">
      <alignment vertical="center" wrapText="1"/>
    </xf>
    <xf numFmtId="0" fontId="23" fillId="11" borderId="36" xfId="0" applyFont="1" applyFill="1" applyBorder="1" applyAlignment="1">
      <alignment horizontal="center" vertical="center" wrapText="1"/>
    </xf>
    <xf numFmtId="0" fontId="1" fillId="11" borderId="36" xfId="0" applyFont="1" applyFill="1" applyBorder="1" applyAlignment="1">
      <alignment horizontal="left" vertical="center" wrapText="1"/>
    </xf>
    <xf numFmtId="3" fontId="1" fillId="11" borderId="36" xfId="0" applyNumberFormat="1" applyFont="1" applyFill="1" applyBorder="1" applyAlignment="1">
      <alignment vertical="center" wrapText="1"/>
    </xf>
    <xf numFmtId="0" fontId="1" fillId="11" borderId="36" xfId="0" applyFont="1" applyFill="1" applyBorder="1" applyAlignment="1">
      <alignment vertical="center" wrapText="1"/>
    </xf>
    <xf numFmtId="0" fontId="1" fillId="11" borderId="36" xfId="0" applyFont="1" applyFill="1" applyBorder="1" applyAlignment="1">
      <alignment horizontal="left" vertical="center" wrapText="1"/>
    </xf>
    <xf numFmtId="0" fontId="24" fillId="11" borderId="36" xfId="0" applyFont="1" applyFill="1" applyBorder="1" applyAlignment="1">
      <alignment vertical="center" wrapText="1"/>
    </xf>
    <xf numFmtId="0" fontId="3" fillId="11" borderId="36" xfId="0" applyFont="1" applyFill="1" applyBorder="1" applyAlignment="1">
      <alignment horizontal="left" vertical="center" wrapText="1"/>
    </xf>
    <xf numFmtId="3" fontId="3" fillId="11" borderId="36" xfId="0" applyNumberFormat="1" applyFont="1" applyFill="1" applyBorder="1" applyAlignment="1">
      <alignment vertical="center" wrapText="1"/>
    </xf>
    <xf numFmtId="0" fontId="3" fillId="11" borderId="36" xfId="0" applyFont="1" applyFill="1" applyBorder="1" applyAlignment="1">
      <alignment vertical="center" wrapText="1"/>
    </xf>
    <xf numFmtId="0" fontId="29" fillId="10" borderId="1" xfId="0" applyFont="1" applyFill="1" applyBorder="1"/>
    <xf numFmtId="0" fontId="0" fillId="15" borderId="1" xfId="0" applyFont="1" applyFill="1" applyBorder="1"/>
    <xf numFmtId="0" fontId="0" fillId="11" borderId="1" xfId="0" applyFont="1" applyFill="1" applyBorder="1"/>
    <xf numFmtId="0" fontId="0" fillId="15" borderId="1" xfId="0" applyFont="1" applyFill="1" applyBorder="1" applyAlignment="1">
      <alignment vertical="center"/>
    </xf>
    <xf numFmtId="0" fontId="0" fillId="11" borderId="1" xfId="0" applyFont="1" applyFill="1" applyBorder="1" applyAlignment="1">
      <alignment vertical="center"/>
    </xf>
    <xf numFmtId="0" fontId="0" fillId="10" borderId="1" xfId="0" applyFont="1" applyFill="1" applyBorder="1" applyAlignment="1">
      <alignment horizontal="center"/>
    </xf>
    <xf numFmtId="0" fontId="0" fillId="0" borderId="42" xfId="0" applyBorder="1"/>
    <xf numFmtId="0" fontId="0" fillId="0" borderId="43" xfId="0"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title>
      <c:tx>
        <c:rich>
          <a:bodyPr/>
          <a:lstStyle/>
          <a:p>
            <a:pPr>
              <a:defRPr sz="1400" b="1" i="0"/>
            </a:pPr>
            <a:r>
              <a:t>Cumulative Ratio Carbon Saved vs Carbon Burned</a:t>
            </a:r>
          </a:p>
        </c:rich>
      </c:tx>
      <c:overlay val="0"/>
    </c:title>
    <c:autoTitleDeleted val="0"/>
    <c:plotArea>
      <c:layout>
        <c:manualLayout>
          <c:xMode val="edge"/>
          <c:yMode val="edge"/>
          <c:x val="0.16434631113051901"/>
          <c:y val="0.15258464685333401"/>
          <c:w val="0.71744301459717907"/>
          <c:h val="0.65764436659984105"/>
        </c:manualLayout>
      </c:layout>
      <c:lineChart>
        <c:grouping val="standard"/>
        <c:varyColors val="0"/>
        <c:ser>
          <c:idx val="0"/>
          <c:order val="0"/>
          <c:tx>
            <c:strRef>
              <c:f>'development plan (Wind)'!$C$13</c:f>
              <c:strCache>
                <c:ptCount val="1"/>
                <c:pt idx="0">
                  <c:v>cumulative ratio carbon saved/carbon burned</c:v>
                </c:pt>
              </c:strCache>
            </c:strRef>
          </c:tx>
          <c:spPr>
            <a:ln w="25400" cmpd="sng">
              <a:solidFill>
                <a:srgbClr val="9BBB59"/>
              </a:solidFill>
            </a:ln>
          </c:spPr>
          <c:marker>
            <c:symbol val="none"/>
          </c:marker>
          <c:cat>
            <c:numRef>
              <c:f>'development plan (Wind)'!$A$14:$A$67</c:f>
              <c:numCache>
                <c:formatCode>General</c:formatCode>
                <c:ptCount val="5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numCache>
            </c:numRef>
          </c:cat>
          <c:val>
            <c:numRef>
              <c:f>'development plan (Wind)'!$C$14:$C$67</c:f>
              <c:numCache>
                <c:formatCode>0%</c:formatCode>
                <c:ptCount val="54"/>
                <c:pt idx="0">
                  <c:v>0</c:v>
                </c:pt>
                <c:pt idx="1">
                  <c:v>1.270703529117796E-2</c:v>
                </c:pt>
                <c:pt idx="2">
                  <c:v>2.5786639269095579E-2</c:v>
                </c:pt>
                <c:pt idx="3">
                  <c:v>3.9261715746462256E-2</c:v>
                </c:pt>
                <c:pt idx="4">
                  <c:v>5.3144174705886886E-2</c:v>
                </c:pt>
                <c:pt idx="5">
                  <c:v>6.7444093824961623E-2</c:v>
                </c:pt>
                <c:pt idx="6">
                  <c:v>8.2181497579940935E-2</c:v>
                </c:pt>
                <c:pt idx="7">
                  <c:v>9.7366398208952112E-2</c:v>
                </c:pt>
                <c:pt idx="8">
                  <c:v>0.11301657343328864</c:v>
                </c:pt>
                <c:pt idx="9">
                  <c:v>0.1291500191057936</c:v>
                </c:pt>
                <c:pt idx="10">
                  <c:v>0.14578151859648852</c:v>
                </c:pt>
                <c:pt idx="11">
                  <c:v>0.16292703516877696</c:v>
                </c:pt>
                <c:pt idx="12">
                  <c:v>0.18060607710509249</c:v>
                </c:pt>
                <c:pt idx="13">
                  <c:v>0.19883519647148307</c:v>
                </c:pt>
                <c:pt idx="14">
                  <c:v>0.21763386066978413</c:v>
                </c:pt>
                <c:pt idx="15">
                  <c:v>0.23702125101391427</c:v>
                </c:pt>
                <c:pt idx="16">
                  <c:v>0.25701850252634084</c:v>
                </c:pt>
                <c:pt idx="17">
                  <c:v>0.27764816124126096</c:v>
                </c:pt>
                <c:pt idx="18">
                  <c:v>0.29893188414360244</c:v>
                </c:pt>
                <c:pt idx="19">
                  <c:v>0.3208924937363577</c:v>
                </c:pt>
                <c:pt idx="20">
                  <c:v>0.34355195548388584</c:v>
                </c:pt>
                <c:pt idx="21">
                  <c:v>0.36693490405708717</c:v>
                </c:pt>
                <c:pt idx="22">
                  <c:v>0.39106806307111136</c:v>
                </c:pt>
                <c:pt idx="23">
                  <c:v>0.41597675604694456</c:v>
                </c:pt>
                <c:pt idx="24">
                  <c:v>0.44168811811826852</c:v>
                </c:pt>
                <c:pt idx="25">
                  <c:v>0.4682307476444042</c:v>
                </c:pt>
                <c:pt idx="26">
                  <c:v>0.49563443524260031</c:v>
                </c:pt>
                <c:pt idx="27">
                  <c:v>0.52392995088483241</c:v>
                </c:pt>
                <c:pt idx="28">
                  <c:v>0.55314887504353938</c:v>
                </c:pt>
                <c:pt idx="29">
                  <c:v>0.58332346360821286</c:v>
                </c:pt>
                <c:pt idx="30">
                  <c:v>0.61448772107943184</c:v>
                </c:pt>
                <c:pt idx="31">
                  <c:v>0.64667712734838056</c:v>
                </c:pt>
                <c:pt idx="32">
                  <c:v>0.67992730366492782</c:v>
                </c:pt>
                <c:pt idx="33">
                  <c:v>0.71427614750254664</c:v>
                </c:pt>
                <c:pt idx="34">
                  <c:v>0.74976350738351327</c:v>
                </c:pt>
                <c:pt idx="35">
                  <c:v>0.78642989395267549</c:v>
                </c:pt>
                <c:pt idx="36">
                  <c:v>0.8243183713717176</c:v>
                </c:pt>
                <c:pt idx="37">
                  <c:v>0.86347229258798019</c:v>
                </c:pt>
                <c:pt idx="38">
                  <c:v>0.90393714159785465</c:v>
                </c:pt>
                <c:pt idx="39">
                  <c:v>0.94576026706565208</c:v>
                </c:pt>
                <c:pt idx="40">
                  <c:v>0.98899065492507587</c:v>
                </c:pt>
                <c:pt idx="41">
                  <c:v>1.0336796059923981</c:v>
                </c:pt>
                <c:pt idx="42">
                  <c:v>1.0798796145591756</c:v>
                </c:pt>
                <c:pt idx="43">
                  <c:v>1.1276458985018922</c:v>
                </c:pt>
                <c:pt idx="44">
                  <c:v>1.1770352823036263</c:v>
                </c:pt>
                <c:pt idx="45">
                  <c:v>1.2281068190772542</c:v>
                </c:pt>
                <c:pt idx="46">
                  <c:v>1.2809215534771736</c:v>
                </c:pt>
                <c:pt idx="47">
                  <c:v>1.335543077707485</c:v>
                </c:pt>
                <c:pt idx="48">
                  <c:v>1.3920372715679419</c:v>
                </c:pt>
                <c:pt idx="49">
                  <c:v>1.4504728066163906</c:v>
                </c:pt>
                <c:pt idx="50">
                  <c:v>1.5109208724669967</c:v>
                </c:pt>
                <c:pt idx="51">
                  <c:v>1.5734556394021451</c:v>
                </c:pt>
                <c:pt idx="52">
                  <c:v>1.638153285741468</c:v>
                </c:pt>
                <c:pt idx="53">
                  <c:v>1.7050938478069344</c:v>
                </c:pt>
              </c:numCache>
            </c:numRef>
          </c:val>
          <c:smooth val="0"/>
        </c:ser>
        <c:dLbls>
          <c:showLegendKey val="0"/>
          <c:showVal val="0"/>
          <c:showCatName val="0"/>
          <c:showSerName val="0"/>
          <c:showPercent val="0"/>
          <c:showBubbleSize val="0"/>
        </c:dLbls>
        <c:smooth val="0"/>
        <c:axId val="-248257504"/>
        <c:axId val="-248261312"/>
      </c:lineChart>
      <c:catAx>
        <c:axId val="-248257504"/>
        <c:scaling>
          <c:orientation val="minMax"/>
        </c:scaling>
        <c:delete val="0"/>
        <c:axPos val="b"/>
        <c:title>
          <c:tx>
            <c:rich>
              <a:bodyPr/>
              <a:lstStyle/>
              <a:p>
                <a:pPr>
                  <a:defRPr sz="1100" b="1" i="0"/>
                </a:pPr>
                <a:r>
                  <a:t>Year</a:t>
                </a:r>
              </a:p>
            </c:rich>
          </c:tx>
          <c:overlay val="0"/>
        </c:title>
        <c:numFmt formatCode="General" sourceLinked="1"/>
        <c:majorTickMark val="cross"/>
        <c:minorTickMark val="cross"/>
        <c:tickLblPos val="nextTo"/>
        <c:txPr>
          <a:bodyPr/>
          <a:lstStyle/>
          <a:p>
            <a:pPr>
              <a:defRPr/>
            </a:pPr>
            <a:endParaRPr lang="en-US"/>
          </a:p>
        </c:txPr>
        <c:crossAx val="-248261312"/>
        <c:crosses val="autoZero"/>
        <c:auto val="1"/>
        <c:lblAlgn val="ctr"/>
        <c:lblOffset val="100"/>
        <c:noMultiLvlLbl val="1"/>
      </c:catAx>
      <c:valAx>
        <c:axId val="-248261312"/>
        <c:scaling>
          <c:orientation val="minMax"/>
        </c:scaling>
        <c:delete val="0"/>
        <c:axPos val="l"/>
        <c:majorGridlines>
          <c:spPr>
            <a:ln>
              <a:solidFill>
                <a:srgbClr val="B7B7B7"/>
              </a:solidFill>
            </a:ln>
          </c:spPr>
        </c:majorGridlines>
        <c:title>
          <c:tx>
            <c:rich>
              <a:bodyPr/>
              <a:lstStyle/>
              <a:p>
                <a:pPr>
                  <a:defRPr b="1" i="0"/>
                </a:pPr>
                <a:r>
                  <a:t>CO2 saved by wind energy/tar sands CO2</a:t>
                </a:r>
              </a:p>
            </c:rich>
          </c:tx>
          <c:overlay val="0"/>
        </c:title>
        <c:numFmt formatCode="0%" sourceLinked="1"/>
        <c:majorTickMark val="cross"/>
        <c:minorTickMark val="cross"/>
        <c:tickLblPos val="nextTo"/>
        <c:spPr>
          <a:ln w="47625">
            <a:noFill/>
          </a:ln>
        </c:spPr>
        <c:txPr>
          <a:bodyPr/>
          <a:lstStyle/>
          <a:p>
            <a:pPr>
              <a:defRPr/>
            </a:pPr>
            <a:endParaRPr lang="en-US"/>
          </a:p>
        </c:txPr>
        <c:crossAx val="-248257504"/>
        <c:crosses val="autoZero"/>
        <c:crossBetween val="between"/>
      </c:valAx>
      <c:spPr>
        <a:solidFill>
          <a:srgbClr val="FFFFFF"/>
        </a:solidFill>
      </c:spPr>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title>
      <c:tx>
        <c:rich>
          <a:bodyPr/>
          <a:lstStyle/>
          <a:p>
            <a:pPr>
              <a:defRPr sz="1400" b="1" i="0"/>
            </a:pPr>
            <a:r>
              <a:rPr lang="en-CA"/>
              <a:t>Cumulative Ratio Carbon Saved vs Carbon Burned</a:t>
            </a:r>
          </a:p>
        </c:rich>
      </c:tx>
      <c:layout/>
      <c:overlay val="0"/>
    </c:title>
    <c:autoTitleDeleted val="0"/>
    <c:plotArea>
      <c:layout>
        <c:manualLayout>
          <c:xMode val="edge"/>
          <c:yMode val="edge"/>
          <c:x val="0.16434631113051901"/>
          <c:y val="0.15258464685333401"/>
          <c:w val="0.71744301459717907"/>
          <c:h val="0.65764436659984105"/>
        </c:manualLayout>
      </c:layout>
      <c:lineChart>
        <c:grouping val="standard"/>
        <c:varyColors val="0"/>
        <c:ser>
          <c:idx val="0"/>
          <c:order val="0"/>
          <c:tx>
            <c:strRef>
              <c:f>'Dev Plan (Wind)'!$D$20</c:f>
              <c:strCache>
                <c:ptCount val="1"/>
                <c:pt idx="0">
                  <c:v>Cumulative ratio carbon saved/carbon burned</c:v>
                </c:pt>
              </c:strCache>
            </c:strRef>
          </c:tx>
          <c:spPr>
            <a:ln w="25400" cmpd="sng">
              <a:solidFill>
                <a:srgbClr val="9BBB59"/>
              </a:solidFill>
            </a:ln>
          </c:spPr>
          <c:marker>
            <c:symbol val="none"/>
          </c:marker>
          <c:cat>
            <c:numRef>
              <c:f>'Dev Plan (Wind)'!$B$21:$B$74</c:f>
              <c:numCache>
                <c:formatCode>General</c:formatCode>
                <c:ptCount val="5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numCache>
            </c:numRef>
          </c:cat>
          <c:val>
            <c:numRef>
              <c:f>'Dev Plan (Wind)'!$D$21:$D$74</c:f>
              <c:numCache>
                <c:formatCode>0%</c:formatCode>
                <c:ptCount val="54"/>
                <c:pt idx="0">
                  <c:v>0</c:v>
                </c:pt>
                <c:pt idx="1">
                  <c:v>1.270703529117796E-2</c:v>
                </c:pt>
                <c:pt idx="2">
                  <c:v>2.5945439037214114E-2</c:v>
                </c:pt>
                <c:pt idx="3">
                  <c:v>3.9738115050817882E-2</c:v>
                </c:pt>
                <c:pt idx="4">
                  <c:v>5.4111631754732159E-2</c:v>
                </c:pt>
                <c:pt idx="5">
                  <c:v>6.9099276023427955E-2</c:v>
                </c:pt>
                <c:pt idx="6">
                  <c:v>8.4731019131822127E-2</c:v>
                </c:pt>
                <c:pt idx="7">
                  <c:v>0.10103558900499882</c:v>
                </c:pt>
                <c:pt idx="8">
                  <c:v>0.11804523275704244</c:v>
                </c:pt>
                <c:pt idx="9">
                  <c:v>0.13579395709653783</c:v>
                </c:pt>
                <c:pt idx="10">
                  <c:v>0.15431672851088793</c:v>
                </c:pt>
                <c:pt idx="11">
                  <c:v>0.17365212720016776</c:v>
                </c:pt>
                <c:pt idx="12">
                  <c:v>0.1938381382568399</c:v>
                </c:pt>
                <c:pt idx="13">
                  <c:v>0.2149175993613785</c:v>
                </c:pt>
                <c:pt idx="14">
                  <c:v>0.23693414017957626</c:v>
                </c:pt>
                <c:pt idx="15">
                  <c:v>0.25993193486713229</c:v>
                </c:pt>
                <c:pt idx="16">
                  <c:v>0.28395985323148404</c:v>
                </c:pt>
                <c:pt idx="17">
                  <c:v>0.30906812048963878</c:v>
                </c:pt>
                <c:pt idx="18">
                  <c:v>0.33530988932356803</c:v>
                </c:pt>
                <c:pt idx="19">
                  <c:v>0.36274050801396618</c:v>
                </c:pt>
                <c:pt idx="20">
                  <c:v>0.39142048778344357</c:v>
                </c:pt>
                <c:pt idx="21">
                  <c:v>0.4202549800445825</c:v>
                </c:pt>
                <c:pt idx="22">
                  <c:v>0.44932102282544634</c:v>
                </c:pt>
                <c:pt idx="23">
                  <c:v>0.47868586832444882</c:v>
                </c:pt>
                <c:pt idx="24">
                  <c:v>0.50840600838825767</c:v>
                </c:pt>
                <c:pt idx="25">
                  <c:v>0.53852924381020695</c:v>
                </c:pt>
                <c:pt idx="26">
                  <c:v>0.56909765104759391</c:v>
                </c:pt>
                <c:pt idx="27">
                  <c:v>0.60014991321383993</c:v>
                </c:pt>
                <c:pt idx="28">
                  <c:v>0.63171811416188306</c:v>
                </c:pt>
                <c:pt idx="29">
                  <c:v>0.66383128143428072</c:v>
                </c:pt>
                <c:pt idx="30">
                  <c:v>0.69651351495195901</c:v>
                </c:pt>
                <c:pt idx="31">
                  <c:v>0.72978590214572847</c:v>
                </c:pt>
                <c:pt idx="32">
                  <c:v>0.76366697439418019</c:v>
                </c:pt>
                <c:pt idx="33">
                  <c:v>0.79817092726075733</c:v>
                </c:pt>
                <c:pt idx="34">
                  <c:v>0.83330928692735673</c:v>
                </c:pt>
                <c:pt idx="35">
                  <c:v>0.86909026299453485</c:v>
                </c:pt>
                <c:pt idx="36">
                  <c:v>0.90551919666817571</c:v>
                </c:pt>
                <c:pt idx="37">
                  <c:v>0.94259797380878008</c:v>
                </c:pt>
                <c:pt idx="38">
                  <c:v>0.98032546792446429</c:v>
                </c:pt>
                <c:pt idx="39">
                  <c:v>1.0186970005624993</c:v>
                </c:pt>
                <c:pt idx="40">
                  <c:v>1.0577029868606174</c:v>
                </c:pt>
                <c:pt idx="41">
                  <c:v>1.0973312646957825</c:v>
                </c:pt>
                <c:pt idx="42">
                  <c:v>1.1376023359962266</c:v>
                </c:pt>
                <c:pt idx="43">
                  <c:v>1.1785340060126082</c:v>
                </c:pt>
                <c:pt idx="44">
                  <c:v>1.2201449403799933</c:v>
                </c:pt>
                <c:pt idx="45">
                  <c:v>1.2624521816347469</c:v>
                </c:pt>
                <c:pt idx="46">
                  <c:v>1.3054721015888699</c:v>
                </c:pt>
                <c:pt idx="47">
                  <c:v>1.3492197077366961</c:v>
                </c:pt>
                <c:pt idx="48">
                  <c:v>1.393710278230178</c:v>
                </c:pt>
                <c:pt idx="49">
                  <c:v>1.4389578689691129</c:v>
                </c:pt>
                <c:pt idx="50">
                  <c:v>1.4849768705317579</c:v>
                </c:pt>
                <c:pt idx="51">
                  <c:v>1.5317812712615102</c:v>
                </c:pt>
                <c:pt idx="52">
                  <c:v>1.5793840037777378</c:v>
                </c:pt>
                <c:pt idx="53">
                  <c:v>1.6277983999909786</c:v>
                </c:pt>
              </c:numCache>
            </c:numRef>
          </c:val>
          <c:smooth val="0"/>
        </c:ser>
        <c:dLbls>
          <c:showLegendKey val="0"/>
          <c:showVal val="0"/>
          <c:showCatName val="0"/>
          <c:showSerName val="0"/>
          <c:showPercent val="0"/>
          <c:showBubbleSize val="0"/>
        </c:dLbls>
        <c:smooth val="0"/>
        <c:axId val="-248260224"/>
        <c:axId val="-248264576"/>
      </c:lineChart>
      <c:catAx>
        <c:axId val="-248260224"/>
        <c:scaling>
          <c:orientation val="minMax"/>
        </c:scaling>
        <c:delete val="0"/>
        <c:axPos val="b"/>
        <c:title>
          <c:tx>
            <c:rich>
              <a:bodyPr/>
              <a:lstStyle/>
              <a:p>
                <a:pPr>
                  <a:defRPr sz="1100" b="1" i="0"/>
                </a:pPr>
                <a:r>
                  <a:rPr lang="en-CA"/>
                  <a:t>Years</a:t>
                </a:r>
              </a:p>
            </c:rich>
          </c:tx>
          <c:layout>
            <c:manualLayout>
              <c:xMode val="edge"/>
              <c:yMode val="edge"/>
              <c:x val="0.49366833892598866"/>
              <c:y val="0.87562402111180249"/>
            </c:manualLayout>
          </c:layout>
          <c:overlay val="0"/>
        </c:title>
        <c:numFmt formatCode="General" sourceLinked="1"/>
        <c:majorTickMark val="cross"/>
        <c:minorTickMark val="cross"/>
        <c:tickLblPos val="nextTo"/>
        <c:txPr>
          <a:bodyPr/>
          <a:lstStyle/>
          <a:p>
            <a:pPr>
              <a:defRPr/>
            </a:pPr>
            <a:endParaRPr lang="en-US"/>
          </a:p>
        </c:txPr>
        <c:crossAx val="-248264576"/>
        <c:crosses val="autoZero"/>
        <c:auto val="1"/>
        <c:lblAlgn val="ctr"/>
        <c:lblOffset val="100"/>
        <c:noMultiLvlLbl val="1"/>
      </c:catAx>
      <c:valAx>
        <c:axId val="-248264576"/>
        <c:scaling>
          <c:orientation val="minMax"/>
        </c:scaling>
        <c:delete val="0"/>
        <c:axPos val="l"/>
        <c:majorGridlines>
          <c:spPr>
            <a:ln>
              <a:solidFill>
                <a:srgbClr val="B7B7B7"/>
              </a:solidFill>
            </a:ln>
          </c:spPr>
        </c:majorGridlines>
        <c:title>
          <c:tx>
            <c:rich>
              <a:bodyPr/>
              <a:lstStyle/>
              <a:p>
                <a:pPr>
                  <a:defRPr b="1" i="0"/>
                </a:pPr>
                <a:r>
                  <a:rPr lang="en-CA"/>
                  <a:t>CO2 saved by wind energy / Oil sands CO2</a:t>
                </a:r>
              </a:p>
            </c:rich>
          </c:tx>
          <c:layout>
            <c:manualLayout>
              <c:xMode val="edge"/>
              <c:yMode val="edge"/>
              <c:x val="0.11764444001461842"/>
              <c:y val="0.14932395031002596"/>
            </c:manualLayout>
          </c:layout>
          <c:overlay val="0"/>
        </c:title>
        <c:numFmt formatCode="0%" sourceLinked="1"/>
        <c:majorTickMark val="cross"/>
        <c:minorTickMark val="cross"/>
        <c:tickLblPos val="nextTo"/>
        <c:spPr>
          <a:ln w="47625">
            <a:noFill/>
          </a:ln>
        </c:spPr>
        <c:txPr>
          <a:bodyPr/>
          <a:lstStyle/>
          <a:p>
            <a:pPr>
              <a:defRPr/>
            </a:pPr>
            <a:endParaRPr lang="en-US"/>
          </a:p>
        </c:txPr>
        <c:crossAx val="-248260224"/>
        <c:crosses val="autoZero"/>
        <c:crossBetween val="between"/>
      </c:valAx>
      <c:spPr>
        <a:solidFill>
          <a:srgbClr val="FFFFFF"/>
        </a:solidFill>
      </c:spPr>
    </c:plotArea>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title>
      <c:tx>
        <c:rich>
          <a:bodyPr/>
          <a:lstStyle/>
          <a:p>
            <a:pPr>
              <a:defRPr sz="1400" b="1" i="0"/>
            </a:pPr>
            <a:r>
              <a:rPr lang="en-CA"/>
              <a:t>Offsetting Oil Sands CO2 Production</a:t>
            </a:r>
          </a:p>
        </c:rich>
      </c:tx>
      <c:layout/>
      <c:overlay val="0"/>
    </c:title>
    <c:autoTitleDeleted val="0"/>
    <c:plotArea>
      <c:layout>
        <c:manualLayout>
          <c:xMode val="edge"/>
          <c:yMode val="edge"/>
          <c:x val="0.16434631113051901"/>
          <c:y val="0.15258464685333401"/>
          <c:w val="0.71744301459717907"/>
          <c:h val="0.65764436659984105"/>
        </c:manualLayout>
      </c:layout>
      <c:lineChart>
        <c:grouping val="standard"/>
        <c:varyColors val="0"/>
        <c:ser>
          <c:idx val="0"/>
          <c:order val="0"/>
          <c:tx>
            <c:strRef>
              <c:f>'Dev Plan (Wind)'!$O$20</c:f>
              <c:strCache>
                <c:ptCount val="1"/>
                <c:pt idx="0">
                  <c:v>Marginal carbon offset ratio</c:v>
                </c:pt>
              </c:strCache>
            </c:strRef>
          </c:tx>
          <c:spPr>
            <a:ln w="25400" cmpd="sng">
              <a:solidFill>
                <a:srgbClr val="9BBB59"/>
              </a:solidFill>
            </a:ln>
          </c:spPr>
          <c:marker>
            <c:symbol val="none"/>
          </c:marker>
          <c:cat>
            <c:numRef>
              <c:f>'Dev Plan (Wind)'!$B$21:$B$74</c:f>
              <c:numCache>
                <c:formatCode>General</c:formatCode>
                <c:ptCount val="5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numCache>
            </c:numRef>
          </c:cat>
          <c:val>
            <c:numRef>
              <c:f>'Dev Plan (Wind)'!$O$21:$O$80</c:f>
              <c:numCache>
                <c:formatCode>0%</c:formatCode>
                <c:ptCount val="60"/>
                <c:pt idx="0">
                  <c:v>0</c:v>
                </c:pt>
                <c:pt idx="1">
                  <c:v>8.8924966079090603E-2</c:v>
                </c:pt>
                <c:pt idx="2">
                  <c:v>0.18156849598845318</c:v>
                </c:pt>
                <c:pt idx="3">
                  <c:v>0.27809087265180638</c:v>
                </c:pt>
                <c:pt idx="4">
                  <c:v>0.37867802426066377</c:v>
                </c:pt>
                <c:pt idx="5">
                  <c:v>0.4835628953308298</c:v>
                </c:pt>
                <c:pt idx="6">
                  <c:v>0.59295522751677066</c:v>
                </c:pt>
                <c:pt idx="7">
                  <c:v>0.70705606139995014</c:v>
                </c:pt>
                <c:pt idx="8">
                  <c:v>0.82609106516027075</c:v>
                </c:pt>
                <c:pt idx="9">
                  <c:v>0.95029822077685389</c:v>
                </c:pt>
                <c:pt idx="10">
                  <c:v>1.0799222268465767</c:v>
                </c:pt>
                <c:pt idx="11">
                  <c:v>1.215233071049836</c:v>
                </c:pt>
                <c:pt idx="12">
                  <c:v>1.3564965764508914</c:v>
                </c:pt>
                <c:pt idx="13">
                  <c:v>1.5040125249576211</c:v>
                </c:pt>
                <c:pt idx="14">
                  <c:v>1.6580862408617856</c:v>
                </c:pt>
                <c:pt idx="15">
                  <c:v>1.8190268588440648</c:v>
                </c:pt>
                <c:pt idx="16">
                  <c:v>1.9871763741747221</c:v>
                </c:pt>
                <c:pt idx="17">
                  <c:v>2.1628862674010576</c:v>
                </c:pt>
                <c:pt idx="18">
                  <c:v>2.3465285057312362</c:v>
                </c:pt>
                <c:pt idx="19">
                  <c:v>2.5384904213690729</c:v>
                </c:pt>
                <c:pt idx="20">
                  <c:v>2.7391954772463012</c:v>
                </c:pt>
                <c:pt idx="21">
                  <c:v>2.9409818253183606</c:v>
                </c:pt>
                <c:pt idx="22">
                  <c:v>3.1443885845752715</c:v>
                </c:pt>
                <c:pt idx="23">
                  <c:v>3.3498863918985453</c:v>
                </c:pt>
                <c:pt idx="24">
                  <c:v>3.5578705822686523</c:v>
                </c:pt>
                <c:pt idx="25">
                  <c:v>3.7686756698998352</c:v>
                </c:pt>
                <c:pt idx="26">
                  <c:v>3.9825961095923006</c:v>
                </c:pt>
                <c:pt idx="27">
                  <c:v>4.199902609223221</c:v>
                </c:pt>
                <c:pt idx="28">
                  <c:v>4.420819694456438</c:v>
                </c:pt>
                <c:pt idx="29">
                  <c:v>4.6455505026232098</c:v>
                </c:pt>
                <c:pt idx="30">
                  <c:v>4.8742636871192166</c:v>
                </c:pt>
                <c:pt idx="31">
                  <c:v>5.1071068196656784</c:v>
                </c:pt>
                <c:pt idx="32">
                  <c:v>5.3442095845024555</c:v>
                </c:pt>
                <c:pt idx="33">
                  <c:v>5.5856713234483673</c:v>
                </c:pt>
                <c:pt idx="34">
                  <c:v>5.8315726977521427</c:v>
                </c:pt>
                <c:pt idx="35">
                  <c:v>6.0819711589305419</c:v>
                </c:pt>
                <c:pt idx="36">
                  <c:v>6.3369040852186256</c:v>
                </c:pt>
                <c:pt idx="37">
                  <c:v>6.5963846740363445</c:v>
                </c:pt>
                <c:pt idx="38">
                  <c:v>6.8604050420930465</c:v>
                </c:pt>
                <c:pt idx="39">
                  <c:v>7.1289324491593469</c:v>
                </c:pt>
                <c:pt idx="40">
                  <c:v>7.4018998195143926</c:v>
                </c:pt>
                <c:pt idx="41">
                  <c:v>7.6792220415366597</c:v>
                </c:pt>
                <c:pt idx="42">
                  <c:v>7.9610425895481116</c:v>
                </c:pt>
                <c:pt idx="43">
                  <c:v>8.2474860662805867</c:v>
                </c:pt>
                <c:pt idx="44">
                  <c:v>8.5386830955127255</c:v>
                </c:pt>
                <c:pt idx="45">
                  <c:v>8.834752942433731</c:v>
                </c:pt>
                <c:pt idx="46">
                  <c:v>9.1358101784438901</c:v>
                </c:pt>
                <c:pt idx="47">
                  <c:v>9.4419598273267979</c:v>
                </c:pt>
                <c:pt idx="48">
                  <c:v>9.7533088069522034</c:v>
                </c:pt>
                <c:pt idx="49">
                  <c:v>10.069955481760278</c:v>
                </c:pt>
                <c:pt idx="50">
                  <c:v>10.392000558300902</c:v>
                </c:pt>
                <c:pt idx="51">
                  <c:v>10.719541928248537</c:v>
                </c:pt>
                <c:pt idx="52">
                  <c:v>11.05267009522675</c:v>
                </c:pt>
                <c:pt idx="53">
                  <c:v>11.391478357134314</c:v>
                </c:pt>
                <c:pt idx="54">
                  <c:v>11.736057889344245</c:v>
                </c:pt>
                <c:pt idx="55">
                  <c:v>12.086502513727121</c:v>
                </c:pt>
                <c:pt idx="56">
                  <c:v>12.44290396733239</c:v>
                </c:pt>
                <c:pt idx="57">
                  <c:v>12.805360925310129</c:v>
                </c:pt>
                <c:pt idx="58">
                  <c:v>13.173969719625285</c:v>
                </c:pt>
                <c:pt idx="59">
                  <c:v>13.548833082745706</c:v>
                </c:pt>
              </c:numCache>
            </c:numRef>
          </c:val>
          <c:smooth val="0"/>
        </c:ser>
        <c:dLbls>
          <c:showLegendKey val="0"/>
          <c:showVal val="0"/>
          <c:showCatName val="0"/>
          <c:showSerName val="0"/>
          <c:showPercent val="0"/>
          <c:showBubbleSize val="0"/>
        </c:dLbls>
        <c:smooth val="0"/>
        <c:axId val="-248267840"/>
        <c:axId val="-248266208"/>
      </c:lineChart>
      <c:catAx>
        <c:axId val="-248267840"/>
        <c:scaling>
          <c:orientation val="minMax"/>
        </c:scaling>
        <c:delete val="0"/>
        <c:axPos val="b"/>
        <c:title>
          <c:tx>
            <c:rich>
              <a:bodyPr/>
              <a:lstStyle/>
              <a:p>
                <a:pPr>
                  <a:defRPr sz="1100" b="1" i="0"/>
                </a:pPr>
                <a:r>
                  <a:rPr lang="en-CA"/>
                  <a:t>Years</a:t>
                </a:r>
              </a:p>
            </c:rich>
          </c:tx>
          <c:layout>
            <c:manualLayout>
              <c:xMode val="edge"/>
              <c:yMode val="edge"/>
              <c:x val="0.4933564399258219"/>
              <c:y val="0.84274929048503089"/>
            </c:manualLayout>
          </c:layout>
          <c:overlay val="0"/>
        </c:title>
        <c:numFmt formatCode="General" sourceLinked="1"/>
        <c:majorTickMark val="cross"/>
        <c:minorTickMark val="cross"/>
        <c:tickLblPos val="nextTo"/>
        <c:txPr>
          <a:bodyPr/>
          <a:lstStyle/>
          <a:p>
            <a:pPr>
              <a:defRPr/>
            </a:pPr>
            <a:endParaRPr lang="en-US"/>
          </a:p>
        </c:txPr>
        <c:crossAx val="-248266208"/>
        <c:crosses val="autoZero"/>
        <c:auto val="1"/>
        <c:lblAlgn val="ctr"/>
        <c:lblOffset val="100"/>
        <c:noMultiLvlLbl val="1"/>
      </c:catAx>
      <c:valAx>
        <c:axId val="-248266208"/>
        <c:scaling>
          <c:orientation val="minMax"/>
        </c:scaling>
        <c:delete val="0"/>
        <c:axPos val="l"/>
        <c:majorGridlines>
          <c:spPr>
            <a:ln>
              <a:solidFill>
                <a:srgbClr val="B7B7B7"/>
              </a:solidFill>
            </a:ln>
          </c:spPr>
        </c:majorGridlines>
        <c:title>
          <c:tx>
            <c:rich>
              <a:bodyPr/>
              <a:lstStyle/>
              <a:p>
                <a:pPr>
                  <a:defRPr b="1" i="0"/>
                </a:pPr>
                <a:r>
                  <a:rPr lang="en-CA"/>
                  <a:t>CO2 saved by wind energy / Oil sands CO2</a:t>
                </a:r>
              </a:p>
            </c:rich>
          </c:tx>
          <c:layout>
            <c:manualLayout>
              <c:xMode val="edge"/>
              <c:yMode val="edge"/>
              <c:x val="0.12641545653294467"/>
              <c:y val="0.14211495920733486"/>
            </c:manualLayout>
          </c:layout>
          <c:overlay val="0"/>
        </c:title>
        <c:numFmt formatCode="0%" sourceLinked="1"/>
        <c:majorTickMark val="cross"/>
        <c:minorTickMark val="cross"/>
        <c:tickLblPos val="nextTo"/>
        <c:spPr>
          <a:ln w="47625">
            <a:noFill/>
          </a:ln>
        </c:spPr>
        <c:txPr>
          <a:bodyPr/>
          <a:lstStyle/>
          <a:p>
            <a:pPr>
              <a:defRPr/>
            </a:pPr>
            <a:endParaRPr lang="en-US"/>
          </a:p>
        </c:txPr>
        <c:crossAx val="-248267840"/>
        <c:crosses val="autoZero"/>
        <c:crossBetween val="between"/>
      </c:valAx>
      <c:spPr>
        <a:solidFill>
          <a:srgbClr val="FFFFFF"/>
        </a:solidFill>
      </c:spPr>
    </c:plotArea>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title>
      <c:tx>
        <c:rich>
          <a:bodyPr/>
          <a:lstStyle/>
          <a:p>
            <a:pPr>
              <a:defRPr sz="1800" b="1" i="0">
                <a:solidFill>
                  <a:srgbClr val="000000"/>
                </a:solidFill>
              </a:defRPr>
            </a:pPr>
            <a:r>
              <a:rPr lang="en-CA" sz="1800" b="1" i="0" baseline="0">
                <a:effectLst/>
              </a:rPr>
              <a:t>Cumulative Ratio Carbon Saved vs Carbon Burned Using $0.05/kWh Reinvestment Policy</a:t>
            </a:r>
            <a:endParaRPr lang="en-CA">
              <a:effectLst/>
            </a:endParaRPr>
          </a:p>
        </c:rich>
      </c:tx>
      <c:layout/>
      <c:overlay val="0"/>
    </c:title>
    <c:autoTitleDeleted val="0"/>
    <c:plotArea>
      <c:layout>
        <c:manualLayout>
          <c:layoutTarget val="inner"/>
          <c:xMode val="edge"/>
          <c:yMode val="edge"/>
          <c:x val="0.24042985196637026"/>
          <c:y val="0.21883050676357763"/>
          <c:w val="0.57869940575873469"/>
          <c:h val="0.5645722289521502"/>
        </c:manualLayout>
      </c:layout>
      <c:scatterChart>
        <c:scatterStyle val="lineMarker"/>
        <c:varyColors val="1"/>
        <c:ser>
          <c:idx val="0"/>
          <c:order val="0"/>
          <c:tx>
            <c:v>$5/bbl</c:v>
          </c:tx>
          <c:spPr>
            <a:ln w="47625">
              <a:noFill/>
            </a:ln>
          </c:spPr>
          <c:marker>
            <c:symbol val="x"/>
            <c:size val="7"/>
          </c:marker>
          <c:xVal>
            <c:numRef>
              <c:f>'Wind Graphs'!$B$5:$B$64</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'Wind Graphs'!$C$5:$C$64</c:f>
              <c:numCache>
                <c:formatCode>0%</c:formatCode>
                <c:ptCount val="60"/>
                <c:pt idx="0">
                  <c:v>0</c:v>
                </c:pt>
                <c:pt idx="1">
                  <c:v>3.1767588227944901E-3</c:v>
                </c:pt>
                <c:pt idx="2">
                  <c:v>6.4466598172738931E-3</c:v>
                </c:pt>
                <c:pt idx="3">
                  <c:v>9.8131385553446235E-3</c:v>
                </c:pt>
                <c:pt idx="4">
                  <c:v>1.3276882151387961E-2</c:v>
                </c:pt>
                <c:pt idx="5">
                  <c:v>1.6844227326920175E-2</c:v>
                </c:pt>
                <c:pt idx="6">
                  <c:v>2.0517889819733945E-2</c:v>
                </c:pt>
                <c:pt idx="7">
                  <c:v>2.4303808261267514E-2</c:v>
                </c:pt>
                <c:pt idx="8">
                  <c:v>2.8205281891208758E-2</c:v>
                </c:pt>
                <c:pt idx="9">
                  <c:v>3.2227954863403949E-2</c:v>
                </c:pt>
                <c:pt idx="10">
                  <c:v>3.6375418912118859E-2</c:v>
                </c:pt>
                <c:pt idx="11">
                  <c:v>4.0650068526864036E-2</c:v>
                </c:pt>
                <c:pt idx="12">
                  <c:v>4.505919929273676E-2</c:v>
                </c:pt>
                <c:pt idx="13">
                  <c:v>4.9605404763354025E-2</c:v>
                </c:pt>
                <c:pt idx="14">
                  <c:v>5.4293029951390646E-2</c:v>
                </c:pt>
                <c:pt idx="15">
                  <c:v>5.9127623997623655E-2</c:v>
                </c:pt>
                <c:pt idx="16">
                  <c:v>6.4115586015608142E-2</c:v>
                </c:pt>
                <c:pt idx="17">
                  <c:v>6.9261893093664734E-2</c:v>
                </c:pt>
                <c:pt idx="18">
                  <c:v>7.4570474512046556E-2</c:v>
                </c:pt>
                <c:pt idx="19">
                  <c:v>8.0048138304989608E-2</c:v>
                </c:pt>
                <c:pt idx="20">
                  <c:v>8.5700395738304E-2</c:v>
                </c:pt>
                <c:pt idx="21">
                  <c:v>9.124358442229058E-2</c:v>
                </c:pt>
                <c:pt idx="22">
                  <c:v>9.6698303950398176E-2</c:v>
                </c:pt>
                <c:pt idx="23">
                  <c:v>0.10208019372965359</c:v>
                </c:pt>
                <c:pt idx="24">
                  <c:v>0.10740239086195923</c:v>
                </c:pt>
                <c:pt idx="25">
                  <c:v>0.11267601135661723</c:v>
                </c:pt>
                <c:pt idx="26">
                  <c:v>0.11790916714376139</c:v>
                </c:pt>
                <c:pt idx="27">
                  <c:v>0.12310881130636356</c:v>
                </c:pt>
                <c:pt idx="28">
                  <c:v>0.12827967422283618</c:v>
                </c:pt>
                <c:pt idx="29">
                  <c:v>0.13342585555447009</c:v>
                </c:pt>
                <c:pt idx="30">
                  <c:v>0.13855092597400234</c:v>
                </c:pt>
                <c:pt idx="31">
                  <c:v>0.14365800982007795</c:v>
                </c:pt>
                <c:pt idx="32">
                  <c:v>0.14874763174784955</c:v>
                </c:pt>
                <c:pt idx="33">
                  <c:v>0.15382133251481453</c:v>
                </c:pt>
                <c:pt idx="34">
                  <c:v>0.15887838272902283</c:v>
                </c:pt>
                <c:pt idx="35">
                  <c:v>0.16391813404207448</c:v>
                </c:pt>
                <c:pt idx="36">
                  <c:v>0.16893901776214423</c:v>
                </c:pt>
                <c:pt idx="37">
                  <c:v>0.17393866595180066</c:v>
                </c:pt>
                <c:pt idx="38">
                  <c:v>0.17891589318258819</c:v>
                </c:pt>
                <c:pt idx="39">
                  <c:v>0.18386688411137175</c:v>
                </c:pt>
                <c:pt idx="40">
                  <c:v>0.18878819562361485</c:v>
                </c:pt>
                <c:pt idx="41">
                  <c:v>0.19367496746805413</c:v>
                </c:pt>
                <c:pt idx="42">
                  <c:v>0.19852960938895495</c:v>
                </c:pt>
                <c:pt idx="43">
                  <c:v>0.20335347919700553</c:v>
                </c:pt>
                <c:pt idx="44">
                  <c:v>0.20814781400861068</c:v>
                </c:pt>
                <c:pt idx="45">
                  <c:v>0.21291374336483559</c:v>
                </c:pt>
                <c:pt idx="46">
                  <c:v>0.21765230067559108</c:v>
                </c:pt>
                <c:pt idx="47">
                  <c:v>0.22236366977287167</c:v>
                </c:pt>
                <c:pt idx="48">
                  <c:v>0.22704876736157711</c:v>
                </c:pt>
                <c:pt idx="49">
                  <c:v>0.23170770388820858</c:v>
                </c:pt>
                <c:pt idx="50">
                  <c:v>0.23634058113679648</c:v>
                </c:pt>
                <c:pt idx="51">
                  <c:v>0.24094749306183036</c:v>
                </c:pt>
                <c:pt idx="52">
                  <c:v>0.24552783509103973</c:v>
                </c:pt>
                <c:pt idx="53">
                  <c:v>0.2500817260667727</c:v>
                </c:pt>
                <c:pt idx="54">
                  <c:v>0.25460927618829776</c:v>
                </c:pt>
                <c:pt idx="55">
                  <c:v>0.25911058778350671</c:v>
                </c:pt>
                <c:pt idx="56">
                  <c:v>0.2635851130853461</c:v>
                </c:pt>
                <c:pt idx="57">
                  <c:v>0.26803297393311648</c:v>
                </c:pt>
                <c:pt idx="58">
                  <c:v>0.27245366278548239</c:v>
                </c:pt>
                <c:pt idx="59">
                  <c:v>0.27684731670553619</c:v>
                </c:pt>
              </c:numCache>
            </c:numRef>
          </c:yVal>
          <c:smooth val="0"/>
        </c:ser>
        <c:ser>
          <c:idx val="1"/>
          <c:order val="1"/>
          <c:tx>
            <c:v>$10/bbl</c:v>
          </c:tx>
          <c:spPr>
            <a:ln w="47625">
              <a:noFill/>
            </a:ln>
          </c:spPr>
          <c:marker>
            <c:symbol val="circle"/>
            <c:size val="7"/>
            <c:spPr>
              <a:solidFill>
                <a:srgbClr val="C0504D"/>
              </a:solidFill>
              <a:ln cmpd="sng">
                <a:solidFill>
                  <a:srgbClr val="C0504D"/>
                </a:solidFill>
              </a:ln>
            </c:spPr>
          </c:marker>
          <c:xVal>
            <c:numRef>
              <c:f>'Wind Graphs'!$B$5:$B$64</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'Wind Graphs'!$D$5:$D$64</c:f>
              <c:numCache>
                <c:formatCode>0%</c:formatCode>
                <c:ptCount val="60"/>
                <c:pt idx="0">
                  <c:v>0</c:v>
                </c:pt>
                <c:pt idx="1">
                  <c:v>6.3535176455889802E-3</c:v>
                </c:pt>
                <c:pt idx="2">
                  <c:v>1.2893319634547786E-2</c:v>
                </c:pt>
                <c:pt idx="3">
                  <c:v>1.9626277110689247E-2</c:v>
                </c:pt>
                <c:pt idx="4">
                  <c:v>2.656109352284293E-2</c:v>
                </c:pt>
                <c:pt idx="5">
                  <c:v>3.3706777704007866E-2</c:v>
                </c:pt>
                <c:pt idx="6">
                  <c:v>4.107242573980293E-2</c:v>
                </c:pt>
                <c:pt idx="7">
                  <c:v>4.8662585673037585E-2</c:v>
                </c:pt>
                <c:pt idx="8">
                  <c:v>5.6483855983087604E-2</c:v>
                </c:pt>
                <c:pt idx="9">
                  <c:v>6.4543860367612005E-2</c:v>
                </c:pt>
                <c:pt idx="10">
                  <c:v>7.2854113197909201E-2</c:v>
                </c:pt>
                <c:pt idx="11">
                  <c:v>8.1422290721511539E-2</c:v>
                </c:pt>
                <c:pt idx="12">
                  <c:v>9.0256526194428671E-2</c:v>
                </c:pt>
                <c:pt idx="13">
                  <c:v>9.9365246663834297E-2</c:v>
                </c:pt>
                <c:pt idx="14">
                  <c:v>0.10875951811103383</c:v>
                </c:pt>
                <c:pt idx="15">
                  <c:v>0.11844764002200626</c:v>
                </c:pt>
                <c:pt idx="16">
                  <c:v>0.12844027036842212</c:v>
                </c:pt>
                <c:pt idx="17">
                  <c:v>0.13874773457826581</c:v>
                </c:pt>
                <c:pt idx="18">
                  <c:v>0.14938204178945522</c:v>
                </c:pt>
                <c:pt idx="19">
                  <c:v>0.16035463161734129</c:v>
                </c:pt>
                <c:pt idx="20">
                  <c:v>0.17167650975531931</c:v>
                </c:pt>
                <c:pt idx="21">
                  <c:v>0.18278241981205329</c:v>
                </c:pt>
                <c:pt idx="22">
                  <c:v>0.19371128637106472</c:v>
                </c:pt>
                <c:pt idx="23">
                  <c:v>0.20449440139465266</c:v>
                </c:pt>
                <c:pt idx="24">
                  <c:v>0.21515805013114833</c:v>
                </c:pt>
                <c:pt idx="25">
                  <c:v>0.22572306447912679</c:v>
                </c:pt>
                <c:pt idx="26">
                  <c:v>0.23620583286699151</c:v>
                </c:pt>
                <c:pt idx="27">
                  <c:v>0.24662040251908821</c:v>
                </c:pt>
                <c:pt idx="28">
                  <c:v>0.25697761945294478</c:v>
                </c:pt>
                <c:pt idx="29">
                  <c:v>0.26728688355041885</c:v>
                </c:pt>
                <c:pt idx="30">
                  <c:v>0.27755401754084841</c:v>
                </c:pt>
                <c:pt idx="31">
                  <c:v>0.28778297112176887</c:v>
                </c:pt>
                <c:pt idx="32">
                  <c:v>0.29797721523949938</c:v>
                </c:pt>
                <c:pt idx="33">
                  <c:v>0.30813873466725272</c:v>
                </c:pt>
                <c:pt idx="34">
                  <c:v>0.31826614625270278</c:v>
                </c:pt>
                <c:pt idx="35">
                  <c:v>0.328359238474347</c:v>
                </c:pt>
                <c:pt idx="36">
                  <c:v>0.33841485137243965</c:v>
                </c:pt>
                <c:pt idx="37">
                  <c:v>0.34842919324351529</c:v>
                </c:pt>
                <c:pt idx="38">
                  <c:v>0.35839698198957459</c:v>
                </c:pt>
                <c:pt idx="39">
                  <c:v>0.36831163141740181</c:v>
                </c:pt>
                <c:pt idx="40">
                  <c:v>0.37816630408189139</c:v>
                </c:pt>
                <c:pt idx="41">
                  <c:v>0.38795306867078921</c:v>
                </c:pt>
                <c:pt idx="42">
                  <c:v>0.39767495848702783</c:v>
                </c:pt>
                <c:pt idx="43">
                  <c:v>0.4073355639446446</c:v>
                </c:pt>
                <c:pt idx="44">
                  <c:v>0.41693734195197729</c:v>
                </c:pt>
                <c:pt idx="45">
                  <c:v>0.42648173911880505</c:v>
                </c:pt>
                <c:pt idx="46">
                  <c:v>0.43597007893918138</c:v>
                </c:pt>
                <c:pt idx="47">
                  <c:v>0.44540433807641217</c:v>
                </c:pt>
                <c:pt idx="48">
                  <c:v>0.45478558395393476</c:v>
                </c:pt>
                <c:pt idx="49">
                  <c:v>0.46411406567930491</c:v>
                </c:pt>
                <c:pt idx="50">
                  <c:v>0.47338929427124388</c:v>
                </c:pt>
                <c:pt idx="51">
                  <c:v>0.48261222782781471</c:v>
                </c:pt>
                <c:pt idx="52">
                  <c:v>0.49178236926608226</c:v>
                </c:pt>
                <c:pt idx="53">
                  <c:v>0.5008999369555569</c:v>
                </c:pt>
                <c:pt idx="54">
                  <c:v>0.50996513338433047</c:v>
                </c:pt>
                <c:pt idx="55">
                  <c:v>0.5189774921824104</c:v>
                </c:pt>
                <c:pt idx="56">
                  <c:v>0.52793657970752328</c:v>
                </c:pt>
                <c:pt idx="57">
                  <c:v>0.53684262405307526</c:v>
                </c:pt>
                <c:pt idx="58">
                  <c:v>0.54569521672816823</c:v>
                </c:pt>
                <c:pt idx="59">
                  <c:v>0.55449458724296952</c:v>
                </c:pt>
              </c:numCache>
            </c:numRef>
          </c:yVal>
          <c:smooth val="1"/>
        </c:ser>
        <c:ser>
          <c:idx val="2"/>
          <c:order val="2"/>
          <c:tx>
            <c:v>$15/bbl</c:v>
          </c:tx>
          <c:spPr>
            <a:ln w="47625">
              <a:noFill/>
            </a:ln>
          </c:spPr>
          <c:marker>
            <c:symbol val="dot"/>
            <c:size val="7"/>
            <c:spPr>
              <a:solidFill>
                <a:srgbClr val="9BBB59"/>
              </a:solidFill>
              <a:ln cmpd="sng">
                <a:solidFill>
                  <a:srgbClr val="9BBB59"/>
                </a:solidFill>
              </a:ln>
            </c:spPr>
          </c:marker>
          <c:xVal>
            <c:numRef>
              <c:f>'Wind Graphs'!$B$5:$B$64</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'Wind Graphs'!$E$5:$E$64</c:f>
              <c:numCache>
                <c:formatCode>0%</c:formatCode>
                <c:ptCount val="60"/>
                <c:pt idx="0">
                  <c:v>0</c:v>
                </c:pt>
                <c:pt idx="1">
                  <c:v>9.5302764683834716E-3</c:v>
                </c:pt>
                <c:pt idx="2">
                  <c:v>1.9339979451821681E-2</c:v>
                </c:pt>
                <c:pt idx="3">
                  <c:v>2.943941566603387E-2</c:v>
                </c:pt>
                <c:pt idx="4">
                  <c:v>3.9845304894297905E-2</c:v>
                </c:pt>
                <c:pt idx="5">
                  <c:v>5.0569328081095564E-2</c:v>
                </c:pt>
                <c:pt idx="6">
                  <c:v>6.1621726502681204E-2</c:v>
                </c:pt>
                <c:pt idx="7">
                  <c:v>7.3012201559723919E-2</c:v>
                </c:pt>
                <c:pt idx="8">
                  <c:v>8.475021470818811E-2</c:v>
                </c:pt>
                <c:pt idx="9">
                  <c:v>9.6848772041719558E-2</c:v>
                </c:pt>
                <c:pt idx="10">
                  <c:v>0.10931948162903228</c:v>
                </c:pt>
                <c:pt idx="11">
                  <c:v>0.12217618986599156</c:v>
                </c:pt>
                <c:pt idx="12">
                  <c:v>0.13543130164976058</c:v>
                </c:pt>
                <c:pt idx="13">
                  <c:v>0.14909891277836099</c:v>
                </c:pt>
                <c:pt idx="14">
                  <c:v>0.16319424631705334</c:v>
                </c:pt>
                <c:pt idx="15">
                  <c:v>0.1777310099460539</c:v>
                </c:pt>
                <c:pt idx="16">
                  <c:v>0.19272615296794018</c:v>
                </c:pt>
                <c:pt idx="17">
                  <c:v>0.20819489406806888</c:v>
                </c:pt>
                <c:pt idx="18">
                  <c:v>0.22415310548228312</c:v>
                </c:pt>
                <c:pt idx="19">
                  <c:v>0.24061898191430767</c:v>
                </c:pt>
                <c:pt idx="20">
                  <c:v>0.25760899746241195</c:v>
                </c:pt>
                <c:pt idx="21">
                  <c:v>0.27427523935991799</c:v>
                </c:pt>
                <c:pt idx="22">
                  <c:v>0.29067607120324712</c:v>
                </c:pt>
                <c:pt idx="23">
                  <c:v>0.30685993845764425</c:v>
                </c:pt>
                <c:pt idx="24">
                  <c:v>0.32286460362588842</c:v>
                </c:pt>
                <c:pt idx="25">
                  <c:v>0.33872061012954913</c:v>
                </c:pt>
                <c:pt idx="26">
                  <c:v>0.35445261917587667</c:v>
                </c:pt>
                <c:pt idx="27">
                  <c:v>0.37008176894251438</c:v>
                </c:pt>
                <c:pt idx="28">
                  <c:v>0.38562501833776364</c:v>
                </c:pt>
                <c:pt idx="29">
                  <c:v>0.40109584354547484</c:v>
                </c:pt>
                <c:pt idx="30">
                  <c:v>0.41650361762252786</c:v>
                </c:pt>
                <c:pt idx="31">
                  <c:v>0.43185539680305751</c:v>
                </c:pt>
                <c:pt idx="32">
                  <c:v>0.44715516104431341</c:v>
                </c:pt>
                <c:pt idx="33">
                  <c:v>0.46240534424680002</c:v>
                </c:pt>
                <c:pt idx="34">
                  <c:v>0.47760496105664951</c:v>
                </c:pt>
                <c:pt idx="35">
                  <c:v>0.4927531356037575</c:v>
                </c:pt>
                <c:pt idx="36">
                  <c:v>0.50784512496610246</c:v>
                </c:pt>
                <c:pt idx="37">
                  <c:v>0.52287475673448991</c:v>
                </c:pt>
                <c:pt idx="38">
                  <c:v>0.53783555192373644</c:v>
                </c:pt>
                <c:pt idx="39">
                  <c:v>0.55271709868463526</c:v>
                </c:pt>
                <c:pt idx="40">
                  <c:v>0.56750910715082081</c:v>
                </c:pt>
                <c:pt idx="41">
                  <c:v>0.58219877733840675</c:v>
                </c:pt>
                <c:pt idx="42">
                  <c:v>0.59679154465751216</c:v>
                </c:pt>
                <c:pt idx="43">
                  <c:v>0.61129151752414712</c:v>
                </c:pt>
                <c:pt idx="44">
                  <c:v>0.62570243916178736</c:v>
                </c:pt>
                <c:pt idx="45">
                  <c:v>0.64002772729621482</c:v>
                </c:pt>
                <c:pt idx="46">
                  <c:v>0.65426972907866987</c:v>
                </c:pt>
                <c:pt idx="47">
                  <c:v>0.66843059606445654</c:v>
                </c:pt>
                <c:pt idx="48">
                  <c:v>0.6825115562921118</c:v>
                </c:pt>
                <c:pt idx="49">
                  <c:v>0.69651300663508353</c:v>
                </c:pt>
                <c:pt idx="50">
                  <c:v>0.71043531283949013</c:v>
                </c:pt>
                <c:pt idx="51">
                  <c:v>0.72427881251713322</c:v>
                </c:pt>
                <c:pt idx="52">
                  <c:v>0.73804381779967854</c:v>
                </c:pt>
                <c:pt idx="53">
                  <c:v>0.7517299390664397</c:v>
                </c:pt>
                <c:pt idx="54">
                  <c:v>0.76533681503278084</c:v>
                </c:pt>
                <c:pt idx="55">
                  <c:v>0.77886411022011082</c:v>
                </c:pt>
                <c:pt idx="56">
                  <c:v>0.79231151269219624</c:v>
                </c:pt>
                <c:pt idx="57">
                  <c:v>0.80567873202564722</c:v>
                </c:pt>
                <c:pt idx="58">
                  <c:v>0.81896549748679526</c:v>
                </c:pt>
                <c:pt idx="59">
                  <c:v>0.83217216715922204</c:v>
                </c:pt>
              </c:numCache>
            </c:numRef>
          </c:yVal>
          <c:smooth val="1"/>
        </c:ser>
        <c:ser>
          <c:idx val="3"/>
          <c:order val="3"/>
          <c:tx>
            <c:v>$20/bbl</c:v>
          </c:tx>
          <c:spPr>
            <a:ln w="47625">
              <a:noFill/>
            </a:ln>
          </c:spPr>
          <c:marker>
            <c:symbol val="triangle"/>
            <c:size val="7"/>
            <c:spPr>
              <a:solidFill>
                <a:srgbClr val="8064A2"/>
              </a:solidFill>
              <a:ln cmpd="sng">
                <a:solidFill>
                  <a:srgbClr val="8064A2"/>
                </a:solidFill>
              </a:ln>
            </c:spPr>
          </c:marker>
          <c:xVal>
            <c:numRef>
              <c:f>'Wind Graphs'!$B$5:$B$64</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'Wind Graphs'!$F$5:$F$64</c:f>
              <c:numCache>
                <c:formatCode>0%</c:formatCode>
                <c:ptCount val="60"/>
                <c:pt idx="0">
                  <c:v>0</c:v>
                </c:pt>
                <c:pt idx="1">
                  <c:v>1.270703529117796E-2</c:v>
                </c:pt>
                <c:pt idx="2">
                  <c:v>2.5786639269095572E-2</c:v>
                </c:pt>
                <c:pt idx="3">
                  <c:v>3.9261715746462256E-2</c:v>
                </c:pt>
                <c:pt idx="4">
                  <c:v>5.3144174705886886E-2</c:v>
                </c:pt>
                <c:pt idx="5">
                  <c:v>6.7444093824961623E-2</c:v>
                </c:pt>
                <c:pt idx="6">
                  <c:v>8.2181497579940921E-2</c:v>
                </c:pt>
                <c:pt idx="7">
                  <c:v>9.7366398208952112E-2</c:v>
                </c:pt>
                <c:pt idx="8">
                  <c:v>0.11301657343328862</c:v>
                </c:pt>
                <c:pt idx="9">
                  <c:v>0.1291500191057936</c:v>
                </c:pt>
                <c:pt idx="10">
                  <c:v>0.1457815185964885</c:v>
                </c:pt>
                <c:pt idx="11">
                  <c:v>0.16292703516877696</c:v>
                </c:pt>
                <c:pt idx="12">
                  <c:v>0.18060607710509249</c:v>
                </c:pt>
                <c:pt idx="13">
                  <c:v>0.19883519647148307</c:v>
                </c:pt>
                <c:pt idx="14">
                  <c:v>0.21763386066978416</c:v>
                </c:pt>
                <c:pt idx="15">
                  <c:v>0.2370212510139143</c:v>
                </c:pt>
                <c:pt idx="16">
                  <c:v>0.2570185025263409</c:v>
                </c:pt>
                <c:pt idx="17">
                  <c:v>0.27764816124126107</c:v>
                </c:pt>
                <c:pt idx="18">
                  <c:v>0.29893188414360261</c:v>
                </c:pt>
                <c:pt idx="19">
                  <c:v>0.32089249373635781</c:v>
                </c:pt>
                <c:pt idx="20">
                  <c:v>0.34355195548388601</c:v>
                </c:pt>
                <c:pt idx="21">
                  <c:v>0.36577971903061662</c:v>
                </c:pt>
                <c:pt idx="22">
                  <c:v>0.38765360250511127</c:v>
                </c:pt>
                <c:pt idx="23">
                  <c:v>0.40923616396656687</c:v>
                </c:pt>
                <c:pt idx="24">
                  <c:v>0.43057848634069557</c:v>
                </c:pt>
                <c:pt idx="25">
                  <c:v>0.45172379364156151</c:v>
                </c:pt>
                <c:pt idx="26">
                  <c:v>0.47270483453666345</c:v>
                </c:pt>
                <c:pt idx="27">
                  <c:v>0.49354967931242899</c:v>
                </c:pt>
                <c:pt idx="28">
                  <c:v>0.51427999917437606</c:v>
                </c:pt>
                <c:pt idx="29">
                  <c:v>0.5349121327605979</c:v>
                </c:pt>
                <c:pt idx="30">
                  <c:v>0.55546031049782074</c:v>
                </c:pt>
                <c:pt idx="31">
                  <c:v>0.57593354843752387</c:v>
                </c:pt>
                <c:pt idx="32">
                  <c:v>0.59633754880068346</c:v>
                </c:pt>
                <c:pt idx="33">
                  <c:v>0.61667518730578885</c:v>
                </c:pt>
                <c:pt idx="34">
                  <c:v>0.63694586992347269</c:v>
                </c:pt>
                <c:pt idx="35">
                  <c:v>0.65714703273316799</c:v>
                </c:pt>
                <c:pt idx="36">
                  <c:v>0.67727341768947691</c:v>
                </c:pt>
                <c:pt idx="37">
                  <c:v>0.69731646274121883</c:v>
                </c:pt>
                <c:pt idx="38">
                  <c:v>0.71726660470911163</c:v>
                </c:pt>
                <c:pt idx="39">
                  <c:v>0.73711157212176825</c:v>
                </c:pt>
                <c:pt idx="40">
                  <c:v>0.7568376093025464</c:v>
                </c:pt>
                <c:pt idx="41">
                  <c:v>0.77642703548205527</c:v>
                </c:pt>
                <c:pt idx="42">
                  <c:v>0.79588767719060027</c:v>
                </c:pt>
                <c:pt idx="43">
                  <c:v>0.81522498372389851</c:v>
                </c:pt>
                <c:pt idx="44">
                  <c:v>0.83444391999582579</c:v>
                </c:pt>
                <c:pt idx="45">
                  <c:v>0.85354822253426088</c:v>
                </c:pt>
                <c:pt idx="46">
                  <c:v>0.87254130986471024</c:v>
                </c:pt>
                <c:pt idx="47">
                  <c:v>0.8914255521751312</c:v>
                </c:pt>
                <c:pt idx="48">
                  <c:v>0.91020312616874954</c:v>
                </c:pt>
                <c:pt idx="49">
                  <c:v>0.92887456856852013</c:v>
                </c:pt>
                <c:pt idx="50">
                  <c:v>0.94744037400147951</c:v>
                </c:pt>
                <c:pt idx="51">
                  <c:v>0.96590099904643023</c:v>
                </c:pt>
                <c:pt idx="52">
                  <c:v>0.98425617438754265</c:v>
                </c:pt>
                <c:pt idx="53">
                  <c:v>1.0025063292897951</c:v>
                </c:pt>
                <c:pt idx="54">
                  <c:v>1.0206511955061617</c:v>
                </c:pt>
                <c:pt idx="55">
                  <c:v>1.0386905239501174</c:v>
                </c:pt>
                <c:pt idx="56">
                  <c:v>1.0566234401008539</c:v>
                </c:pt>
                <c:pt idx="57">
                  <c:v>1.0744497615786579</c:v>
                </c:pt>
                <c:pt idx="58">
                  <c:v>1.0921686972481981</c:v>
                </c:pt>
                <c:pt idx="59">
                  <c:v>1.1097801194848373</c:v>
                </c:pt>
              </c:numCache>
            </c:numRef>
          </c:yVal>
          <c:smooth val="1"/>
        </c:ser>
        <c:ser>
          <c:idx val="4"/>
          <c:order val="4"/>
          <c:tx>
            <c:v>$25/bbl</c:v>
          </c:tx>
          <c:spPr>
            <a:ln w="47625">
              <a:noFill/>
            </a:ln>
          </c:spPr>
          <c:marker>
            <c:symbol val="diamond"/>
            <c:size val="7"/>
            <c:spPr>
              <a:solidFill>
                <a:srgbClr val="4BACC6"/>
              </a:solidFill>
              <a:ln cmpd="sng">
                <a:solidFill>
                  <a:srgbClr val="4BACC6"/>
                </a:solidFill>
                <a:round/>
              </a:ln>
            </c:spPr>
          </c:marker>
          <c:xVal>
            <c:numRef>
              <c:f>'Wind Graphs'!$B$5:$B$64</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'Wind Graphs'!$G$5:$G$64</c:f>
              <c:numCache>
                <c:formatCode>0%</c:formatCode>
                <c:ptCount val="60"/>
                <c:pt idx="0">
                  <c:v>0</c:v>
                </c:pt>
                <c:pt idx="1">
                  <c:v>1.5883794113972449E-2</c:v>
                </c:pt>
                <c:pt idx="2">
                  <c:v>3.2233299086369467E-2</c:v>
                </c:pt>
                <c:pt idx="3">
                  <c:v>4.9074854301806886E-2</c:v>
                </c:pt>
                <c:pt idx="4">
                  <c:v>6.6428386077341861E-2</c:v>
                </c:pt>
                <c:pt idx="5">
                  <c:v>8.4306644202049308E-2</c:v>
                </c:pt>
                <c:pt idx="6">
                  <c:v>0.10273079834281917</c:v>
                </c:pt>
                <c:pt idx="7">
                  <c:v>0.12171601409563843</c:v>
                </c:pt>
                <c:pt idx="8">
                  <c:v>0.14128293215838911</c:v>
                </c:pt>
                <c:pt idx="9">
                  <c:v>0.16145126616986763</c:v>
                </c:pt>
                <c:pt idx="10">
                  <c:v>0.18224355556394475</c:v>
                </c:pt>
                <c:pt idx="11">
                  <c:v>0.20367788047156235</c:v>
                </c:pt>
                <c:pt idx="12">
                  <c:v>0.22577803362962937</c:v>
                </c:pt>
                <c:pt idx="13">
                  <c:v>0.24856624500741434</c:v>
                </c:pt>
                <c:pt idx="14">
                  <c:v>0.27206614580244798</c:v>
                </c:pt>
                <c:pt idx="15">
                  <c:v>0.29630233055669097</c:v>
                </c:pt>
                <c:pt idx="16">
                  <c:v>0.32130222947289805</c:v>
                </c:pt>
                <c:pt idx="17">
                  <c:v>0.34709124894213794</c:v>
                </c:pt>
                <c:pt idx="18">
                  <c:v>0.37369716161006172</c:v>
                </c:pt>
                <c:pt idx="19">
                  <c:v>0.40114768250824046</c:v>
                </c:pt>
                <c:pt idx="20">
                  <c:v>0.42947222782420036</c:v>
                </c:pt>
                <c:pt idx="21">
                  <c:v>0.45725754699198073</c:v>
                </c:pt>
                <c:pt idx="22">
                  <c:v>0.4846008609414813</c:v>
                </c:pt>
                <c:pt idx="23">
                  <c:v>0.5115803241376965</c:v>
                </c:pt>
                <c:pt idx="24">
                  <c:v>0.53826012048720795</c:v>
                </c:pt>
                <c:pt idx="25">
                  <c:v>0.56469314998403375</c:v>
                </c:pt>
                <c:pt idx="26">
                  <c:v>0.59092040379711508</c:v>
                </c:pt>
                <c:pt idx="27">
                  <c:v>0.61697701721411535</c:v>
                </c:pt>
                <c:pt idx="28">
                  <c:v>0.64289075195885981</c:v>
                </c:pt>
                <c:pt idx="29">
                  <c:v>0.66868322511864098</c:v>
                </c:pt>
                <c:pt idx="30">
                  <c:v>0.69436971808235859</c:v>
                </c:pt>
                <c:pt idx="31">
                  <c:v>0.71996245687466454</c:v>
                </c:pt>
                <c:pt idx="32">
                  <c:v>0.74546885411416186</c:v>
                </c:pt>
                <c:pt idx="33">
                  <c:v>0.77089221686723564</c:v>
                </c:pt>
                <c:pt idx="34">
                  <c:v>0.79623233315551201</c:v>
                </c:pt>
                <c:pt idx="35">
                  <c:v>0.82148596071207558</c:v>
                </c:pt>
                <c:pt idx="36">
                  <c:v>0.84664525560963211</c:v>
                </c:pt>
                <c:pt idx="37">
                  <c:v>0.8717012708553219</c:v>
                </c:pt>
                <c:pt idx="38">
                  <c:v>0.89664127887858647</c:v>
                </c:pt>
                <c:pt idx="39">
                  <c:v>0.92145016025588999</c:v>
                </c:pt>
                <c:pt idx="40">
                  <c:v>0.94610980159278124</c:v>
                </c:pt>
                <c:pt idx="41">
                  <c:v>0.97059857942280403</c:v>
                </c:pt>
                <c:pt idx="42">
                  <c:v>0.99492585775106535</c:v>
                </c:pt>
                <c:pt idx="43">
                  <c:v>1.0190993164435638</c:v>
                </c:pt>
                <c:pt idx="44">
                  <c:v>1.0431243239959724</c:v>
                </c:pt>
                <c:pt idx="45">
                  <c:v>1.067005782078253</c:v>
                </c:pt>
                <c:pt idx="46">
                  <c:v>1.0907481751969672</c:v>
                </c:pt>
                <c:pt idx="47">
                  <c:v>1.1143548506893723</c:v>
                </c:pt>
                <c:pt idx="48">
                  <c:v>1.1378273868815068</c:v>
                </c:pt>
                <c:pt idx="49">
                  <c:v>1.1611672358333269</c:v>
                </c:pt>
                <c:pt idx="50">
                  <c:v>1.1843757357177338</c:v>
                </c:pt>
                <c:pt idx="51">
                  <c:v>1.2074534170385511</c:v>
                </c:pt>
                <c:pt idx="52">
                  <c:v>1.2303993873898693</c:v>
                </c:pt>
                <c:pt idx="53">
                  <c:v>1.2532134991014066</c:v>
                </c:pt>
                <c:pt idx="54">
                  <c:v>1.2758956152425391</c:v>
                </c:pt>
                <c:pt idx="55">
                  <c:v>1.2984449542687522</c:v>
                </c:pt>
                <c:pt idx="56">
                  <c:v>1.3208614323948011</c:v>
                </c:pt>
                <c:pt idx="57">
                  <c:v>1.3431443397844185</c:v>
                </c:pt>
                <c:pt idx="58">
                  <c:v>1.3652930147258295</c:v>
                </c:pt>
                <c:pt idx="59">
                  <c:v>1.3873074503897163</c:v>
                </c:pt>
              </c:numCache>
            </c:numRef>
          </c:yVal>
          <c:smooth val="1"/>
        </c:ser>
        <c:ser>
          <c:idx val="5"/>
          <c:order val="5"/>
          <c:tx>
            <c:v>$30/bbl</c:v>
          </c:tx>
          <c:spPr>
            <a:ln w="19050">
              <a:noFill/>
            </a:ln>
          </c:spPr>
          <c:marker>
            <c:symbol val="square"/>
            <c:size val="5"/>
            <c:spPr>
              <a:ln cap="sq">
                <a:bevel/>
              </a:ln>
            </c:spPr>
          </c:marker>
          <c:xVal>
            <c:numRef>
              <c:f>'Wind Graphs'!$B$5:$B$64</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'Wind Graphs'!$H$5:$H$64</c:f>
              <c:numCache>
                <c:formatCode>0%</c:formatCode>
                <c:ptCount val="60"/>
                <c:pt idx="0">
                  <c:v>0</c:v>
                </c:pt>
                <c:pt idx="1">
                  <c:v>1.9060552936766943E-2</c:v>
                </c:pt>
                <c:pt idx="2">
                  <c:v>3.8692174270421716E-2</c:v>
                </c:pt>
                <c:pt idx="3">
                  <c:v>5.8906315907319033E-2</c:v>
                </c:pt>
                <c:pt idx="4">
                  <c:v>7.9734585108997863E-2</c:v>
                </c:pt>
                <c:pt idx="5">
                  <c:v>0.10119362531269371</c:v>
                </c:pt>
                <c:pt idx="6">
                  <c:v>0.12330627489165107</c:v>
                </c:pt>
                <c:pt idx="7">
                  <c:v>0.14609311455757604</c:v>
                </c:pt>
                <c:pt idx="8">
                  <c:v>0.16957779340597245</c:v>
                </c:pt>
                <c:pt idx="9">
                  <c:v>0.19378549472424322</c:v>
                </c:pt>
                <c:pt idx="10">
                  <c:v>0.21873890716806924</c:v>
                </c:pt>
                <c:pt idx="11">
                  <c:v>0.24446537187468287</c:v>
                </c:pt>
                <c:pt idx="12">
                  <c:v>0.27098945518529638</c:v>
                </c:pt>
                <c:pt idx="13">
                  <c:v>0.29833917480087147</c:v>
                </c:pt>
                <c:pt idx="14">
                  <c:v>0.32654484932886957</c:v>
                </c:pt>
                <c:pt idx="15">
                  <c:v>0.3556360888686993</c:v>
                </c:pt>
                <c:pt idx="16">
                  <c:v>0.38564200339643828</c:v>
                </c:pt>
                <c:pt idx="17">
                  <c:v>0.41659541347690665</c:v>
                </c:pt>
                <c:pt idx="18">
                  <c:v>0.44852801630869943</c:v>
                </c:pt>
                <c:pt idx="19">
                  <c:v>0.48147433117577643</c:v>
                </c:pt>
                <c:pt idx="20">
                  <c:v>0.5154710275223755</c:v>
                </c:pt>
                <c:pt idx="21">
                  <c:v>0.54882199300868206</c:v>
                </c:pt>
                <c:pt idx="22">
                  <c:v>0.58164212459175413</c:v>
                </c:pt>
                <c:pt idx="23">
                  <c:v>0.61402678800559451</c:v>
                </c:pt>
                <c:pt idx="24">
                  <c:v>0.64605022709071203</c:v>
                </c:pt>
                <c:pt idx="25">
                  <c:v>0.67777667302370381</c:v>
                </c:pt>
                <c:pt idx="26">
                  <c:v>0.70925676946237493</c:v>
                </c:pt>
                <c:pt idx="27">
                  <c:v>0.74053261646697466</c:v>
                </c:pt>
                <c:pt idx="28">
                  <c:v>0.7716367162169937</c:v>
                </c:pt>
                <c:pt idx="29">
                  <c:v>0.8025947941946352</c:v>
                </c:pt>
                <c:pt idx="30">
                  <c:v>0.83342689220050559</c:v>
                </c:pt>
                <c:pt idx="31">
                  <c:v>0.86414596604759397</c:v>
                </c:pt>
                <c:pt idx="32">
                  <c:v>0.89476118017153705</c:v>
                </c:pt>
                <c:pt idx="33">
                  <c:v>0.92527738735963183</c:v>
                </c:pt>
                <c:pt idx="34">
                  <c:v>0.95569365063772171</c:v>
                </c:pt>
                <c:pt idx="35">
                  <c:v>0.98600506535096422</c:v>
                </c:pt>
                <c:pt idx="36">
                  <c:v>1.0162042857720397</c:v>
                </c:pt>
                <c:pt idx="37">
                  <c:v>1.0462799175527766</c:v>
                </c:pt>
                <c:pt idx="38">
                  <c:v>1.0762170367781052</c:v>
                </c:pt>
                <c:pt idx="39">
                  <c:v>1.1059967150094134</c:v>
                </c:pt>
                <c:pt idx="40">
                  <c:v>1.1355965076410752</c:v>
                </c:pt>
                <c:pt idx="41">
                  <c:v>1.1649908724917619</c:v>
                </c:pt>
                <c:pt idx="42">
                  <c:v>1.1941907327926731</c:v>
                </c:pt>
                <c:pt idx="43">
                  <c:v>1.2232051858880733</c:v>
                </c:pt>
                <c:pt idx="44">
                  <c:v>1.2520425204694041</c:v>
                </c:pt>
                <c:pt idx="45">
                  <c:v>1.2807079145092639</c:v>
                </c:pt>
                <c:pt idx="46">
                  <c:v>1.3092061053017323</c:v>
                </c:pt>
                <c:pt idx="47">
                  <c:v>1.3375406719059584</c:v>
                </c:pt>
                <c:pt idx="48">
                  <c:v>1.365714901212997</c:v>
                </c:pt>
                <c:pt idx="49">
                  <c:v>1.3937296183965997</c:v>
                </c:pt>
                <c:pt idx="50">
                  <c:v>1.4215863024619939</c:v>
                </c:pt>
                <c:pt idx="51">
                  <c:v>1.4492856139120756</c:v>
                </c:pt>
                <c:pt idx="52">
                  <c:v>1.4768274719646113</c:v>
                </c:pt>
                <c:pt idx="53">
                  <c:v>1.5042111231897473</c:v>
                </c:pt>
                <c:pt idx="54">
                  <c:v>1.53143586895253</c:v>
                </c:pt>
                <c:pt idx="55">
                  <c:v>1.5585017149151501</c:v>
                </c:pt>
                <c:pt idx="56">
                  <c:v>1.5854080234284109</c:v>
                </c:pt>
                <c:pt idx="57">
                  <c:v>1.6121535689896067</c:v>
                </c:pt>
                <c:pt idx="58">
                  <c:v>1.6387378303013052</c:v>
                </c:pt>
                <c:pt idx="59">
                  <c:v>1.6651609315875759</c:v>
                </c:pt>
              </c:numCache>
            </c:numRef>
          </c:yVal>
          <c:smooth val="0"/>
        </c:ser>
        <c:dLbls>
          <c:showLegendKey val="0"/>
          <c:showVal val="0"/>
          <c:showCatName val="0"/>
          <c:showSerName val="0"/>
          <c:showPercent val="0"/>
          <c:showBubbleSize val="0"/>
        </c:dLbls>
        <c:axId val="-248258048"/>
        <c:axId val="-248265120"/>
      </c:scatterChart>
      <c:valAx>
        <c:axId val="-248258048"/>
        <c:scaling>
          <c:orientation val="minMax"/>
        </c:scaling>
        <c:delete val="0"/>
        <c:axPos val="b"/>
        <c:majorGridlines>
          <c:spPr>
            <a:ln>
              <a:solidFill>
                <a:srgbClr val="FFFFFF"/>
              </a:solidFill>
            </a:ln>
          </c:spPr>
        </c:majorGridlines>
        <c:title>
          <c:tx>
            <c:rich>
              <a:bodyPr/>
              <a:lstStyle/>
              <a:p>
                <a:pPr>
                  <a:defRPr sz="1100" b="1" i="0"/>
                </a:pPr>
                <a:r>
                  <a:rPr lang="en-CA"/>
                  <a:t>Years</a:t>
                </a:r>
              </a:p>
            </c:rich>
          </c:tx>
          <c:layout>
            <c:manualLayout>
              <c:xMode val="edge"/>
              <c:yMode val="edge"/>
              <c:x val="0.48092643859559492"/>
              <c:y val="0.89574777912376335"/>
            </c:manualLayout>
          </c:layout>
          <c:overlay val="0"/>
        </c:title>
        <c:numFmt formatCode="General" sourceLinked="1"/>
        <c:majorTickMark val="cross"/>
        <c:minorTickMark val="cross"/>
        <c:tickLblPos val="nextTo"/>
        <c:spPr>
          <a:ln w="47625">
            <a:noFill/>
          </a:ln>
        </c:spPr>
        <c:txPr>
          <a:bodyPr/>
          <a:lstStyle/>
          <a:p>
            <a:pPr>
              <a:defRPr/>
            </a:pPr>
            <a:endParaRPr lang="en-US"/>
          </a:p>
        </c:txPr>
        <c:crossAx val="-248265120"/>
        <c:crosses val="autoZero"/>
        <c:crossBetween val="midCat"/>
      </c:valAx>
      <c:valAx>
        <c:axId val="-248265120"/>
        <c:scaling>
          <c:orientation val="minMax"/>
        </c:scaling>
        <c:delete val="0"/>
        <c:axPos val="l"/>
        <c:majorGridlines>
          <c:spPr>
            <a:ln>
              <a:solidFill>
                <a:srgbClr val="B7B7B7"/>
              </a:solidFill>
            </a:ln>
          </c:spPr>
        </c:majorGridlines>
        <c:title>
          <c:tx>
            <c:rich>
              <a:bodyPr/>
              <a:lstStyle/>
              <a:p>
                <a:pPr>
                  <a:defRPr sz="1000" b="1" i="0">
                    <a:solidFill>
                      <a:srgbClr val="000000"/>
                    </a:solidFill>
                  </a:defRPr>
                </a:pPr>
                <a:r>
                  <a:rPr lang="en-CA"/>
                  <a:t>CO2 saved by wind energy/oil sands CO2</a:t>
                </a:r>
              </a:p>
            </c:rich>
          </c:tx>
          <c:layout/>
          <c:overlay val="0"/>
        </c:title>
        <c:numFmt formatCode="0%" sourceLinked="1"/>
        <c:majorTickMark val="cross"/>
        <c:minorTickMark val="cross"/>
        <c:tickLblPos val="nextTo"/>
        <c:spPr>
          <a:ln w="47625">
            <a:noFill/>
          </a:ln>
        </c:spPr>
        <c:txPr>
          <a:bodyPr/>
          <a:lstStyle/>
          <a:p>
            <a:pPr>
              <a:defRPr/>
            </a:pPr>
            <a:endParaRPr lang="en-US"/>
          </a:p>
        </c:txPr>
        <c:crossAx val="-248258048"/>
        <c:crosses val="autoZero"/>
        <c:crossBetween val="midCat"/>
      </c:valAx>
      <c:spPr>
        <a:solidFill>
          <a:srgbClr val="FFFFFF"/>
        </a:solidFill>
      </c:spPr>
    </c:plotArea>
    <c:legend>
      <c:legendPos val="r"/>
      <c:layout>
        <c:manualLayout>
          <c:xMode val="edge"/>
          <c:yMode val="edge"/>
          <c:x val="0.88257991917410494"/>
          <c:y val="0.39179083383807789"/>
          <c:w val="7.8279759528139259E-2"/>
          <c:h val="0.34774833434282254"/>
        </c:manualLayout>
      </c:layout>
      <c:overlay val="0"/>
    </c:legend>
    <c:plotVisOnly val="1"/>
    <c:dispBlanksAs val="zero"/>
    <c:showDLblsOverMax val="1"/>
  </c:chart>
  <c:spPr>
    <a:ln cmpd="sng">
      <a:prstDash val="soli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title>
      <c:tx>
        <c:rich>
          <a:bodyPr/>
          <a:lstStyle/>
          <a:p>
            <a:pPr>
              <a:defRPr b="1" i="0"/>
            </a:pPr>
            <a:r>
              <a:rPr lang="en-CA"/>
              <a:t>Cumulative Ratio Carbon Saved vs Carbon Burned Using $0.07/kWh Reinvestment Policy</a:t>
            </a:r>
          </a:p>
        </c:rich>
      </c:tx>
      <c:layout/>
      <c:overlay val="0"/>
    </c:title>
    <c:autoTitleDeleted val="0"/>
    <c:plotArea>
      <c:layout>
        <c:manualLayout>
          <c:layoutTarget val="inner"/>
          <c:xMode val="edge"/>
          <c:yMode val="edge"/>
          <c:x val="0.2262762098557905"/>
          <c:y val="0.22015374981680588"/>
          <c:w val="0.58539281606653104"/>
          <c:h val="0.54572231770521074"/>
        </c:manualLayout>
      </c:layout>
      <c:scatterChart>
        <c:scatterStyle val="lineMarker"/>
        <c:varyColors val="1"/>
        <c:ser>
          <c:idx val="0"/>
          <c:order val="0"/>
          <c:spPr>
            <a:ln w="47625">
              <a:noFill/>
            </a:ln>
          </c:spPr>
          <c:marker>
            <c:symbol val="x"/>
            <c:size val="9"/>
          </c:marker>
          <c:xVal>
            <c:numRef>
              <c:f>'Wind Graphs'!$J$5:$J$64</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'Wind Graphs'!$K$5:$K$64</c:f>
              <c:numCache>
                <c:formatCode>0%</c:formatCode>
                <c:ptCount val="60"/>
                <c:pt idx="0">
                  <c:v>0</c:v>
                </c:pt>
                <c:pt idx="1">
                  <c:v>3.1767588227944901E-3</c:v>
                </c:pt>
                <c:pt idx="2">
                  <c:v>6.4833059176089411E-3</c:v>
                </c:pt>
                <c:pt idx="3">
                  <c:v>9.9230768563497683E-3</c:v>
                </c:pt>
                <c:pt idx="4">
                  <c:v>1.351141719353227E-2</c:v>
                </c:pt>
                <c:pt idx="5">
                  <c:v>1.7253442113994877E-2</c:v>
                </c:pt>
                <c:pt idx="6">
                  <c:v>2.1156578997001928E-2</c:v>
                </c:pt>
                <c:pt idx="7">
                  <c:v>2.5229122294727471E-2</c:v>
                </c:pt>
                <c:pt idx="8">
                  <c:v>2.9475680036157088E-2</c:v>
                </c:pt>
                <c:pt idx="9">
                  <c:v>3.3906346258749151E-2</c:v>
                </c:pt>
                <c:pt idx="10">
                  <c:v>3.853087590455305E-2</c:v>
                </c:pt>
                <c:pt idx="11">
                  <c:v>4.3358826109963007E-2</c:v>
                </c:pt>
                <c:pt idx="12">
                  <c:v>4.8399632284816148E-2</c:v>
                </c:pt>
                <c:pt idx="13">
                  <c:v>5.3662651586162936E-2</c:v>
                </c:pt>
                <c:pt idx="14">
                  <c:v>5.9159632075885052E-2</c:v>
                </c:pt>
                <c:pt idx="15">
                  <c:v>6.4901675181664675E-2</c:v>
                </c:pt>
                <c:pt idx="16">
                  <c:v>7.0901581536474703E-2</c:v>
                </c:pt>
                <c:pt idx="17">
                  <c:v>7.7171343082645949E-2</c:v>
                </c:pt>
                <c:pt idx="18">
                  <c:v>8.3724284627317E-2</c:v>
                </c:pt>
                <c:pt idx="19">
                  <c:v>9.0574730626232183E-2</c:v>
                </c:pt>
                <c:pt idx="20">
                  <c:v>9.7736022119771976E-2</c:v>
                </c:pt>
                <c:pt idx="21">
                  <c:v>0.1049342343610979</c:v>
                </c:pt>
                <c:pt idx="22">
                  <c:v>0.11219004453986225</c:v>
                </c:pt>
                <c:pt idx="23">
                  <c:v>0.11952068364744194</c:v>
                </c:pt>
                <c:pt idx="24">
                  <c:v>0.12693915987258012</c:v>
                </c:pt>
                <c:pt idx="25">
                  <c:v>0.13445788960961086</c:v>
                </c:pt>
                <c:pt idx="26">
                  <c:v>0.14208744978704094</c:v>
                </c:pt>
                <c:pt idx="27">
                  <c:v>0.14983690634359045</c:v>
                </c:pt>
                <c:pt idx="28">
                  <c:v>0.15771533840230556</c:v>
                </c:pt>
                <c:pt idx="29">
                  <c:v>0.16572939299981501</c:v>
                </c:pt>
                <c:pt idx="30">
                  <c:v>0.17388485949060198</c:v>
                </c:pt>
                <c:pt idx="31">
                  <c:v>0.18218680355983921</c:v>
                </c:pt>
                <c:pt idx="32">
                  <c:v>0.19064078735814322</c:v>
                </c:pt>
                <c:pt idx="33">
                  <c:v>0.19925064083898936</c:v>
                </c:pt>
                <c:pt idx="34">
                  <c:v>0.2080187092154461</c:v>
                </c:pt>
                <c:pt idx="35">
                  <c:v>0.21694707712135225</c:v>
                </c:pt>
                <c:pt idx="36">
                  <c:v>0.22603661338958184</c:v>
                </c:pt>
                <c:pt idx="37">
                  <c:v>0.23528809539691709</c:v>
                </c:pt>
                <c:pt idx="38">
                  <c:v>0.24470128114558967</c:v>
                </c:pt>
                <c:pt idx="39">
                  <c:v>0.25427412053259146</c:v>
                </c:pt>
                <c:pt idx="40">
                  <c:v>0.26400565727228908</c:v>
                </c:pt>
                <c:pt idx="41">
                  <c:v>0.27389240857527614</c:v>
                </c:pt>
                <c:pt idx="42">
                  <c:v>0.2839397379814711</c:v>
                </c:pt>
                <c:pt idx="43">
                  <c:v>0.2941516885703378</c:v>
                </c:pt>
                <c:pt idx="44">
                  <c:v>0.30453275839428395</c:v>
                </c:pt>
                <c:pt idx="45">
                  <c:v>0.31508785102508058</c:v>
                </c:pt>
                <c:pt idx="46">
                  <c:v>0.32582067300497902</c:v>
                </c:pt>
                <c:pt idx="47">
                  <c:v>0.33673538545813342</c:v>
                </c:pt>
                <c:pt idx="48">
                  <c:v>0.34783580982509327</c:v>
                </c:pt>
                <c:pt idx="49">
                  <c:v>0.35912546183116445</c:v>
                </c:pt>
                <c:pt idx="50">
                  <c:v>0.37060758145849132</c:v>
                </c:pt>
                <c:pt idx="51">
                  <c:v>0.38228586419252125</c:v>
                </c:pt>
                <c:pt idx="52">
                  <c:v>0.39416303517828449</c:v>
                </c:pt>
                <c:pt idx="53">
                  <c:v>0.40624229632970377</c:v>
                </c:pt>
                <c:pt idx="54">
                  <c:v>0.41852728298696829</c:v>
                </c:pt>
                <c:pt idx="55">
                  <c:v>0.43102137082311076</c:v>
                </c:pt>
                <c:pt idx="56">
                  <c:v>0.44372769862182848</c:v>
                </c:pt>
                <c:pt idx="57">
                  <c:v>0.45664982052829339</c:v>
                </c:pt>
                <c:pt idx="58">
                  <c:v>0.4697910497286828</c:v>
                </c:pt>
                <c:pt idx="59">
                  <c:v>0.48315570006677366</c:v>
                </c:pt>
              </c:numCache>
            </c:numRef>
          </c:yVal>
          <c:smooth val="1"/>
        </c:ser>
        <c:ser>
          <c:idx val="1"/>
          <c:order val="1"/>
          <c:spPr>
            <a:ln w="47625">
              <a:noFill/>
            </a:ln>
          </c:spPr>
          <c:marker>
            <c:symbol val="circle"/>
            <c:size val="7"/>
            <c:spPr>
              <a:solidFill>
                <a:srgbClr val="C0504D"/>
              </a:solidFill>
              <a:ln cmpd="sng">
                <a:solidFill>
                  <a:srgbClr val="C0504D"/>
                </a:solidFill>
              </a:ln>
            </c:spPr>
          </c:marker>
          <c:xVal>
            <c:numRef>
              <c:f>'Wind Graphs'!$J$5:$J$64</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'Wind Graphs'!$L$5:$L$64</c:f>
              <c:numCache>
                <c:formatCode>0%</c:formatCode>
                <c:ptCount val="60"/>
                <c:pt idx="0">
                  <c:v>0</c:v>
                </c:pt>
                <c:pt idx="1">
                  <c:v>6.3535176455889802E-3</c:v>
                </c:pt>
                <c:pt idx="2">
                  <c:v>1.2966611835217882E-2</c:v>
                </c:pt>
                <c:pt idx="3">
                  <c:v>1.9855315237783298E-2</c:v>
                </c:pt>
                <c:pt idx="4">
                  <c:v>2.7037492827198552E-2</c:v>
                </c:pt>
                <c:pt idx="5">
                  <c:v>3.452520727815727E-2</c:v>
                </c:pt>
                <c:pt idx="6">
                  <c:v>4.2334098622766728E-2</c:v>
                </c:pt>
                <c:pt idx="7">
                  <c:v>5.0481148402164347E-2</c:v>
                </c:pt>
                <c:pt idx="8">
                  <c:v>5.8979862594796997E-2</c:v>
                </c:pt>
                <c:pt idx="9">
                  <c:v>6.7849338617833349E-2</c:v>
                </c:pt>
                <c:pt idx="10">
                  <c:v>7.7105060836774805E-2</c:v>
                </c:pt>
                <c:pt idx="11">
                  <c:v>8.6766513687039429E-2</c:v>
                </c:pt>
                <c:pt idx="12">
                  <c:v>9.6852824254737374E-2</c:v>
                </c:pt>
                <c:pt idx="13">
                  <c:v>0.10738550748001917</c:v>
                </c:pt>
                <c:pt idx="14">
                  <c:v>0.11838522713237319</c:v>
                </c:pt>
                <c:pt idx="15">
                  <c:v>0.12987664256399947</c:v>
                </c:pt>
                <c:pt idx="16">
                  <c:v>0.14188292223250218</c:v>
                </c:pt>
                <c:pt idx="17">
                  <c:v>0.15442819373274036</c:v>
                </c:pt>
                <c:pt idx="18">
                  <c:v>0.16753922013441019</c:v>
                </c:pt>
                <c:pt idx="19">
                  <c:v>0.18124474111333555</c:v>
                </c:pt>
                <c:pt idx="20">
                  <c:v>0.19557500233096151</c:v>
                </c:pt>
                <c:pt idx="21">
                  <c:v>0.20998215491982616</c:v>
                </c:pt>
                <c:pt idx="22">
                  <c:v>0.22450516381347677</c:v>
                </c:pt>
                <c:pt idx="23">
                  <c:v>0.23917688152008124</c:v>
                </c:pt>
                <c:pt idx="24">
                  <c:v>0.25402636999051387</c:v>
                </c:pt>
                <c:pt idx="25">
                  <c:v>0.26907822010628385</c:v>
                </c:pt>
                <c:pt idx="26">
                  <c:v>0.28435337965534335</c:v>
                </c:pt>
                <c:pt idx="27">
                  <c:v>0.29986980388450857</c:v>
                </c:pt>
                <c:pt idx="28">
                  <c:v>0.31564423511346024</c:v>
                </c:pt>
                <c:pt idx="29">
                  <c:v>0.33168996181591037</c:v>
                </c:pt>
                <c:pt idx="30">
                  <c:v>0.34801973995607055</c:v>
                </c:pt>
                <c:pt idx="31">
                  <c:v>0.36464473100262607</c:v>
                </c:pt>
                <c:pt idx="32">
                  <c:v>0.38157363303107794</c:v>
                </c:pt>
                <c:pt idx="33">
                  <c:v>0.39881412081392725</c:v>
                </c:pt>
                <c:pt idx="34">
                  <c:v>0.41637194497537938</c:v>
                </c:pt>
                <c:pt idx="35">
                  <c:v>0.43425018128693188</c:v>
                </c:pt>
                <c:pt idx="36">
                  <c:v>0.45245256343938872</c:v>
                </c:pt>
                <c:pt idx="37">
                  <c:v>0.47098050336134661</c:v>
                </c:pt>
                <c:pt idx="38">
                  <c:v>0.48983244923741748</c:v>
                </c:pt>
                <c:pt idx="39">
                  <c:v>0.50900608828124394</c:v>
                </c:pt>
                <c:pt idx="40">
                  <c:v>0.52849665192218631</c:v>
                </c:pt>
                <c:pt idx="41">
                  <c:v>0.54829808068679253</c:v>
                </c:pt>
                <c:pt idx="42">
                  <c:v>0.56842107123649843</c:v>
                </c:pt>
                <c:pt idx="43">
                  <c:v>0.58887451494305632</c:v>
                </c:pt>
                <c:pt idx="44">
                  <c:v>0.60966732719184791</c:v>
                </c:pt>
                <c:pt idx="45">
                  <c:v>0.63080764811735202</c:v>
                </c:pt>
                <c:pt idx="46">
                  <c:v>0.65230370478090749</c:v>
                </c:pt>
                <c:pt idx="47">
                  <c:v>0.67416380211583227</c:v>
                </c:pt>
                <c:pt idx="48">
                  <c:v>0.69639556710170347</c:v>
                </c:pt>
                <c:pt idx="49">
                  <c:v>0.71900601655973262</c:v>
                </c:pt>
                <c:pt idx="50">
                  <c:v>0.74200233552319916</c:v>
                </c:pt>
                <c:pt idx="51">
                  <c:v>0.76539115633051524</c:v>
                </c:pt>
                <c:pt idx="52">
                  <c:v>0.78917930220210586</c:v>
                </c:pt>
                <c:pt idx="53">
                  <c:v>0.81337309093466059</c:v>
                </c:pt>
                <c:pt idx="54">
                  <c:v>0.83797904714147997</c:v>
                </c:pt>
                <c:pt idx="55">
                  <c:v>0.86300388378670578</c:v>
                </c:pt>
                <c:pt idx="56">
                  <c:v>0.88845384274927697</c:v>
                </c:pt>
                <c:pt idx="57">
                  <c:v>0.91433599909235508</c:v>
                </c:pt>
                <c:pt idx="58">
                  <c:v>0.94065756933414779</c:v>
                </c:pt>
                <c:pt idx="59">
                  <c:v>0.96742589965998715</c:v>
                </c:pt>
              </c:numCache>
            </c:numRef>
          </c:yVal>
          <c:smooth val="1"/>
        </c:ser>
        <c:ser>
          <c:idx val="2"/>
          <c:order val="2"/>
          <c:spPr>
            <a:ln w="47625">
              <a:noFill/>
            </a:ln>
          </c:spPr>
          <c:marker>
            <c:symbol val="dot"/>
            <c:size val="7"/>
            <c:spPr>
              <a:solidFill>
                <a:srgbClr val="9BBB59"/>
              </a:solidFill>
              <a:ln cmpd="sng">
                <a:solidFill>
                  <a:srgbClr val="9BBB59"/>
                </a:solidFill>
              </a:ln>
            </c:spPr>
          </c:marker>
          <c:xVal>
            <c:numRef>
              <c:f>'Wind Graphs'!$J$5:$J$64</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'Wind Graphs'!$M$5:$M$64</c:f>
              <c:numCache>
                <c:formatCode>0%</c:formatCode>
                <c:ptCount val="60"/>
                <c:pt idx="0">
                  <c:v>0</c:v>
                </c:pt>
                <c:pt idx="1">
                  <c:v>9.5302764683834716E-3</c:v>
                </c:pt>
                <c:pt idx="2">
                  <c:v>1.9449917752826826E-2</c:v>
                </c:pt>
                <c:pt idx="3">
                  <c:v>2.9787553619216828E-2</c:v>
                </c:pt>
                <c:pt idx="4">
                  <c:v>4.0563568460864848E-2</c:v>
                </c:pt>
                <c:pt idx="5">
                  <c:v>5.1796972442319685E-2</c:v>
                </c:pt>
                <c:pt idx="6">
                  <c:v>6.3511618248531548E-2</c:v>
                </c:pt>
                <c:pt idx="7">
                  <c:v>7.5733174509601237E-2</c:v>
                </c:pt>
                <c:pt idx="8">
                  <c:v>8.8484045153436899E-2</c:v>
                </c:pt>
                <c:pt idx="9">
                  <c:v>0.10178866636688404</c:v>
                </c:pt>
                <c:pt idx="10">
                  <c:v>0.11567258284166289</c:v>
                </c:pt>
                <c:pt idx="11">
                  <c:v>0.13016503973903204</c:v>
                </c:pt>
                <c:pt idx="12">
                  <c:v>0.14529474050147853</c:v>
                </c:pt>
                <c:pt idx="13">
                  <c:v>0.16109527548089855</c:v>
                </c:pt>
                <c:pt idx="14">
                  <c:v>0.17759860682208295</c:v>
                </c:pt>
                <c:pt idx="15">
                  <c:v>0.19483786765870859</c:v>
                </c:pt>
                <c:pt idx="16">
                  <c:v>0.21284917335780343</c:v>
                </c:pt>
                <c:pt idx="17">
                  <c:v>0.23167079312159336</c:v>
                </c:pt>
                <c:pt idx="18">
                  <c:v>0.25134258318876601</c:v>
                </c:pt>
                <c:pt idx="19">
                  <c:v>0.27190559007535509</c:v>
                </c:pt>
                <c:pt idx="20">
                  <c:v>0.29340525728016642</c:v>
                </c:pt>
                <c:pt idx="21">
                  <c:v>0.31502070573699142</c:v>
                </c:pt>
                <c:pt idx="22">
                  <c:v>0.33681191821636264</c:v>
                </c:pt>
                <c:pt idx="23">
                  <c:v>0.35882716257443725</c:v>
                </c:pt>
                <c:pt idx="24">
                  <c:v>0.38110844965440072</c:v>
                </c:pt>
                <c:pt idx="25">
                  <c:v>0.40369273655819216</c:v>
                </c:pt>
                <c:pt idx="26">
                  <c:v>0.4266115052615374</c:v>
                </c:pt>
                <c:pt idx="27">
                  <c:v>0.44989174031505869</c:v>
                </c:pt>
                <c:pt idx="28">
                  <c:v>0.47355923157966029</c:v>
                </c:pt>
                <c:pt idx="29">
                  <c:v>0.49763510873144806</c:v>
                </c:pt>
                <c:pt idx="30">
                  <c:v>0.52213777503670777</c:v>
                </c:pt>
                <c:pt idx="31">
                  <c:v>0.54708333335343939</c:v>
                </c:pt>
                <c:pt idx="32">
                  <c:v>0.5724859346780673</c:v>
                </c:pt>
                <c:pt idx="33">
                  <c:v>0.59835483170446579</c:v>
                </c:pt>
                <c:pt idx="34">
                  <c:v>0.62469926670721865</c:v>
                </c:pt>
                <c:pt idx="35">
                  <c:v>0.65152541914704842</c:v>
                </c:pt>
                <c:pt idx="36">
                  <c:v>0.67883780999972565</c:v>
                </c:pt>
                <c:pt idx="37">
                  <c:v>0.70663759123565051</c:v>
                </c:pt>
                <c:pt idx="38">
                  <c:v>0.73492391738721563</c:v>
                </c:pt>
                <c:pt idx="39">
                  <c:v>0.76369327907604945</c:v>
                </c:pt>
                <c:pt idx="40">
                  <c:v>0.79293804026553227</c:v>
                </c:pt>
                <c:pt idx="41">
                  <c:v>0.82264954710823002</c:v>
                </c:pt>
                <c:pt idx="42">
                  <c:v>0.85284210887295131</c:v>
                </c:pt>
                <c:pt idx="43">
                  <c:v>0.88353039971771974</c:v>
                </c:pt>
                <c:pt idx="44">
                  <c:v>0.91472778943095656</c:v>
                </c:pt>
                <c:pt idx="45">
                  <c:v>0.94644728186514038</c:v>
                </c:pt>
                <c:pt idx="46">
                  <c:v>0.97870155386616342</c:v>
                </c:pt>
                <c:pt idx="47">
                  <c:v>1.0115022258760937</c:v>
                </c:pt>
                <c:pt idx="48">
                  <c:v>1.0448599697294825</c:v>
                </c:pt>
                <c:pt idx="49">
                  <c:v>1.0787860693581317</c:v>
                </c:pt>
                <c:pt idx="50">
                  <c:v>1.1132909236795834</c:v>
                </c:pt>
                <c:pt idx="51">
                  <c:v>1.1483841316946455</c:v>
                </c:pt>
                <c:pt idx="52">
                  <c:v>1.1840759508229466</c:v>
                </c:pt>
                <c:pt idx="53">
                  <c:v>1.2203765573067402</c:v>
                </c:pt>
                <c:pt idx="54">
                  <c:v>1.2572953872979353</c:v>
                </c:pt>
                <c:pt idx="55">
                  <c:v>1.2948425117268867</c:v>
                </c:pt>
                <c:pt idx="56">
                  <c:v>1.3330279377060366</c:v>
                </c:pt>
                <c:pt idx="57">
                  <c:v>1.3718616140314575</c:v>
                </c:pt>
                <c:pt idx="58">
                  <c:v>1.4113540572452614</c:v>
                </c:pt>
                <c:pt idx="59">
                  <c:v>1.4515169150917706</c:v>
                </c:pt>
              </c:numCache>
            </c:numRef>
          </c:yVal>
          <c:smooth val="1"/>
        </c:ser>
        <c:ser>
          <c:idx val="3"/>
          <c:order val="3"/>
          <c:spPr>
            <a:ln w="47625">
              <a:noFill/>
            </a:ln>
          </c:spPr>
          <c:marker>
            <c:symbol val="triangle"/>
            <c:size val="7"/>
            <c:spPr>
              <a:solidFill>
                <a:srgbClr val="8064A2"/>
              </a:solidFill>
              <a:ln cmpd="sng">
                <a:solidFill>
                  <a:srgbClr val="8064A2"/>
                </a:solidFill>
              </a:ln>
            </c:spPr>
          </c:marker>
          <c:xVal>
            <c:numRef>
              <c:f>'Wind Graphs'!$J$5:$J$64</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'Wind Graphs'!$N$5:$N$64</c:f>
              <c:numCache>
                <c:formatCode>0%</c:formatCode>
                <c:ptCount val="60"/>
                <c:pt idx="0">
                  <c:v>0</c:v>
                </c:pt>
                <c:pt idx="1">
                  <c:v>1.270703529117796E-2</c:v>
                </c:pt>
                <c:pt idx="2">
                  <c:v>2.5945439037214114E-2</c:v>
                </c:pt>
                <c:pt idx="3">
                  <c:v>3.9738115050817882E-2</c:v>
                </c:pt>
                <c:pt idx="4">
                  <c:v>5.4111631754732159E-2</c:v>
                </c:pt>
                <c:pt idx="5">
                  <c:v>6.9099276023427955E-2</c:v>
                </c:pt>
                <c:pt idx="6">
                  <c:v>8.4731019131822127E-2</c:v>
                </c:pt>
                <c:pt idx="7">
                  <c:v>0.10103558900499882</c:v>
                </c:pt>
                <c:pt idx="8">
                  <c:v>0.11804523275704244</c:v>
                </c:pt>
                <c:pt idx="9">
                  <c:v>0.13579395709653783</c:v>
                </c:pt>
                <c:pt idx="10">
                  <c:v>0.15431672851088793</c:v>
                </c:pt>
                <c:pt idx="11">
                  <c:v>0.17365212720016776</c:v>
                </c:pt>
                <c:pt idx="12">
                  <c:v>0.1938381382568399</c:v>
                </c:pt>
                <c:pt idx="13">
                  <c:v>0.2149175993613785</c:v>
                </c:pt>
                <c:pt idx="14">
                  <c:v>0.23693414017957626</c:v>
                </c:pt>
                <c:pt idx="15">
                  <c:v>0.25993193486713229</c:v>
                </c:pt>
                <c:pt idx="16">
                  <c:v>0.28395985323148404</c:v>
                </c:pt>
                <c:pt idx="17">
                  <c:v>0.30906812048963878</c:v>
                </c:pt>
                <c:pt idx="18">
                  <c:v>0.33530988932356803</c:v>
                </c:pt>
                <c:pt idx="19">
                  <c:v>0.36274050801396618</c:v>
                </c:pt>
                <c:pt idx="20">
                  <c:v>0.39142048778344357</c:v>
                </c:pt>
                <c:pt idx="21">
                  <c:v>0.42025581291049924</c:v>
                </c:pt>
                <c:pt idx="22">
                  <c:v>0.44932261613415653</c:v>
                </c:pt>
                <c:pt idx="23">
                  <c:v>0.47868815870571974</c:v>
                </c:pt>
                <c:pt idx="24">
                  <c:v>0.50840894007628445</c:v>
                </c:pt>
                <c:pt idx="25">
                  <c:v>0.53853276747370071</c:v>
                </c:pt>
                <c:pt idx="26">
                  <c:v>0.56910172283652005</c:v>
                </c:pt>
                <c:pt idx="27">
                  <c:v>0.60015449397638188</c:v>
                </c:pt>
                <c:pt idx="28">
                  <c:v>0.63172316879641199</c:v>
                </c:pt>
                <c:pt idx="29">
                  <c:v>0.66383677834933097</c:v>
                </c:pt>
                <c:pt idx="30">
                  <c:v>0.69651942561330338</c:v>
                </c:pt>
                <c:pt idx="31">
                  <c:v>0.72979220069422357</c:v>
                </c:pt>
                <c:pt idx="32">
                  <c:v>0.76367363732151394</c:v>
                </c:pt>
                <c:pt idx="33">
                  <c:v>0.79817793313288032</c:v>
                </c:pt>
                <c:pt idx="34">
                  <c:v>0.83331661614742381</c:v>
                </c:pt>
                <c:pt idx="35">
                  <c:v>0.86909789759877143</c:v>
                </c:pt>
                <c:pt idx="36">
                  <c:v>0.90552712014932912</c:v>
                </c:pt>
                <c:pt idx="37">
                  <c:v>0.9426061709628023</c:v>
                </c:pt>
                <c:pt idx="38">
                  <c:v>0.98033392471684921</c:v>
                </c:pt>
                <c:pt idx="39">
                  <c:v>1.0187057040113288</c:v>
                </c:pt>
                <c:pt idx="40">
                  <c:v>1.0577119249338698</c:v>
                </c:pt>
                <c:pt idx="41">
                  <c:v>1.0973404262208661</c:v>
                </c:pt>
                <c:pt idx="42">
                  <c:v>1.1376117105800332</c:v>
                </c:pt>
                <c:pt idx="43">
                  <c:v>1.1785435839706502</c:v>
                </c:pt>
                <c:pt idx="44">
                  <c:v>1.220154712673416</c:v>
                </c:pt>
                <c:pt idx="45">
                  <c:v>1.262462139814186</c:v>
                </c:pt>
                <c:pt idx="46">
                  <c:v>1.3054822377442818</c:v>
                </c:pt>
                <c:pt idx="47">
                  <c:v>1.3492300144524154</c:v>
                </c:pt>
                <c:pt idx="48">
                  <c:v>1.3937207485445595</c:v>
                </c:pt>
                <c:pt idx="49">
                  <c:v>1.4389684963382101</c:v>
                </c:pt>
                <c:pt idx="50">
                  <c:v>1.4849876487965623</c:v>
                </c:pt>
                <c:pt idx="51">
                  <c:v>1.5317921946183408</c:v>
                </c:pt>
                <c:pt idx="52">
                  <c:v>1.5793950667514238</c:v>
                </c:pt>
                <c:pt idx="53">
                  <c:v>1.6278095974105253</c:v>
                </c:pt>
                <c:pt idx="54">
                  <c:v>1.6770488154874779</c:v>
                </c:pt>
                <c:pt idx="55">
                  <c:v>1.7271261280282793</c:v>
                </c:pt>
                <c:pt idx="56">
                  <c:v>1.7780546441476368</c:v>
                </c:pt>
                <c:pt idx="57">
                  <c:v>1.8298484643713289</c:v>
                </c:pt>
                <c:pt idx="58">
                  <c:v>1.8825213543776291</c:v>
                </c:pt>
                <c:pt idx="59">
                  <c:v>1.9360879944379434</c:v>
                </c:pt>
              </c:numCache>
            </c:numRef>
          </c:yVal>
          <c:smooth val="1"/>
        </c:ser>
        <c:ser>
          <c:idx val="4"/>
          <c:order val="4"/>
          <c:spPr>
            <a:ln w="47625">
              <a:noFill/>
            </a:ln>
          </c:spPr>
          <c:marker>
            <c:symbol val="diamond"/>
            <c:size val="7"/>
            <c:spPr>
              <a:solidFill>
                <a:srgbClr val="4BACC6"/>
              </a:solidFill>
              <a:ln cmpd="sng">
                <a:solidFill>
                  <a:srgbClr val="4BACC6"/>
                </a:solidFill>
              </a:ln>
            </c:spPr>
          </c:marker>
          <c:xVal>
            <c:numRef>
              <c:f>'Wind Graphs'!$J$5:$J$64</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'Wind Graphs'!$O$5:$O$64</c:f>
              <c:numCache>
                <c:formatCode>0%</c:formatCode>
                <c:ptCount val="60"/>
                <c:pt idx="0">
                  <c:v>0</c:v>
                </c:pt>
                <c:pt idx="1">
                  <c:v>1.5883794113972449E-2</c:v>
                </c:pt>
                <c:pt idx="2">
                  <c:v>3.2428744954823056E-2</c:v>
                </c:pt>
                <c:pt idx="3">
                  <c:v>4.9670353432251416E-2</c:v>
                </c:pt>
                <c:pt idx="4">
                  <c:v>6.7645036608465464E-2</c:v>
                </c:pt>
                <c:pt idx="5">
                  <c:v>8.6383256554368709E-2</c:v>
                </c:pt>
                <c:pt idx="6">
                  <c:v>0.1059242442291591</c:v>
                </c:pt>
                <c:pt idx="7">
                  <c:v>0.12630593816260322</c:v>
                </c:pt>
                <c:pt idx="8">
                  <c:v>0.14756977426031292</c:v>
                </c:pt>
                <c:pt idx="9">
                  <c:v>0.16975893711582307</c:v>
                </c:pt>
                <c:pt idx="10">
                  <c:v>0.19291756515244424</c:v>
                </c:pt>
                <c:pt idx="11">
                  <c:v>0.21709035319419001</c:v>
                </c:pt>
                <c:pt idx="12">
                  <c:v>0.24232797632709616</c:v>
                </c:pt>
                <c:pt idx="13">
                  <c:v>0.26868233651276047</c:v>
                </c:pt>
                <c:pt idx="14">
                  <c:v>0.29620615362982211</c:v>
                </c:pt>
                <c:pt idx="15">
                  <c:v>0.32495729063742773</c:v>
                </c:pt>
                <c:pt idx="16">
                  <c:v>0.35499508525153356</c:v>
                </c:pt>
                <c:pt idx="17">
                  <c:v>0.38638401207916184</c:v>
                </c:pt>
                <c:pt idx="18">
                  <c:v>0.41919040206283975</c:v>
                </c:pt>
                <c:pt idx="19">
                  <c:v>0.45348381070173954</c:v>
                </c:pt>
                <c:pt idx="20">
                  <c:v>0.48933799535249384</c:v>
                </c:pt>
                <c:pt idx="21">
                  <c:v>0.52538597897850214</c:v>
                </c:pt>
                <c:pt idx="22">
                  <c:v>0.56172496905965552</c:v>
                </c:pt>
                <c:pt idx="23">
                  <c:v>0.59843616269430255</c:v>
                </c:pt>
                <c:pt idx="24">
                  <c:v>0.63559069713308258</c:v>
                </c:pt>
                <c:pt idx="25">
                  <c:v>0.67325017489962657</c:v>
                </c:pt>
                <c:pt idx="26">
                  <c:v>0.71146707221776839</c:v>
                </c:pt>
                <c:pt idx="27">
                  <c:v>0.75028898628653229</c:v>
                </c:pt>
                <c:pt idx="28">
                  <c:v>0.78975568551541042</c:v>
                </c:pt>
                <c:pt idx="29">
                  <c:v>0.82990285739597414</c:v>
                </c:pt>
                <c:pt idx="30">
                  <c:v>0.87076158458217201</c:v>
                </c:pt>
                <c:pt idx="31">
                  <c:v>0.9123590643962094</c:v>
                </c:pt>
                <c:pt idx="32">
                  <c:v>0.95471697653939813</c:v>
                </c:pt>
                <c:pt idx="33">
                  <c:v>0.99785337233347404</c:v>
                </c:pt>
                <c:pt idx="34">
                  <c:v>1.0417831930605359</c:v>
                </c:pt>
                <c:pt idx="35">
                  <c:v>1.0865166660185335</c:v>
                </c:pt>
                <c:pt idx="36">
                  <c:v>1.1320609319812946</c:v>
                </c:pt>
                <c:pt idx="37">
                  <c:v>1.1784175582069381</c:v>
                </c:pt>
                <c:pt idx="38">
                  <c:v>1.225585132278364</c:v>
                </c:pt>
                <c:pt idx="39">
                  <c:v>1.2735578022576417</c:v>
                </c:pt>
                <c:pt idx="40">
                  <c:v>1.3223240304763373</c:v>
                </c:pt>
                <c:pt idx="41">
                  <c:v>1.3718681429343909</c:v>
                </c:pt>
                <c:pt idx="42">
                  <c:v>1.4222151264832694</c:v>
                </c:pt>
                <c:pt idx="43">
                  <c:v>1.4733893621743219</c:v>
                </c:pt>
                <c:pt idx="44">
                  <c:v>1.5254122494965481</c:v>
                </c:pt>
                <c:pt idx="45">
                  <c:v>1.5783057170768819</c:v>
                </c:pt>
                <c:pt idx="46">
                  <c:v>1.6320906069803984</c:v>
                </c:pt>
                <c:pt idx="47">
                  <c:v>1.6867860244334159</c:v>
                </c:pt>
                <c:pt idx="48">
                  <c:v>1.7424110108111379</c:v>
                </c:pt>
                <c:pt idx="49">
                  <c:v>1.7989830841787533</c:v>
                </c:pt>
                <c:pt idx="50">
                  <c:v>1.8565198257375262</c:v>
                </c:pt>
                <c:pt idx="51">
                  <c:v>1.9150381690213225</c:v>
                </c:pt>
                <c:pt idx="52">
                  <c:v>1.9745544609973082</c:v>
                </c:pt>
                <c:pt idx="53">
                  <c:v>2.0350851950091671</c:v>
                </c:pt>
                <c:pt idx="54">
                  <c:v>2.0966469974701458</c:v>
                </c:pt>
                <c:pt idx="55">
                  <c:v>2.1592566159818425</c:v>
                </c:pt>
                <c:pt idx="56">
                  <c:v>2.2229302657896088</c:v>
                </c:pt>
                <c:pt idx="57">
                  <c:v>2.2876855711632782</c:v>
                </c:pt>
                <c:pt idx="58">
                  <c:v>2.3535402037476212</c:v>
                </c:pt>
                <c:pt idx="59">
                  <c:v>2.4205124893827747</c:v>
                </c:pt>
              </c:numCache>
            </c:numRef>
          </c:yVal>
          <c:smooth val="1"/>
        </c:ser>
        <c:ser>
          <c:idx val="5"/>
          <c:order val="5"/>
          <c:spPr>
            <a:ln w="19050">
              <a:noFill/>
            </a:ln>
          </c:spPr>
          <c:marker>
            <c:symbol val="square"/>
            <c:size val="5"/>
          </c:marker>
          <c:xVal>
            <c:numRef>
              <c:f>'Wind Graphs'!$J$5:$J$64</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'Wind Graphs'!$P$5:$P$64</c:f>
              <c:numCache>
                <c:formatCode>0%</c:formatCode>
                <c:ptCount val="60"/>
                <c:pt idx="0">
                  <c:v>0</c:v>
                </c:pt>
                <c:pt idx="1">
                  <c:v>1.9060552936766943E-2</c:v>
                </c:pt>
                <c:pt idx="2">
                  <c:v>3.8912050872431998E-2</c:v>
                </c:pt>
                <c:pt idx="3">
                  <c:v>5.9602591813684949E-2</c:v>
                </c:pt>
                <c:pt idx="4">
                  <c:v>8.1171112242131749E-2</c:v>
                </c:pt>
                <c:pt idx="5">
                  <c:v>0.10366112940192029</c:v>
                </c:pt>
                <c:pt idx="6">
                  <c:v>0.12711223416930537</c:v>
                </c:pt>
                <c:pt idx="7">
                  <c:v>0.15157170655766575</c:v>
                </c:pt>
                <c:pt idx="8">
                  <c:v>0.17709024397465731</c:v>
                </c:pt>
                <c:pt idx="9">
                  <c:v>0.2037165879150413</c:v>
                </c:pt>
                <c:pt idx="10">
                  <c:v>0.23150507593933331</c:v>
                </c:pt>
                <c:pt idx="11">
                  <c:v>0.26051025613804474</c:v>
                </c:pt>
                <c:pt idx="12">
                  <c:v>0.29079244402019738</c:v>
                </c:pt>
                <c:pt idx="13">
                  <c:v>0.32241304514240277</c:v>
                </c:pt>
                <c:pt idx="14">
                  <c:v>0.35543907790637724</c:v>
                </c:pt>
                <c:pt idx="15">
                  <c:v>0.38993912916357532</c:v>
                </c:pt>
                <c:pt idx="16">
                  <c:v>0.42598504855940461</c:v>
                </c:pt>
                <c:pt idx="17">
                  <c:v>0.46365307809603457</c:v>
                </c:pt>
                <c:pt idx="18">
                  <c:v>0.50302269624903895</c:v>
                </c:pt>
                <c:pt idx="19">
                  <c:v>0.54417764115406053</c:v>
                </c:pt>
                <c:pt idx="20">
                  <c:v>0.58720664145443069</c:v>
                </c:pt>
                <c:pt idx="21">
                  <c:v>0.63046950455516948</c:v>
                </c:pt>
                <c:pt idx="22">
                  <c:v>0.67408111603255805</c:v>
                </c:pt>
                <c:pt idx="23">
                  <c:v>0.71813988597831369</c:v>
                </c:pt>
                <c:pt idx="24">
                  <c:v>0.76272994471349198</c:v>
                </c:pt>
                <c:pt idx="25">
                  <c:v>0.80792529836362736</c:v>
                </c:pt>
                <c:pt idx="26">
                  <c:v>0.8537903464467802</c:v>
                </c:pt>
                <c:pt idx="27">
                  <c:v>0.90038159733915712</c:v>
                </c:pt>
                <c:pt idx="28">
                  <c:v>0.9477465014995452</c:v>
                </c:pt>
                <c:pt idx="29">
                  <c:v>0.99592862573224905</c:v>
                </c:pt>
                <c:pt idx="30">
                  <c:v>1.044964733186168</c:v>
                </c:pt>
                <c:pt idx="31">
                  <c:v>1.0948869916165895</c:v>
                </c:pt>
                <c:pt idx="32">
                  <c:v>1.1457225591690585</c:v>
                </c:pt>
                <c:pt idx="33">
                  <c:v>1.1974932432602132</c:v>
                </c:pt>
                <c:pt idx="34">
                  <c:v>1.2502152179361896</c:v>
                </c:pt>
                <c:pt idx="35">
                  <c:v>1.3039018421796549</c:v>
                </c:pt>
                <c:pt idx="36">
                  <c:v>1.3585610690183576</c:v>
                </c:pt>
                <c:pt idx="37">
                  <c:v>1.4141951924639229</c:v>
                </c:pt>
                <c:pt idx="38">
                  <c:v>1.470802512670339</c:v>
                </c:pt>
                <c:pt idx="39">
                  <c:v>1.528375086708637</c:v>
                </c:pt>
                <c:pt idx="40">
                  <c:v>1.5868994899184703</c:v>
                </c:pt>
                <c:pt idx="41">
                  <c:v>1.6463565959689859</c:v>
                </c:pt>
                <c:pt idx="42">
                  <c:v>1.7067776351117139</c:v>
                </c:pt>
                <c:pt idx="43">
                  <c:v>1.7681909984844093</c:v>
                </c:pt>
                <c:pt idx="44">
                  <c:v>1.8306233679259236</c:v>
                </c:pt>
                <c:pt idx="45">
                  <c:v>1.8940999017695623</c:v>
                </c:pt>
                <c:pt idx="46">
                  <c:v>1.9586459563266692</c:v>
                </c:pt>
                <c:pt idx="47">
                  <c:v>2.0242840114222198</c:v>
                </c:pt>
                <c:pt idx="48">
                  <c:v>2.091036955432231</c:v>
                </c:pt>
                <c:pt idx="49">
                  <c:v>2.1589265785846474</c:v>
                </c:pt>
                <c:pt idx="50">
                  <c:v>2.2279736806209121</c:v>
                </c:pt>
                <c:pt idx="51">
                  <c:v>2.2981988707677559</c:v>
                </c:pt>
                <c:pt idx="52">
                  <c:v>2.3696218942744278</c:v>
                </c:pt>
                <c:pt idx="53">
                  <c:v>2.4422623910420942</c:v>
                </c:pt>
                <c:pt idx="54">
                  <c:v>2.5161405714936764</c:v>
                </c:pt>
                <c:pt idx="55">
                  <c:v>2.5912758568451042</c:v>
                </c:pt>
                <c:pt idx="56">
                  <c:v>2.6676882341620858</c:v>
                </c:pt>
                <c:pt idx="57">
                  <c:v>2.745398207579953</c:v>
                </c:pt>
                <c:pt idx="58">
                  <c:v>2.8244267544842021</c:v>
                </c:pt>
                <c:pt idx="59">
                  <c:v>2.9047965076096571</c:v>
                </c:pt>
              </c:numCache>
            </c:numRef>
          </c:yVal>
          <c:smooth val="0"/>
        </c:ser>
        <c:dLbls>
          <c:showLegendKey val="0"/>
          <c:showVal val="0"/>
          <c:showCatName val="0"/>
          <c:showSerName val="0"/>
          <c:showPercent val="0"/>
          <c:showBubbleSize val="0"/>
        </c:dLbls>
        <c:axId val="-442685280"/>
        <c:axId val="-242489040"/>
      </c:scatterChart>
      <c:valAx>
        <c:axId val="-442685280"/>
        <c:scaling>
          <c:orientation val="minMax"/>
        </c:scaling>
        <c:delete val="0"/>
        <c:axPos val="b"/>
        <c:majorGridlines>
          <c:spPr>
            <a:ln>
              <a:solidFill>
                <a:srgbClr val="FFFFFF"/>
              </a:solidFill>
            </a:ln>
          </c:spPr>
        </c:majorGridlines>
        <c:title>
          <c:tx>
            <c:rich>
              <a:bodyPr/>
              <a:lstStyle/>
              <a:p>
                <a:pPr>
                  <a:defRPr b="1" i="0"/>
                </a:pPr>
                <a:r>
                  <a:rPr lang="en-CA"/>
                  <a:t>Years</a:t>
                </a:r>
              </a:p>
            </c:rich>
          </c:tx>
          <c:layout/>
          <c:overlay val="0"/>
        </c:title>
        <c:numFmt formatCode="General" sourceLinked="1"/>
        <c:majorTickMark val="cross"/>
        <c:minorTickMark val="cross"/>
        <c:tickLblPos val="nextTo"/>
        <c:spPr>
          <a:ln w="47625">
            <a:noFill/>
          </a:ln>
        </c:spPr>
        <c:txPr>
          <a:bodyPr/>
          <a:lstStyle/>
          <a:p>
            <a:pPr>
              <a:defRPr/>
            </a:pPr>
            <a:endParaRPr lang="en-US"/>
          </a:p>
        </c:txPr>
        <c:crossAx val="-242489040"/>
        <c:crosses val="autoZero"/>
        <c:crossBetween val="midCat"/>
      </c:valAx>
      <c:valAx>
        <c:axId val="-242489040"/>
        <c:scaling>
          <c:orientation val="minMax"/>
        </c:scaling>
        <c:delete val="0"/>
        <c:axPos val="l"/>
        <c:majorGridlines>
          <c:spPr>
            <a:ln>
              <a:solidFill>
                <a:srgbClr val="B7B7B7"/>
              </a:solidFill>
            </a:ln>
          </c:spPr>
        </c:majorGridlines>
        <c:title>
          <c:tx>
            <c:rich>
              <a:bodyPr/>
              <a:lstStyle/>
              <a:p>
                <a:pPr>
                  <a:defRPr b="1" i="0"/>
                </a:pPr>
                <a:r>
                  <a:rPr lang="en-CA"/>
                  <a:t>CO2 saved by wind energy/oil sands CO2</a:t>
                </a:r>
              </a:p>
            </c:rich>
          </c:tx>
          <c:layout/>
          <c:overlay val="0"/>
        </c:title>
        <c:numFmt formatCode="0%" sourceLinked="1"/>
        <c:majorTickMark val="cross"/>
        <c:minorTickMark val="cross"/>
        <c:tickLblPos val="nextTo"/>
        <c:spPr>
          <a:ln w="47625">
            <a:noFill/>
          </a:ln>
        </c:spPr>
        <c:txPr>
          <a:bodyPr/>
          <a:lstStyle/>
          <a:p>
            <a:pPr>
              <a:defRPr/>
            </a:pPr>
            <a:endParaRPr lang="en-US"/>
          </a:p>
        </c:txPr>
        <c:crossAx val="-442685280"/>
        <c:crosses val="autoZero"/>
        <c:crossBetween val="midCat"/>
      </c:valAx>
      <c:spPr>
        <a:solidFill>
          <a:srgbClr val="FFFFFF"/>
        </a:solidFill>
      </c:spPr>
    </c:plotArea>
    <c:legend>
      <c:legendPos val="r"/>
      <c:layout/>
      <c:overlay val="0"/>
    </c:legend>
    <c:plotVisOnly val="1"/>
    <c:dispBlanksAs val="zero"/>
    <c:showDLblsOverMax val="1"/>
  </c:chart>
  <c:spPr>
    <a:ln w="6350" cmpd="sng"/>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title>
      <c:tx>
        <c:rich>
          <a:bodyPr/>
          <a:lstStyle/>
          <a:p>
            <a:pPr>
              <a:defRPr sz="1400" b="1" i="0"/>
            </a:pPr>
            <a:r>
              <a:rPr lang="en-CA"/>
              <a:t>Cumulative Ratio Carbon Saved vs Carbon Burned</a:t>
            </a:r>
          </a:p>
        </c:rich>
      </c:tx>
      <c:layout/>
      <c:overlay val="0"/>
    </c:title>
    <c:autoTitleDeleted val="0"/>
    <c:plotArea>
      <c:layout>
        <c:manualLayout>
          <c:xMode val="edge"/>
          <c:yMode val="edge"/>
          <c:x val="0.16147574142195001"/>
          <c:y val="0.18238649400540299"/>
          <c:w val="0.73226796775398995"/>
          <c:h val="0.56154907024259004"/>
        </c:manualLayout>
      </c:layout>
      <c:lineChart>
        <c:grouping val="standard"/>
        <c:varyColors val="0"/>
        <c:ser>
          <c:idx val="0"/>
          <c:order val="0"/>
          <c:tx>
            <c:strRef>
              <c:f>'Development Plan (Solar)'!$D$20</c:f>
              <c:strCache>
                <c:ptCount val="1"/>
                <c:pt idx="0">
                  <c:v>Cumulative ratio carbon saved/carbon burned</c:v>
                </c:pt>
              </c:strCache>
            </c:strRef>
          </c:tx>
          <c:spPr>
            <a:ln w="25400" cmpd="sng">
              <a:solidFill>
                <a:srgbClr val="9BBB59"/>
              </a:solidFill>
            </a:ln>
          </c:spPr>
          <c:marker>
            <c:symbol val="none"/>
          </c:marker>
          <c:cat>
            <c:numRef>
              <c:f>'Development Plan (Solar)'!$B$21:$B$101</c:f>
              <c:numCache>
                <c:formatCode>General</c:formatCode>
                <c:ptCount val="8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numCache>
            </c:numRef>
          </c:cat>
          <c:val>
            <c:numRef>
              <c:f>'Development Plan (Solar)'!$D$21:$D$101</c:f>
              <c:numCache>
                <c:formatCode>0%</c:formatCode>
                <c:ptCount val="81"/>
                <c:pt idx="0">
                  <c:v>0</c:v>
                </c:pt>
                <c:pt idx="1">
                  <c:v>8.4400292154629105E-4</c:v>
                </c:pt>
                <c:pt idx="2">
                  <c:v>1.6898390961387656E-3</c:v>
                </c:pt>
                <c:pt idx="3">
                  <c:v>2.537513099770192E-3</c:v>
                </c:pt>
                <c:pt idx="4">
                  <c:v>3.3870294305441001E-3</c:v>
                </c:pt>
                <c:pt idx="5">
                  <c:v>4.2383925735824807E-3</c:v>
                </c:pt>
                <c:pt idx="6">
                  <c:v>5.0916070659334832E-3</c:v>
                </c:pt>
                <c:pt idx="7">
                  <c:v>5.9466774154367918E-3</c:v>
                </c:pt>
                <c:pt idx="8">
                  <c:v>6.8036081602223511E-3</c:v>
                </c:pt>
                <c:pt idx="9">
                  <c:v>7.662403853565234E-3</c:v>
                </c:pt>
                <c:pt idx="10">
                  <c:v>8.523069057001495E-3</c:v>
                </c:pt>
                <c:pt idx="11">
                  <c:v>9.3856083368860938E-3</c:v>
                </c:pt>
                <c:pt idx="12">
                  <c:v>1.0250026292496866E-2</c:v>
                </c:pt>
                <c:pt idx="13">
                  <c:v>1.1116327516458776E-2</c:v>
                </c:pt>
                <c:pt idx="14">
                  <c:v>1.198451662292461E-2</c:v>
                </c:pt>
                <c:pt idx="15">
                  <c:v>1.2854598240847542E-2</c:v>
                </c:pt>
                <c:pt idx="16">
                  <c:v>1.3726577009628068E-2</c:v>
                </c:pt>
                <c:pt idx="17">
                  <c:v>1.4600457576211985E-2</c:v>
                </c:pt>
                <c:pt idx="18">
                  <c:v>1.5476244593104774E-2</c:v>
                </c:pt>
                <c:pt idx="19">
                  <c:v>1.6353942736453991E-2</c:v>
                </c:pt>
                <c:pt idx="20">
                  <c:v>1.7233556681875151E-2</c:v>
                </c:pt>
                <c:pt idx="21">
                  <c:v>1.8115091122274735E-2</c:v>
                </c:pt>
                <c:pt idx="22">
                  <c:v>1.8998550764091297E-2</c:v>
                </c:pt>
                <c:pt idx="23">
                  <c:v>1.9883940340703201E-2</c:v>
                </c:pt>
                <c:pt idx="24">
                  <c:v>2.0771264575884959E-2</c:v>
                </c:pt>
                <c:pt idx="25">
                  <c:v>2.1660528215611534E-2</c:v>
                </c:pt>
                <c:pt idx="26">
                  <c:v>2.248921727459385E-2</c:v>
                </c:pt>
                <c:pt idx="27">
                  <c:v>2.3263642115338597E-2</c:v>
                </c:pt>
                <c:pt idx="28">
                  <c:v>2.398924149689784E-2</c:v>
                </c:pt>
                <c:pt idx="29">
                  <c:v>2.4670727868074536E-2</c:v>
                </c:pt>
                <c:pt idx="30">
                  <c:v>2.5312204514236904E-2</c:v>
                </c:pt>
                <c:pt idx="31">
                  <c:v>2.5917260702594529E-2</c:v>
                </c:pt>
                <c:pt idx="32">
                  <c:v>2.6489049587340337E-2</c:v>
                </c:pt>
                <c:pt idx="33">
                  <c:v>2.7030352332463464E-2</c:v>
                </c:pt>
                <c:pt idx="34">
                  <c:v>2.754363123095286E-2</c:v>
                </c:pt>
                <c:pt idx="35">
                  <c:v>2.8031074014072115E-2</c:v>
                </c:pt>
                <c:pt idx="36">
                  <c:v>2.8494630933244162E-2</c:v>
                </c:pt>
                <c:pt idx="37">
                  <c:v>2.8936045997150158E-2</c:v>
                </c:pt>
                <c:pt idx="38">
                  <c:v>2.9356883423092422E-2</c:v>
                </c:pt>
                <c:pt idx="39">
                  <c:v>2.9758550101180649E-2</c:v>
                </c:pt>
                <c:pt idx="40">
                  <c:v>3.014231477107621E-2</c:v>
                </c:pt>
                <c:pt idx="41">
                  <c:v>3.0509324468474115E-2</c:v>
                </c:pt>
                <c:pt idx="42">
                  <c:v>3.086061867672699E-2</c:v>
                </c:pt>
                <c:pt idx="43">
                  <c:v>3.1197141548702179E-2</c:v>
                </c:pt>
                <c:pt idx="44">
                  <c:v>3.1519752473094798E-2</c:v>
                </c:pt>
                <c:pt idx="45">
                  <c:v>3.1829235304857158E-2</c:v>
                </c:pt>
                <c:pt idx="46">
                  <c:v>3.2126306392417252E-2</c:v>
                </c:pt>
                <c:pt idx="47">
                  <c:v>3.2411621601494862E-2</c:v>
                </c:pt>
                <c:pt idx="48">
                  <c:v>3.2685782478858658E-2</c:v>
                </c:pt>
                <c:pt idx="49">
                  <c:v>3.2949341692010178E-2</c:v>
                </c:pt>
                <c:pt idx="50">
                  <c:v>3.3202807813632683E-2</c:v>
                </c:pt>
                <c:pt idx="51">
                  <c:v>3.3446649561477484E-2</c:v>
                </c:pt>
                <c:pt idx="52">
                  <c:v>3.3681403312607508E-2</c:v>
                </c:pt>
                <c:pt idx="53">
                  <c:v>3.3907565993718074E-2</c:v>
                </c:pt>
                <c:pt idx="54">
                  <c:v>3.4125598667533952E-2</c:v>
                </c:pt>
                <c:pt idx="55">
                  <c:v>3.4335929727995214E-2</c:v>
                </c:pt>
                <c:pt idx="56">
                  <c:v>3.4538957786437258E-2</c:v>
                </c:pt>
                <c:pt idx="57">
                  <c:v>3.4735054232342126E-2</c:v>
                </c:pt>
                <c:pt idx="58">
                  <c:v>3.4924565533674484E-2</c:v>
                </c:pt>
                <c:pt idx="59">
                  <c:v>3.5107815339637763E-2</c:v>
                </c:pt>
                <c:pt idx="60">
                  <c:v>3.5285106331911384E-2</c:v>
                </c:pt>
                <c:pt idx="61">
                  <c:v>3.5456721928142858E-2</c:v>
                </c:pt>
                <c:pt idx="62">
                  <c:v>3.5622927817020915E-2</c:v>
                </c:pt>
                <c:pt idx="63">
                  <c:v>3.5783973337265296E-2</c:v>
                </c:pt>
                <c:pt idx="64">
                  <c:v>3.5940092741308168E-2</c:v>
                </c:pt>
                <c:pt idx="65">
                  <c:v>3.6091506344095386E-2</c:v>
                </c:pt>
                <c:pt idx="66">
                  <c:v>3.623842156319744E-2</c:v>
                </c:pt>
                <c:pt idx="67">
                  <c:v>3.6381033867145821E-2</c:v>
                </c:pt>
                <c:pt idx="68">
                  <c:v>3.6519527641305477E-2</c:v>
                </c:pt>
                <c:pt idx="69">
                  <c:v>3.6654076996220072E-2</c:v>
                </c:pt>
                <c:pt idx="70">
                  <c:v>3.6784846480220665E-2</c:v>
                </c:pt>
                <c:pt idx="71">
                  <c:v>3.6911991748877201E-2</c:v>
                </c:pt>
                <c:pt idx="72">
                  <c:v>3.7035660179426645E-2</c:v>
                </c:pt>
                <c:pt idx="73">
                  <c:v>3.7155991430119759E-2</c:v>
                </c:pt>
                <c:pt idx="74">
                  <c:v>3.7273117960012855E-2</c:v>
                </c:pt>
                <c:pt idx="75">
                  <c:v>3.7387165502598976E-2</c:v>
                </c:pt>
                <c:pt idx="76">
                  <c:v>3.7498253502532788E-2</c:v>
                </c:pt>
                <c:pt idx="77">
                  <c:v>3.7606495528747043E-2</c:v>
                </c:pt>
                <c:pt idx="78">
                  <c:v>3.7711999414637883E-2</c:v>
                </c:pt>
                <c:pt idx="79">
                  <c:v>3.7814867621403951E-2</c:v>
                </c:pt>
                <c:pt idx="80">
                  <c:v>3.7915197564855549E-2</c:v>
                </c:pt>
              </c:numCache>
            </c:numRef>
          </c:val>
          <c:smooth val="0"/>
        </c:ser>
        <c:dLbls>
          <c:showLegendKey val="0"/>
          <c:showVal val="0"/>
          <c:showCatName val="0"/>
          <c:showSerName val="0"/>
          <c:showPercent val="0"/>
          <c:showBubbleSize val="0"/>
        </c:dLbls>
        <c:smooth val="0"/>
        <c:axId val="-242488496"/>
        <c:axId val="-242487408"/>
      </c:lineChart>
      <c:catAx>
        <c:axId val="-242488496"/>
        <c:scaling>
          <c:orientation val="minMax"/>
        </c:scaling>
        <c:delete val="0"/>
        <c:axPos val="b"/>
        <c:title>
          <c:tx>
            <c:rich>
              <a:bodyPr/>
              <a:lstStyle/>
              <a:p>
                <a:pPr>
                  <a:defRPr sz="1100" b="1" i="0"/>
                </a:pPr>
                <a:r>
                  <a:rPr lang="en-CA"/>
                  <a:t>Year</a:t>
                </a:r>
              </a:p>
            </c:rich>
          </c:tx>
          <c:layout/>
          <c:overlay val="0"/>
        </c:title>
        <c:numFmt formatCode="General" sourceLinked="1"/>
        <c:majorTickMark val="cross"/>
        <c:minorTickMark val="cross"/>
        <c:tickLblPos val="nextTo"/>
        <c:txPr>
          <a:bodyPr/>
          <a:lstStyle/>
          <a:p>
            <a:pPr>
              <a:defRPr/>
            </a:pPr>
            <a:endParaRPr lang="en-US"/>
          </a:p>
        </c:txPr>
        <c:crossAx val="-242487408"/>
        <c:crosses val="autoZero"/>
        <c:auto val="1"/>
        <c:lblAlgn val="ctr"/>
        <c:lblOffset val="100"/>
        <c:noMultiLvlLbl val="1"/>
      </c:catAx>
      <c:valAx>
        <c:axId val="-242487408"/>
        <c:scaling>
          <c:orientation val="minMax"/>
        </c:scaling>
        <c:delete val="0"/>
        <c:axPos val="l"/>
        <c:majorGridlines>
          <c:spPr>
            <a:ln>
              <a:solidFill>
                <a:srgbClr val="B7B7B7"/>
              </a:solidFill>
            </a:ln>
          </c:spPr>
        </c:majorGridlines>
        <c:title>
          <c:tx>
            <c:rich>
              <a:bodyPr/>
              <a:lstStyle/>
              <a:p>
                <a:pPr>
                  <a:defRPr sz="1100" b="1" i="0"/>
                </a:pPr>
                <a:r>
                  <a:rPr lang="en-CA"/>
                  <a:t>CO2 saved by Solar Energy/tar sands CO2</a:t>
                </a:r>
              </a:p>
            </c:rich>
          </c:tx>
          <c:layout/>
          <c:overlay val="0"/>
        </c:title>
        <c:numFmt formatCode="0%" sourceLinked="1"/>
        <c:majorTickMark val="cross"/>
        <c:minorTickMark val="cross"/>
        <c:tickLblPos val="nextTo"/>
        <c:spPr>
          <a:ln w="47625">
            <a:noFill/>
          </a:ln>
        </c:spPr>
        <c:txPr>
          <a:bodyPr/>
          <a:lstStyle/>
          <a:p>
            <a:pPr>
              <a:defRPr/>
            </a:pPr>
            <a:endParaRPr lang="en-US"/>
          </a:p>
        </c:txPr>
        <c:crossAx val="-242488496"/>
        <c:crosses val="autoZero"/>
        <c:crossBetween val="between"/>
      </c:valAx>
      <c:spPr>
        <a:solidFill>
          <a:srgbClr val="FFFFFF"/>
        </a:solidFill>
      </c:spPr>
    </c:plotArea>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title>
      <c:tx>
        <c:rich>
          <a:bodyPr/>
          <a:lstStyle/>
          <a:p>
            <a:pPr>
              <a:defRPr b="1" i="0"/>
            </a:pPr>
            <a:r>
              <a:rPr lang="en-CA" sz="1800" b="1" i="0" baseline="0">
                <a:effectLst/>
              </a:rPr>
              <a:t>Cumulative Ratio Carbon Saved vs Carbon Burned Using $0.05/kWh Reinvestment Policy</a:t>
            </a:r>
            <a:endParaRPr lang="en-CA">
              <a:effectLst/>
            </a:endParaRPr>
          </a:p>
        </c:rich>
      </c:tx>
      <c:layout/>
      <c:overlay val="0"/>
    </c:title>
    <c:autoTitleDeleted val="0"/>
    <c:plotArea>
      <c:layout>
        <c:manualLayout>
          <c:xMode val="edge"/>
          <c:yMode val="edge"/>
          <c:x val="0.143931318929961"/>
          <c:y val="0.228593128623964"/>
          <c:w val="0.66226101047713892"/>
          <c:h val="0.63769092139618599"/>
        </c:manualLayout>
      </c:layout>
      <c:scatterChart>
        <c:scatterStyle val="lineMarker"/>
        <c:varyColors val="1"/>
        <c:ser>
          <c:idx val="0"/>
          <c:order val="0"/>
          <c:spPr>
            <a:ln w="47625">
              <a:noFill/>
            </a:ln>
          </c:spPr>
          <c:marker>
            <c:symbol val="x"/>
            <c:size val="7"/>
          </c:marker>
          <c:xVal>
            <c:numRef>
              <c:f>'Solar Graphs'!$B$5:$B$64</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'Solar Graphs'!$C$5:$C$64</c:f>
              <c:numCache>
                <c:formatCode>0%</c:formatCode>
                <c:ptCount val="60"/>
                <c:pt idx="0">
                  <c:v>0</c:v>
                </c:pt>
                <c:pt idx="1">
                  <c:v>8.4400292154629105E-4</c:v>
                </c:pt>
                <c:pt idx="2">
                  <c:v>1.6893152910090849E-3</c:v>
                </c:pt>
                <c:pt idx="3">
                  <c:v>2.5359394450655401E-3</c:v>
                </c:pt>
                <c:pt idx="4">
                  <c:v>3.3838777203928144E-3</c:v>
                </c:pt>
                <c:pt idx="5">
                  <c:v>4.2331323887603682E-3</c:v>
                </c:pt>
                <c:pt idx="6">
                  <c:v>5.0837057590277747E-3</c:v>
                </c:pt>
                <c:pt idx="7">
                  <c:v>5.9356001539633977E-3</c:v>
                </c:pt>
                <c:pt idx="8">
                  <c:v>6.7888178592454933E-3</c:v>
                </c:pt>
                <c:pt idx="9">
                  <c:v>7.6433611809518737E-3</c:v>
                </c:pt>
                <c:pt idx="10">
                  <c:v>8.4992324362873871E-3</c:v>
                </c:pt>
                <c:pt idx="11">
                  <c:v>9.3564339489476539E-3</c:v>
                </c:pt>
                <c:pt idx="12">
                  <c:v>1.021496804662261E-2</c:v>
                </c:pt>
                <c:pt idx="13">
                  <c:v>1.1074837059569973E-2</c:v>
                </c:pt>
                <c:pt idx="14">
                  <c:v>1.193604331975931E-2</c:v>
                </c:pt>
                <c:pt idx="15">
                  <c:v>1.2798589160337086E-2</c:v>
                </c:pt>
                <c:pt idx="16">
                  <c:v>1.3662476938189116E-2</c:v>
                </c:pt>
                <c:pt idx="17">
                  <c:v>1.4527708984074506E-2</c:v>
                </c:pt>
                <c:pt idx="18">
                  <c:v>1.5394287650495431E-2</c:v>
                </c:pt>
                <c:pt idx="19">
                  <c:v>1.6262215286789065E-2</c:v>
                </c:pt>
                <c:pt idx="20">
                  <c:v>1.7131494258426212E-2</c:v>
                </c:pt>
                <c:pt idx="21">
                  <c:v>1.8002126925642455E-2</c:v>
                </c:pt>
                <c:pt idx="22">
                  <c:v>1.887411566150872E-2</c:v>
                </c:pt>
                <c:pt idx="23">
                  <c:v>1.9747462833030291E-2</c:v>
                </c:pt>
                <c:pt idx="24">
                  <c:v>2.0622170817937803E-2</c:v>
                </c:pt>
                <c:pt idx="25">
                  <c:v>2.1498242002624679E-2</c:v>
                </c:pt>
                <c:pt idx="26">
                  <c:v>2.2313160031189605E-2</c:v>
                </c:pt>
                <c:pt idx="27">
                  <c:v>2.3073345130422473E-2</c:v>
                </c:pt>
                <c:pt idx="28">
                  <c:v>2.3784331360848194E-2</c:v>
                </c:pt>
                <c:pt idx="29">
                  <c:v>2.4450914298122649E-2</c:v>
                </c:pt>
                <c:pt idx="30">
                  <c:v>2.5077270168621012E-2</c:v>
                </c:pt>
                <c:pt idx="31">
                  <c:v>2.5667052610592656E-2</c:v>
                </c:pt>
                <c:pt idx="32">
                  <c:v>2.6223471842378811E-2</c:v>
                </c:pt>
                <c:pt idx="33">
                  <c:v>2.6749359894131193E-2</c:v>
                </c:pt>
                <c:pt idx="34">
                  <c:v>2.7247224612442139E-2</c:v>
                </c:pt>
                <c:pt idx="35">
                  <c:v>2.7719294685838995E-2</c:v>
                </c:pt>
                <c:pt idx="36">
                  <c:v>2.8167557368846911E-2</c:v>
                </c:pt>
                <c:pt idx="37">
                  <c:v>2.8593790249620735E-2</c:v>
                </c:pt>
                <c:pt idx="38">
                  <c:v>2.8999588130248902E-2</c:v>
                </c:pt>
                <c:pt idx="39">
                  <c:v>2.9386385865275564E-2</c:v>
                </c:pt>
                <c:pt idx="40">
                  <c:v>2.975547788649606E-2</c:v>
                </c:pt>
                <c:pt idx="41">
                  <c:v>3.0108034892133224E-2</c:v>
                </c:pt>
                <c:pt idx="42">
                  <c:v>3.0445118252575898E-2</c:v>
                </c:pt>
                <c:pt idx="43">
                  <c:v>3.0767692416294297E-2</c:v>
                </c:pt>
                <c:pt idx="44">
                  <c:v>3.1076635696250826E-2</c:v>
                </c:pt>
                <c:pt idx="45">
                  <c:v>3.1372749615522819E-2</c:v>
                </c:pt>
                <c:pt idx="46">
                  <c:v>3.1656767084725333E-2</c:v>
                </c:pt>
                <c:pt idx="47">
                  <c:v>3.1929359532915751E-2</c:v>
                </c:pt>
                <c:pt idx="48">
                  <c:v>3.21911431971178E-2</c:v>
                </c:pt>
                <c:pt idx="49">
                  <c:v>3.2442684633736077E-2</c:v>
                </c:pt>
                <c:pt idx="50">
                  <c:v>3.268450558920493E-2</c:v>
                </c:pt>
                <c:pt idx="51">
                  <c:v>3.2917087308639466E-2</c:v>
                </c:pt>
                <c:pt idx="52">
                  <c:v>3.3140948469060065E-2</c:v>
                </c:pt>
                <c:pt idx="53">
                  <c:v>3.3356569478418377E-2</c:v>
                </c:pt>
                <c:pt idx="54">
                  <c:v>3.3564395954603553E-2</c:v>
                </c:pt>
                <c:pt idx="55">
                  <c:v>3.376484183169786E-2</c:v>
                </c:pt>
                <c:pt idx="56">
                  <c:v>3.3958292139257974E-2</c:v>
                </c:pt>
                <c:pt idx="57">
                  <c:v>3.4145105500798981E-2</c:v>
                </c:pt>
                <c:pt idx="58">
                  <c:v>3.4325616364993795E-2</c:v>
                </c:pt>
                <c:pt idx="59">
                  <c:v>3.4500137020243273E-2</c:v>
                </c:pt>
              </c:numCache>
            </c:numRef>
          </c:yVal>
          <c:smooth val="1"/>
        </c:ser>
        <c:ser>
          <c:idx val="1"/>
          <c:order val="1"/>
          <c:spPr>
            <a:ln w="47625">
              <a:noFill/>
            </a:ln>
          </c:spPr>
          <c:marker>
            <c:symbol val="circle"/>
            <c:size val="7"/>
            <c:spPr>
              <a:solidFill>
                <a:srgbClr val="C0504D"/>
              </a:solidFill>
              <a:ln cmpd="sng">
                <a:solidFill>
                  <a:srgbClr val="C0504D"/>
                </a:solidFill>
              </a:ln>
            </c:spPr>
          </c:marker>
          <c:xVal>
            <c:numRef>
              <c:f>'Solar Graphs'!$B$5:$B$64</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'Solar Graphs'!$D$5:$D$64</c:f>
              <c:numCache>
                <c:formatCode>0%</c:formatCode>
                <c:ptCount val="60"/>
                <c:pt idx="0">
                  <c:v>0</c:v>
                </c:pt>
                <c:pt idx="1">
                  <c:v>1.6880058430925821E-3</c:v>
                </c:pt>
                <c:pt idx="2">
                  <c:v>3.3786307118335679E-3</c:v>
                </c:pt>
                <c:pt idx="3">
                  <c:v>5.0718791822157248E-3</c:v>
                </c:pt>
                <c:pt idx="4">
                  <c:v>6.7677558302318228E-3</c:v>
                </c:pt>
                <c:pt idx="5">
                  <c:v>8.4662652967823285E-3</c:v>
                </c:pt>
                <c:pt idx="6">
                  <c:v>1.0167412185677595E-2</c:v>
                </c:pt>
                <c:pt idx="7">
                  <c:v>1.1871201086819183E-2</c:v>
                </c:pt>
                <c:pt idx="8">
                  <c:v>1.3577636627198771E-2</c:v>
                </c:pt>
                <c:pt idx="9">
                  <c:v>1.5286723413408468E-2</c:v>
                </c:pt>
                <c:pt idx="10">
                  <c:v>1.6998466076317553E-2</c:v>
                </c:pt>
                <c:pt idx="11">
                  <c:v>1.8712869260956982E-2</c:v>
                </c:pt>
                <c:pt idx="12">
                  <c:v>2.0429937621072595E-2</c:v>
                </c:pt>
                <c:pt idx="13">
                  <c:v>2.2149675788195058E-2</c:v>
                </c:pt>
                <c:pt idx="14">
                  <c:v>2.3872088456934188E-2</c:v>
                </c:pt>
                <c:pt idx="15">
                  <c:v>2.5597180292245527E-2</c:v>
                </c:pt>
                <c:pt idx="16">
                  <c:v>2.73249559839694E-2</c:v>
                </c:pt>
                <c:pt idx="17">
                  <c:v>2.9055420218282575E-2</c:v>
                </c:pt>
                <c:pt idx="18">
                  <c:v>3.0788577699159526E-2</c:v>
                </c:pt>
                <c:pt idx="19">
                  <c:v>3.2524433124450698E-2</c:v>
                </c:pt>
                <c:pt idx="20">
                  <c:v>3.4262991224430717E-2</c:v>
                </c:pt>
                <c:pt idx="21">
                  <c:v>3.600425671902506E-2</c:v>
                </c:pt>
                <c:pt idx="22">
                  <c:v>3.7748234353924763E-2</c:v>
                </c:pt>
                <c:pt idx="23">
                  <c:v>3.949492886276474E-2</c:v>
                </c:pt>
                <c:pt idx="24">
                  <c:v>4.1244345000690713E-2</c:v>
                </c:pt>
                <c:pt idx="25">
                  <c:v>4.2996487540222492E-2</c:v>
                </c:pt>
                <c:pt idx="26">
                  <c:v>4.4626323769330005E-2</c:v>
                </c:pt>
                <c:pt idx="27">
                  <c:v>4.6146694127489285E-2</c:v>
                </c:pt>
                <c:pt idx="28">
                  <c:v>4.7568666723591738E-2</c:v>
                </c:pt>
                <c:pt idx="29">
                  <c:v>4.8901832737356481E-2</c:v>
                </c:pt>
                <c:pt idx="30">
                  <c:v>5.0154544608587363E-2</c:v>
                </c:pt>
                <c:pt idx="31">
                  <c:v>5.1334109602454985E-2</c:v>
                </c:pt>
                <c:pt idx="32">
                  <c:v>5.2446948181090941E-2</c:v>
                </c:pt>
                <c:pt idx="33">
                  <c:v>5.3498724381436595E-2</c:v>
                </c:pt>
                <c:pt idx="34">
                  <c:v>5.44944538982386E-2</c:v>
                </c:pt>
                <c:pt idx="35">
                  <c:v>5.5438594109940002E-2</c:v>
                </c:pt>
                <c:pt idx="36">
                  <c:v>5.6335119526829437E-2</c:v>
                </c:pt>
                <c:pt idx="37">
                  <c:v>5.7187585326324543E-2</c:v>
                </c:pt>
                <c:pt idx="38">
                  <c:v>5.7999181123582315E-2</c:v>
                </c:pt>
                <c:pt idx="39">
                  <c:v>5.8772776627837003E-2</c:v>
                </c:pt>
                <c:pt idx="40">
                  <c:v>5.9510960693312312E-2</c:v>
                </c:pt>
                <c:pt idx="41">
                  <c:v>6.0216074726524099E-2</c:v>
                </c:pt>
                <c:pt idx="42">
                  <c:v>6.0890241459269648E-2</c:v>
                </c:pt>
                <c:pt idx="43">
                  <c:v>6.1535389798027557E-2</c:v>
                </c:pt>
                <c:pt idx="44">
                  <c:v>6.2153276368758566E-2</c:v>
                </c:pt>
                <c:pt idx="45">
                  <c:v>6.2745504209183928E-2</c:v>
                </c:pt>
                <c:pt idx="46">
                  <c:v>6.33135391411042E-2</c:v>
                </c:pt>
                <c:pt idx="47">
                  <c:v>6.385872403127045E-2</c:v>
                </c:pt>
                <c:pt idx="48">
                  <c:v>6.438229135371365E-2</c:v>
                </c:pt>
                <c:pt idx="49">
                  <c:v>6.4885374221227726E-2</c:v>
                </c:pt>
                <c:pt idx="50">
                  <c:v>6.5369016119031176E-2</c:v>
                </c:pt>
                <c:pt idx="51">
                  <c:v>6.5834179537781798E-2</c:v>
                </c:pt>
                <c:pt idx="52">
                  <c:v>6.6281901831915693E-2</c:v>
                </c:pt>
                <c:pt idx="53">
                  <c:v>6.6713143824914167E-2</c:v>
                </c:pt>
                <c:pt idx="54">
                  <c:v>6.7128796752501579E-2</c:v>
                </c:pt>
                <c:pt idx="55">
                  <c:v>6.7529688482792366E-2</c:v>
                </c:pt>
                <c:pt idx="56">
                  <c:v>6.7916589081685658E-2</c:v>
                </c:pt>
                <c:pt idx="57">
                  <c:v>6.82902157891003E-2</c:v>
                </c:pt>
                <c:pt idx="58">
                  <c:v>6.8651237502353649E-2</c:v>
                </c:pt>
                <c:pt idx="59">
                  <c:v>6.9000278804711629E-2</c:v>
                </c:pt>
              </c:numCache>
            </c:numRef>
          </c:yVal>
          <c:smooth val="1"/>
        </c:ser>
        <c:ser>
          <c:idx val="2"/>
          <c:order val="2"/>
          <c:spPr>
            <a:ln w="47625">
              <a:noFill/>
            </a:ln>
          </c:spPr>
          <c:marker>
            <c:symbol val="dot"/>
            <c:size val="7"/>
            <c:spPr>
              <a:solidFill>
                <a:srgbClr val="9BBB59"/>
              </a:solidFill>
              <a:ln cmpd="sng">
                <a:solidFill>
                  <a:srgbClr val="9BBB59"/>
                </a:solidFill>
              </a:ln>
            </c:spPr>
          </c:marker>
          <c:xVal>
            <c:numRef>
              <c:f>'Solar Graphs'!$B$5:$B$64</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'Solar Graphs'!$E$5:$E$64</c:f>
              <c:numCache>
                <c:formatCode>0%</c:formatCode>
                <c:ptCount val="60"/>
                <c:pt idx="0">
                  <c:v>0</c:v>
                </c:pt>
                <c:pt idx="1">
                  <c:v>2.5320087646388731E-3</c:v>
                </c:pt>
                <c:pt idx="2">
                  <c:v>5.0679460028426526E-3</c:v>
                </c:pt>
                <c:pt idx="3">
                  <c:v>7.6078187246428125E-3</c:v>
                </c:pt>
                <c:pt idx="4">
                  <c:v>1.0151633784292352E-2</c:v>
                </c:pt>
                <c:pt idx="5">
                  <c:v>1.2699398074988889E-2</c:v>
                </c:pt>
                <c:pt idx="6">
                  <c:v>1.5251118445421903E-2</c:v>
                </c:pt>
                <c:pt idx="7">
                  <c:v>1.7806801824951875E-2</c:v>
                </c:pt>
                <c:pt idx="8">
                  <c:v>2.0366455135521256E-2</c:v>
                </c:pt>
                <c:pt idx="9">
                  <c:v>2.2930085334308112E-2</c:v>
                </c:pt>
                <c:pt idx="10">
                  <c:v>2.5497699362305726E-2</c:v>
                </c:pt>
                <c:pt idx="11">
                  <c:v>2.806930415106627E-2</c:v>
                </c:pt>
                <c:pt idx="12">
                  <c:v>3.0644906686246788E-2</c:v>
                </c:pt>
                <c:pt idx="13">
                  <c:v>3.3224513960468445E-2</c:v>
                </c:pt>
                <c:pt idx="14">
                  <c:v>3.5808132970995159E-2</c:v>
                </c:pt>
                <c:pt idx="15">
                  <c:v>3.8395770742623132E-2</c:v>
                </c:pt>
                <c:pt idx="16">
                  <c:v>4.0987434296674494E-2</c:v>
                </c:pt>
                <c:pt idx="17">
                  <c:v>4.3583130651962357E-2</c:v>
                </c:pt>
                <c:pt idx="18">
                  <c:v>4.6182866866445391E-2</c:v>
                </c:pt>
                <c:pt idx="19">
                  <c:v>4.8786650007969154E-2</c:v>
                </c:pt>
                <c:pt idx="20">
                  <c:v>5.1394487151912041E-2</c:v>
                </c:pt>
                <c:pt idx="21">
                  <c:v>5.4006385397175387E-2</c:v>
                </c:pt>
                <c:pt idx="22">
                  <c:v>5.6622351844137352E-2</c:v>
                </c:pt>
                <c:pt idx="23">
                  <c:v>5.9242393610572153E-2</c:v>
                </c:pt>
                <c:pt idx="24">
                  <c:v>6.1866517828170875E-2</c:v>
                </c:pt>
                <c:pt idx="25">
                  <c:v>6.4494731639865133E-2</c:v>
                </c:pt>
                <c:pt idx="26">
                  <c:v>6.6939485992957432E-2</c:v>
                </c:pt>
                <c:pt idx="27">
                  <c:v>6.9220041538953739E-2</c:v>
                </c:pt>
                <c:pt idx="28">
                  <c:v>7.135300043454626E-2</c:v>
                </c:pt>
                <c:pt idx="29">
                  <c:v>7.3352749437063977E-2</c:v>
                </c:pt>
                <c:pt idx="30">
                  <c:v>7.5231817214387778E-2</c:v>
                </c:pt>
                <c:pt idx="31">
                  <c:v>7.7001164695767108E-2</c:v>
                </c:pt>
                <c:pt idx="32">
                  <c:v>7.8670422548969304E-2</c:v>
                </c:pt>
                <c:pt idx="33">
                  <c:v>8.0248086841330946E-2</c:v>
                </c:pt>
                <c:pt idx="34">
                  <c:v>8.1741681103279673E-2</c:v>
                </c:pt>
                <c:pt idx="35">
                  <c:v>8.3157891402904888E-2</c:v>
                </c:pt>
                <c:pt idx="36">
                  <c:v>8.4502679516543958E-2</c:v>
                </c:pt>
                <c:pt idx="37">
                  <c:v>8.578137820983138E-2</c:v>
                </c:pt>
                <c:pt idx="38">
                  <c:v>8.6998771890082371E-2</c:v>
                </c:pt>
                <c:pt idx="39">
                  <c:v>8.8159165141346682E-2</c:v>
                </c:pt>
                <c:pt idx="40">
                  <c:v>8.926644122994222E-2</c:v>
                </c:pt>
                <c:pt idx="41">
                  <c:v>9.0324112270600443E-2</c:v>
                </c:pt>
                <c:pt idx="42">
                  <c:v>9.1335362365513803E-2</c:v>
                </c:pt>
                <c:pt idx="43">
                  <c:v>9.2303084878487859E-2</c:v>
                </c:pt>
                <c:pt idx="44">
                  <c:v>9.3229914730552227E-2</c:v>
                </c:pt>
                <c:pt idx="45">
                  <c:v>9.4118256491566549E-2</c:v>
                </c:pt>
                <c:pt idx="46">
                  <c:v>9.497030888566417E-2</c:v>
                </c:pt>
                <c:pt idx="47">
                  <c:v>9.578808621728839E-2</c:v>
                </c:pt>
                <c:pt idx="48">
                  <c:v>9.6573437197475978E-2</c:v>
                </c:pt>
                <c:pt idx="49">
                  <c:v>9.7328061495408985E-2</c:v>
                </c:pt>
                <c:pt idx="50">
                  <c:v>9.8053524350361243E-2</c:v>
                </c:pt>
                <c:pt idx="51">
                  <c:v>9.8751269482672419E-2</c:v>
                </c:pt>
                <c:pt idx="52">
                  <c:v>9.9422852938922612E-2</c:v>
                </c:pt>
                <c:pt idx="53">
                  <c:v>0.10006971594291229</c:v>
                </c:pt>
                <c:pt idx="54">
                  <c:v>0.10069319534825841</c:v>
                </c:pt>
                <c:pt idx="55">
                  <c:v>0.10129453296411522</c:v>
                </c:pt>
                <c:pt idx="56">
                  <c:v>0.10187488387874308</c:v>
                </c:pt>
                <c:pt idx="57">
                  <c:v>0.10243532395559132</c:v>
                </c:pt>
                <c:pt idx="58">
                  <c:v>0.10297685654066452</c:v>
                </c:pt>
                <c:pt idx="59">
                  <c:v>0.10350041851213362</c:v>
                </c:pt>
              </c:numCache>
            </c:numRef>
          </c:yVal>
          <c:smooth val="1"/>
        </c:ser>
        <c:ser>
          <c:idx val="3"/>
          <c:order val="3"/>
          <c:spPr>
            <a:ln w="47625">
              <a:noFill/>
            </a:ln>
          </c:spPr>
          <c:marker>
            <c:symbol val="triangle"/>
            <c:size val="7"/>
            <c:spPr>
              <a:solidFill>
                <a:srgbClr val="8064A2"/>
              </a:solidFill>
              <a:ln cmpd="sng">
                <a:solidFill>
                  <a:srgbClr val="8064A2"/>
                </a:solidFill>
              </a:ln>
            </c:spPr>
          </c:marker>
          <c:xVal>
            <c:numRef>
              <c:f>'Solar Graphs'!$B$5:$B$64</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'Solar Graphs'!$F$5:$F$64</c:f>
              <c:numCache>
                <c:formatCode>0%</c:formatCode>
                <c:ptCount val="60"/>
                <c:pt idx="0">
                  <c:v>0</c:v>
                </c:pt>
                <c:pt idx="1">
                  <c:v>3.3760116861851642E-3</c:v>
                </c:pt>
                <c:pt idx="2">
                  <c:v>6.7572614236671357E-3</c:v>
                </c:pt>
                <c:pt idx="3">
                  <c:v>1.0143758461792997E-2</c:v>
                </c:pt>
                <c:pt idx="4">
                  <c:v>1.3535511894131361E-2</c:v>
                </c:pt>
                <c:pt idx="5">
                  <c:v>1.693253091810315E-2</c:v>
                </c:pt>
                <c:pt idx="6">
                  <c:v>2.0334824760801382E-2</c:v>
                </c:pt>
                <c:pt idx="7">
                  <c:v>2.3742402611765336E-2</c:v>
                </c:pt>
                <c:pt idx="8">
                  <c:v>2.7155273730387335E-2</c:v>
                </c:pt>
                <c:pt idx="9">
                  <c:v>3.0573447333096988E-2</c:v>
                </c:pt>
                <c:pt idx="10">
                  <c:v>3.3996932683698099E-2</c:v>
                </c:pt>
                <c:pt idx="11">
                  <c:v>3.7425739073629408E-2</c:v>
                </c:pt>
                <c:pt idx="12">
                  <c:v>4.0859875811335773E-2</c:v>
                </c:pt>
                <c:pt idx="13">
                  <c:v>4.4299352188376988E-2</c:v>
                </c:pt>
                <c:pt idx="14">
                  <c:v>4.7744177562945363E-2</c:v>
                </c:pt>
                <c:pt idx="15">
                  <c:v>5.1194361266021886E-2</c:v>
                </c:pt>
                <c:pt idx="16">
                  <c:v>5.4649912678105372E-2</c:v>
                </c:pt>
                <c:pt idx="17">
                  <c:v>5.8110841172185727E-2</c:v>
                </c:pt>
                <c:pt idx="18">
                  <c:v>6.1577156156714261E-2</c:v>
                </c:pt>
                <c:pt idx="19">
                  <c:v>6.5048867047266076E-2</c:v>
                </c:pt>
                <c:pt idx="20">
                  <c:v>6.8525983283388978E-2</c:v>
                </c:pt>
                <c:pt idx="21">
                  <c:v>7.2008514323155082E-2</c:v>
                </c:pt>
                <c:pt idx="22">
                  <c:v>7.5496469639133895E-2</c:v>
                </c:pt>
                <c:pt idx="23">
                  <c:v>7.8989858715371883E-2</c:v>
                </c:pt>
                <c:pt idx="24">
                  <c:v>8.2488691060675051E-2</c:v>
                </c:pt>
                <c:pt idx="25">
                  <c:v>8.5992976203847438E-2</c:v>
                </c:pt>
                <c:pt idx="26">
                  <c:v>8.9252648735846429E-2</c:v>
                </c:pt>
                <c:pt idx="27">
                  <c:v>9.229338952067867E-2</c:v>
                </c:pt>
                <c:pt idx="28">
                  <c:v>9.5137334763243014E-2</c:v>
                </c:pt>
                <c:pt idx="29">
                  <c:v>9.7803666824793078E-2</c:v>
                </c:pt>
                <c:pt idx="30">
                  <c:v>0.10030909059908055</c:v>
                </c:pt>
                <c:pt idx="31">
                  <c:v>0.1026682206288226</c:v>
                </c:pt>
                <c:pt idx="32">
                  <c:v>0.10489389782555543</c:v>
                </c:pt>
                <c:pt idx="33">
                  <c:v>0.10699745026338645</c:v>
                </c:pt>
                <c:pt idx="34">
                  <c:v>0.10898890933200787</c:v>
                </c:pt>
                <c:pt idx="35">
                  <c:v>0.11087718978848271</c:v>
                </c:pt>
                <c:pt idx="36">
                  <c:v>0.1126702406535459</c:v>
                </c:pt>
                <c:pt idx="37">
                  <c:v>0.11437517229242251</c:v>
                </c:pt>
                <c:pt idx="38">
                  <c:v>0.11599836391479318</c:v>
                </c:pt>
                <c:pt idx="39">
                  <c:v>0.11754555495950109</c:v>
                </c:pt>
                <c:pt idx="40">
                  <c:v>0.11902192312488444</c:v>
                </c:pt>
                <c:pt idx="41">
                  <c:v>0.1204321512241011</c:v>
                </c:pt>
                <c:pt idx="42">
                  <c:v>0.12178048472991693</c:v>
                </c:pt>
                <c:pt idx="43">
                  <c:v>0.12307078145477557</c:v>
                </c:pt>
                <c:pt idx="44">
                  <c:v>0.12430655463282191</c:v>
                </c:pt>
                <c:pt idx="45">
                  <c:v>0.12549101035713256</c:v>
                </c:pt>
                <c:pt idx="46">
                  <c:v>0.12662708025429761</c:v>
                </c:pt>
                <c:pt idx="47">
                  <c:v>0.1277174500665661</c:v>
                </c:pt>
                <c:pt idx="48">
                  <c:v>0.1287645847500328</c:v>
                </c:pt>
                <c:pt idx="49">
                  <c:v>0.12977075052209811</c:v>
                </c:pt>
                <c:pt idx="50">
                  <c:v>0.1307380343609259</c:v>
                </c:pt>
                <c:pt idx="51">
                  <c:v>0.13166836123998568</c:v>
                </c:pt>
                <c:pt idx="52">
                  <c:v>0.13256380587559183</c:v>
                </c:pt>
                <c:pt idx="53">
                  <c:v>0.13342628990717384</c:v>
                </c:pt>
                <c:pt idx="54">
                  <c:v>0.13425759580627611</c:v>
                </c:pt>
                <c:pt idx="55">
                  <c:v>0.13505937931617065</c:v>
                </c:pt>
                <c:pt idx="56">
                  <c:v>0.13583318056153998</c:v>
                </c:pt>
                <c:pt idx="57">
                  <c:v>0.13658043402231118</c:v>
                </c:pt>
                <c:pt idx="58">
                  <c:v>0.13730247749980323</c:v>
                </c:pt>
                <c:pt idx="59">
                  <c:v>0.13800056016029583</c:v>
                </c:pt>
              </c:numCache>
            </c:numRef>
          </c:yVal>
          <c:smooth val="1"/>
        </c:ser>
        <c:ser>
          <c:idx val="4"/>
          <c:order val="4"/>
          <c:spPr>
            <a:ln w="47625">
              <a:noFill/>
            </a:ln>
          </c:spPr>
          <c:marker>
            <c:symbol val="diamond"/>
            <c:size val="7"/>
            <c:spPr>
              <a:solidFill>
                <a:srgbClr val="4BACC6"/>
              </a:solidFill>
              <a:ln cmpd="sng">
                <a:solidFill>
                  <a:srgbClr val="4BACC6"/>
                </a:solidFill>
              </a:ln>
            </c:spPr>
          </c:marker>
          <c:xVal>
            <c:numRef>
              <c:f>'Solar Graphs'!$B$5:$B$64</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'Solar Graphs'!$G$5:$G$64</c:f>
              <c:numCache>
                <c:formatCode>0%</c:formatCode>
                <c:ptCount val="60"/>
                <c:pt idx="0">
                  <c:v>0</c:v>
                </c:pt>
                <c:pt idx="1">
                  <c:v>4.2200146077314548E-3</c:v>
                </c:pt>
                <c:pt idx="2">
                  <c:v>8.446576844491618E-3</c:v>
                </c:pt>
                <c:pt idx="3">
                  <c:v>1.2679698101581635E-2</c:v>
                </c:pt>
                <c:pt idx="4">
                  <c:v>1.6919389926081128E-2</c:v>
                </c:pt>
                <c:pt idx="5">
                  <c:v>2.116566376121741E-2</c:v>
                </c:pt>
                <c:pt idx="6">
                  <c:v>2.5418531131816031E-2</c:v>
                </c:pt>
                <c:pt idx="7">
                  <c:v>2.9678003495940346E-2</c:v>
                </c:pt>
                <c:pt idx="8">
                  <c:v>3.3944092411797008E-2</c:v>
                </c:pt>
                <c:pt idx="9">
                  <c:v>3.8216809448719725E-2</c:v>
                </c:pt>
                <c:pt idx="10">
                  <c:v>4.249616618211146E-2</c:v>
                </c:pt>
                <c:pt idx="11">
                  <c:v>4.6782174223369485E-2</c:v>
                </c:pt>
                <c:pt idx="12">
                  <c:v>5.1074845176083954E-2</c:v>
                </c:pt>
                <c:pt idx="13">
                  <c:v>5.5374190694461395E-2</c:v>
                </c:pt>
                <c:pt idx="14">
                  <c:v>5.9680222440489449E-2</c:v>
                </c:pt>
                <c:pt idx="15">
                  <c:v>6.3992952105845685E-2</c:v>
                </c:pt>
                <c:pt idx="16">
                  <c:v>6.8312391403165265E-2</c:v>
                </c:pt>
                <c:pt idx="17">
                  <c:v>7.2638552060219394E-2</c:v>
                </c:pt>
                <c:pt idx="18">
                  <c:v>7.6971445815932168E-2</c:v>
                </c:pt>
                <c:pt idx="19">
                  <c:v>8.1311084456536897E-2</c:v>
                </c:pt>
                <c:pt idx="20">
                  <c:v>8.5657479767222017E-2</c:v>
                </c:pt>
                <c:pt idx="21">
                  <c:v>9.0010643567772622E-2</c:v>
                </c:pt>
                <c:pt idx="22">
                  <c:v>9.4370587705049566E-2</c:v>
                </c:pt>
                <c:pt idx="23">
                  <c:v>9.8737324047348599E-2</c:v>
                </c:pt>
                <c:pt idx="24">
                  <c:v>0.10311086448011345</c:v>
                </c:pt>
                <c:pt idx="25">
                  <c:v>0.10749122090263809</c:v>
                </c:pt>
                <c:pt idx="26">
                  <c:v>0.11156581156527907</c:v>
                </c:pt>
                <c:pt idx="27">
                  <c:v>0.11536673754413002</c:v>
                </c:pt>
                <c:pt idx="28">
                  <c:v>0.11892166910536896</c:v>
                </c:pt>
                <c:pt idx="29">
                  <c:v>0.12225458417357757</c:v>
                </c:pt>
                <c:pt idx="30">
                  <c:v>0.12538636388327112</c:v>
                </c:pt>
                <c:pt idx="31">
                  <c:v>0.12833527640366557</c:v>
                </c:pt>
                <c:pt idx="32">
                  <c:v>0.131117372877915</c:v>
                </c:pt>
                <c:pt idx="33">
                  <c:v>0.13374681341053879</c:v>
                </c:pt>
                <c:pt idx="34">
                  <c:v>0.1362361372269251</c:v>
                </c:pt>
                <c:pt idx="35">
                  <c:v>0.13859648777379641</c:v>
                </c:pt>
                <c:pt idx="36">
                  <c:v>0.14083780133794824</c:v>
                </c:pt>
                <c:pt idx="37">
                  <c:v>0.14296896587283306</c:v>
                </c:pt>
                <c:pt idx="38">
                  <c:v>0.14499795539028504</c:v>
                </c:pt>
                <c:pt idx="39">
                  <c:v>0.14693194419348624</c:v>
                </c:pt>
                <c:pt idx="40">
                  <c:v>0.14877740440241199</c:v>
                </c:pt>
                <c:pt idx="41">
                  <c:v>0.15054018952852477</c:v>
                </c:pt>
                <c:pt idx="42">
                  <c:v>0.15222560640599656</c:v>
                </c:pt>
                <c:pt idx="43">
                  <c:v>0.15383847731412825</c:v>
                </c:pt>
                <c:pt idx="44">
                  <c:v>0.15538319378216234</c:v>
                </c:pt>
                <c:pt idx="45">
                  <c:v>0.15686376343534003</c:v>
                </c:pt>
                <c:pt idx="46">
                  <c:v>0.15828385081089433</c:v>
                </c:pt>
                <c:pt idx="47">
                  <c:v>0.15964681308827064</c:v>
                </c:pt>
                <c:pt idx="48">
                  <c:v>0.16095573145216635</c:v>
                </c:pt>
                <c:pt idx="49">
                  <c:v>0.16221343867642776</c:v>
                </c:pt>
                <c:pt idx="50">
                  <c:v>0.16342254349332758</c:v>
                </c:pt>
                <c:pt idx="51">
                  <c:v>0.16458545210606634</c:v>
                </c:pt>
                <c:pt idx="52">
                  <c:v>0.1657047579158</c:v>
                </c:pt>
                <c:pt idx="53">
                  <c:v>0.16678286296993958</c:v>
                </c:pt>
                <c:pt idx="54">
                  <c:v>0.16782199536502718</c:v>
                </c:pt>
                <c:pt idx="55">
                  <c:v>0.16882422477110903</c:v>
                </c:pt>
                <c:pt idx="56">
                  <c:v>0.1697914763492939</c:v>
                </c:pt>
                <c:pt idx="57">
                  <c:v>0.17072554320270525</c:v>
                </c:pt>
                <c:pt idx="58">
                  <c:v>0.17162809757443706</c:v>
                </c:pt>
                <c:pt idx="59">
                  <c:v>0.17250070092571335</c:v>
                </c:pt>
              </c:numCache>
            </c:numRef>
          </c:yVal>
          <c:smooth val="1"/>
        </c:ser>
        <c:ser>
          <c:idx val="5"/>
          <c:order val="5"/>
          <c:spPr>
            <a:ln w="19050">
              <a:noFill/>
            </a:ln>
          </c:spPr>
          <c:marker>
            <c:symbol val="square"/>
            <c:size val="5"/>
          </c:marker>
          <c:xVal>
            <c:numRef>
              <c:f>'Solar Graphs'!$B$5:$B$64</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'Solar Graphs'!$H$5:$H$64</c:f>
              <c:numCache>
                <c:formatCode>0%</c:formatCode>
                <c:ptCount val="60"/>
                <c:pt idx="0">
                  <c:v>0</c:v>
                </c:pt>
                <c:pt idx="1">
                  <c:v>5.0640175292777463E-3</c:v>
                </c:pt>
                <c:pt idx="2">
                  <c:v>1.0135892135500703E-2</c:v>
                </c:pt>
                <c:pt idx="3">
                  <c:v>1.5215637644008724E-2</c:v>
                </c:pt>
                <c:pt idx="4">
                  <c:v>2.0303267802252424E-2</c:v>
                </c:pt>
                <c:pt idx="5">
                  <c:v>2.5398796409608577E-2</c:v>
                </c:pt>
                <c:pt idx="6">
                  <c:v>3.0502237224654831E-2</c:v>
                </c:pt>
                <c:pt idx="7">
                  <c:v>3.5613604088030715E-2</c:v>
                </c:pt>
                <c:pt idx="8">
                  <c:v>4.07329108335759E-2</c:v>
                </c:pt>
                <c:pt idx="9">
                  <c:v>4.586017133067475E-2</c:v>
                </c:pt>
                <c:pt idx="10">
                  <c:v>5.0995399468099639E-2</c:v>
                </c:pt>
                <c:pt idx="11">
                  <c:v>5.6138609145932633E-2</c:v>
                </c:pt>
                <c:pt idx="12">
                  <c:v>6.1289814331130357E-2</c:v>
                </c:pt>
                <c:pt idx="13">
                  <c:v>6.6449028978005129E-2</c:v>
                </c:pt>
                <c:pt idx="14">
                  <c:v>7.1616267110328896E-2</c:v>
                </c:pt>
                <c:pt idx="15">
                  <c:v>7.6791542750946379E-2</c:v>
                </c:pt>
                <c:pt idx="16">
                  <c:v>8.1974869944956355E-2</c:v>
                </c:pt>
                <c:pt idx="17">
                  <c:v>8.7166262753529969E-2</c:v>
                </c:pt>
                <c:pt idx="18">
                  <c:v>9.2365735290675544E-2</c:v>
                </c:pt>
                <c:pt idx="19">
                  <c:v>9.7573301690556932E-2</c:v>
                </c:pt>
                <c:pt idx="20">
                  <c:v>0.10278897610269459</c:v>
                </c:pt>
                <c:pt idx="21">
                  <c:v>0.10801277270617753</c:v>
                </c:pt>
                <c:pt idx="22">
                  <c:v>0.11324470572016787</c:v>
                </c:pt>
                <c:pt idx="23">
                  <c:v>0.11848478937932529</c:v>
                </c:pt>
                <c:pt idx="24">
                  <c:v>0.12373303794628536</c:v>
                </c:pt>
                <c:pt idx="25">
                  <c:v>0.12898946570627962</c:v>
                </c:pt>
                <c:pt idx="26">
                  <c:v>0.13387897455337497</c:v>
                </c:pt>
                <c:pt idx="27">
                  <c:v>0.13844008577621325</c:v>
                </c:pt>
                <c:pt idx="28">
                  <c:v>0.14270600370264933</c:v>
                </c:pt>
                <c:pt idx="29">
                  <c:v>0.14670550184690059</c:v>
                </c:pt>
                <c:pt idx="30">
                  <c:v>0.15046363754434514</c:v>
                </c:pt>
                <c:pt idx="31">
                  <c:v>0.15400233262880575</c:v>
                </c:pt>
                <c:pt idx="32">
                  <c:v>0.15734084844953616</c:v>
                </c:pt>
                <c:pt idx="33">
                  <c:v>0.16049617713040615</c:v>
                </c:pt>
                <c:pt idx="34">
                  <c:v>0.16348336574495623</c:v>
                </c:pt>
                <c:pt idx="35">
                  <c:v>0.16631578642982303</c:v>
                </c:pt>
                <c:pt idx="36">
                  <c:v>0.16900536273808958</c:v>
                </c:pt>
                <c:pt idx="37">
                  <c:v>0.1715627602013903</c:v>
                </c:pt>
                <c:pt idx="38">
                  <c:v>0.17399754764466932</c:v>
                </c:pt>
                <c:pt idx="39">
                  <c:v>0.17631833422583612</c:v>
                </c:pt>
                <c:pt idx="40">
                  <c:v>0.17853288648732807</c:v>
                </c:pt>
                <c:pt idx="41">
                  <c:v>0.18064822864893101</c:v>
                </c:pt>
                <c:pt idx="42">
                  <c:v>0.18267072891531</c:v>
                </c:pt>
                <c:pt idx="43">
                  <c:v>0.18460617400547968</c:v>
                </c:pt>
                <c:pt idx="44">
                  <c:v>0.18645983377097569</c:v>
                </c:pt>
                <c:pt idx="45">
                  <c:v>0.18823651735170346</c:v>
                </c:pt>
                <c:pt idx="46">
                  <c:v>0.18994062219610003</c:v>
                </c:pt>
                <c:pt idx="47">
                  <c:v>0.19157617692132151</c:v>
                </c:pt>
                <c:pt idx="48">
                  <c:v>0.19314687894908808</c:v>
                </c:pt>
                <c:pt idx="49">
                  <c:v>0.19465612760964984</c:v>
                </c:pt>
                <c:pt idx="50">
                  <c:v>0.19610705337407686</c:v>
                </c:pt>
                <c:pt idx="51">
                  <c:v>0.19750254369112466</c:v>
                </c:pt>
                <c:pt idx="52">
                  <c:v>0.19884571064672413</c:v>
                </c:pt>
                <c:pt idx="53">
                  <c:v>0.20013943669620632</c:v>
                </c:pt>
                <c:pt idx="54">
                  <c:v>0.20138639554689219</c:v>
                </c:pt>
                <c:pt idx="55">
                  <c:v>0.20258907081717112</c:v>
                </c:pt>
                <c:pt idx="56">
                  <c:v>0.20374977268363895</c:v>
                </c:pt>
                <c:pt idx="57">
                  <c:v>0.20487065287326436</c:v>
                </c:pt>
                <c:pt idx="58">
                  <c:v>0.20595371808472257</c:v>
                </c:pt>
                <c:pt idx="59">
                  <c:v>0.20700084207408631</c:v>
                </c:pt>
              </c:numCache>
            </c:numRef>
          </c:yVal>
          <c:smooth val="0"/>
        </c:ser>
        <c:dLbls>
          <c:showLegendKey val="0"/>
          <c:showVal val="0"/>
          <c:showCatName val="0"/>
          <c:showSerName val="0"/>
          <c:showPercent val="0"/>
          <c:showBubbleSize val="0"/>
        </c:dLbls>
        <c:axId val="-242480880"/>
        <c:axId val="-242490128"/>
      </c:scatterChart>
      <c:valAx>
        <c:axId val="-242480880"/>
        <c:scaling>
          <c:orientation val="minMax"/>
        </c:scaling>
        <c:delete val="0"/>
        <c:axPos val="b"/>
        <c:majorGridlines>
          <c:spPr>
            <a:ln>
              <a:solidFill>
                <a:srgbClr val="FFFFFF"/>
              </a:solidFill>
            </a:ln>
          </c:spPr>
        </c:majorGridlines>
        <c:title>
          <c:tx>
            <c:rich>
              <a:bodyPr/>
              <a:lstStyle/>
              <a:p>
                <a:pPr>
                  <a:defRPr b="1" i="0"/>
                </a:pPr>
                <a:r>
                  <a:rPr lang="en-CA"/>
                  <a:t>Years</a:t>
                </a:r>
              </a:p>
            </c:rich>
          </c:tx>
          <c:layout/>
          <c:overlay val="0"/>
        </c:title>
        <c:numFmt formatCode="General" sourceLinked="1"/>
        <c:majorTickMark val="cross"/>
        <c:minorTickMark val="cross"/>
        <c:tickLblPos val="nextTo"/>
        <c:spPr>
          <a:ln w="47625">
            <a:noFill/>
          </a:ln>
        </c:spPr>
        <c:txPr>
          <a:bodyPr/>
          <a:lstStyle/>
          <a:p>
            <a:pPr>
              <a:defRPr/>
            </a:pPr>
            <a:endParaRPr lang="en-US"/>
          </a:p>
        </c:txPr>
        <c:crossAx val="-242490128"/>
        <c:crosses val="autoZero"/>
        <c:crossBetween val="midCat"/>
      </c:valAx>
      <c:valAx>
        <c:axId val="-242490128"/>
        <c:scaling>
          <c:orientation val="minMax"/>
        </c:scaling>
        <c:delete val="0"/>
        <c:axPos val="l"/>
        <c:majorGridlines>
          <c:spPr>
            <a:ln>
              <a:solidFill>
                <a:srgbClr val="B7B7B7"/>
              </a:solidFill>
            </a:ln>
          </c:spPr>
        </c:majorGridlines>
        <c:title>
          <c:tx>
            <c:rich>
              <a:bodyPr/>
              <a:lstStyle/>
              <a:p>
                <a:pPr>
                  <a:defRPr sz="1100" b="1" i="0"/>
                </a:pPr>
                <a:r>
                  <a:rPr lang="en-CA"/>
                  <a:t>CO2 saved by Solar Energy/Oil sands CO2</a:t>
                </a:r>
              </a:p>
            </c:rich>
          </c:tx>
          <c:layout/>
          <c:overlay val="0"/>
        </c:title>
        <c:numFmt formatCode="0%" sourceLinked="1"/>
        <c:majorTickMark val="cross"/>
        <c:minorTickMark val="cross"/>
        <c:tickLblPos val="nextTo"/>
        <c:spPr>
          <a:ln w="47625">
            <a:noFill/>
          </a:ln>
        </c:spPr>
        <c:txPr>
          <a:bodyPr/>
          <a:lstStyle/>
          <a:p>
            <a:pPr>
              <a:defRPr/>
            </a:pPr>
            <a:endParaRPr lang="en-US"/>
          </a:p>
        </c:txPr>
        <c:crossAx val="-242480880"/>
        <c:crosses val="autoZero"/>
        <c:crossBetween val="midCat"/>
      </c:valAx>
      <c:spPr>
        <a:solidFill>
          <a:srgbClr val="FFFFFF"/>
        </a:solidFill>
      </c:spPr>
    </c:plotArea>
    <c:legend>
      <c:legendPos val="r"/>
      <c:layout/>
      <c:overlay val="0"/>
    </c:legend>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title>
      <c:tx>
        <c:rich>
          <a:bodyPr/>
          <a:lstStyle/>
          <a:p>
            <a:pPr>
              <a:defRPr sz="1800" b="1" i="0">
                <a:solidFill>
                  <a:srgbClr val="000000"/>
                </a:solidFill>
              </a:defRPr>
            </a:pPr>
            <a:r>
              <a:rPr lang="en-CA"/>
              <a:t>Cumulative Ratio Carbon Saved vs Carbon Burned Using $0.07/kWh Reinvestment Policy</a:t>
            </a:r>
          </a:p>
        </c:rich>
      </c:tx>
      <c:layout>
        <c:manualLayout>
          <c:xMode val="edge"/>
          <c:yMode val="edge"/>
          <c:x val="0.13881752346401727"/>
          <c:y val="2.6800670016750419E-2"/>
        </c:manualLayout>
      </c:layout>
      <c:overlay val="0"/>
    </c:title>
    <c:autoTitleDeleted val="0"/>
    <c:plotArea>
      <c:layout>
        <c:manualLayout>
          <c:xMode val="edge"/>
          <c:yMode val="edge"/>
          <c:x val="0.15510417014032299"/>
          <c:y val="0.21177365986993299"/>
          <c:w val="0.63788056716326902"/>
          <c:h val="0.65347277744128096"/>
        </c:manualLayout>
      </c:layout>
      <c:scatterChart>
        <c:scatterStyle val="lineMarker"/>
        <c:varyColors val="1"/>
        <c:ser>
          <c:idx val="0"/>
          <c:order val="0"/>
          <c:spPr>
            <a:ln w="47625">
              <a:noFill/>
            </a:ln>
          </c:spPr>
          <c:marker>
            <c:symbol val="x"/>
            <c:size val="7"/>
          </c:marker>
          <c:xVal>
            <c:numRef>
              <c:f>'Solar Graphs'!$J$5:$J$64</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'Solar Graphs'!$K$5:$K$64</c:f>
              <c:numCache>
                <c:formatCode>0%</c:formatCode>
                <c:ptCount val="60"/>
                <c:pt idx="0">
                  <c:v>0</c:v>
                </c:pt>
                <c:pt idx="1">
                  <c:v>8.4400292154629105E-4</c:v>
                </c:pt>
                <c:pt idx="2">
                  <c:v>1.6898390961387656E-3</c:v>
                </c:pt>
                <c:pt idx="3">
                  <c:v>2.537513099770192E-3</c:v>
                </c:pt>
                <c:pt idx="4">
                  <c:v>3.3870294305441001E-3</c:v>
                </c:pt>
                <c:pt idx="5">
                  <c:v>4.2383925735824807E-3</c:v>
                </c:pt>
                <c:pt idx="6">
                  <c:v>5.0916070659334832E-3</c:v>
                </c:pt>
                <c:pt idx="7">
                  <c:v>5.9466774154367918E-3</c:v>
                </c:pt>
                <c:pt idx="8">
                  <c:v>6.8036081602223511E-3</c:v>
                </c:pt>
                <c:pt idx="9">
                  <c:v>7.662403853565234E-3</c:v>
                </c:pt>
                <c:pt idx="10">
                  <c:v>8.523069057001495E-3</c:v>
                </c:pt>
                <c:pt idx="11">
                  <c:v>9.3856083368860938E-3</c:v>
                </c:pt>
                <c:pt idx="12">
                  <c:v>1.0250026292496866E-2</c:v>
                </c:pt>
                <c:pt idx="13">
                  <c:v>1.1116327516458776E-2</c:v>
                </c:pt>
                <c:pt idx="14">
                  <c:v>1.198451662292461E-2</c:v>
                </c:pt>
                <c:pt idx="15">
                  <c:v>1.2854598240847542E-2</c:v>
                </c:pt>
                <c:pt idx="16">
                  <c:v>1.3726577009628068E-2</c:v>
                </c:pt>
                <c:pt idx="17">
                  <c:v>1.4600457576211985E-2</c:v>
                </c:pt>
                <c:pt idx="18">
                  <c:v>1.5476244593104774E-2</c:v>
                </c:pt>
                <c:pt idx="19">
                  <c:v>1.6353942736453991E-2</c:v>
                </c:pt>
                <c:pt idx="20">
                  <c:v>1.7233556681875151E-2</c:v>
                </c:pt>
                <c:pt idx="21">
                  <c:v>1.8115091122274735E-2</c:v>
                </c:pt>
                <c:pt idx="22">
                  <c:v>1.8998550764091297E-2</c:v>
                </c:pt>
                <c:pt idx="23">
                  <c:v>1.9883940340703201E-2</c:v>
                </c:pt>
                <c:pt idx="24">
                  <c:v>2.0771264575884959E-2</c:v>
                </c:pt>
                <c:pt idx="25">
                  <c:v>2.1660528215611534E-2</c:v>
                </c:pt>
                <c:pt idx="26">
                  <c:v>2.248921727459385E-2</c:v>
                </c:pt>
                <c:pt idx="27">
                  <c:v>2.3263642115338597E-2</c:v>
                </c:pt>
                <c:pt idx="28">
                  <c:v>2.398924149689784E-2</c:v>
                </c:pt>
                <c:pt idx="29">
                  <c:v>2.4670727868074536E-2</c:v>
                </c:pt>
                <c:pt idx="30">
                  <c:v>2.5312204514236904E-2</c:v>
                </c:pt>
                <c:pt idx="31">
                  <c:v>2.5917260702594529E-2</c:v>
                </c:pt>
                <c:pt idx="32">
                  <c:v>2.6489049587340337E-2</c:v>
                </c:pt>
                <c:pt idx="33">
                  <c:v>2.7030352332463464E-2</c:v>
                </c:pt>
                <c:pt idx="34">
                  <c:v>2.754363123095286E-2</c:v>
                </c:pt>
                <c:pt idx="35">
                  <c:v>2.8031074014072115E-2</c:v>
                </c:pt>
                <c:pt idx="36">
                  <c:v>2.8494630933244162E-2</c:v>
                </c:pt>
                <c:pt idx="37">
                  <c:v>2.8936045997150158E-2</c:v>
                </c:pt>
                <c:pt idx="38">
                  <c:v>2.9356883423092422E-2</c:v>
                </c:pt>
                <c:pt idx="39">
                  <c:v>2.9758550101180649E-2</c:v>
                </c:pt>
                <c:pt idx="40">
                  <c:v>3.014231477107621E-2</c:v>
                </c:pt>
                <c:pt idx="41">
                  <c:v>3.0509324468474115E-2</c:v>
                </c:pt>
                <c:pt idx="42">
                  <c:v>3.086061867672699E-2</c:v>
                </c:pt>
                <c:pt idx="43">
                  <c:v>3.1197141548702179E-2</c:v>
                </c:pt>
                <c:pt idx="44">
                  <c:v>3.1519752473094798E-2</c:v>
                </c:pt>
                <c:pt idx="45">
                  <c:v>3.1829235304857158E-2</c:v>
                </c:pt>
                <c:pt idx="46">
                  <c:v>3.2126306392417252E-2</c:v>
                </c:pt>
                <c:pt idx="47">
                  <c:v>3.2411621601494862E-2</c:v>
                </c:pt>
                <c:pt idx="48">
                  <c:v>3.2685782478858658E-2</c:v>
                </c:pt>
                <c:pt idx="49">
                  <c:v>3.2949341692010178E-2</c:v>
                </c:pt>
                <c:pt idx="50">
                  <c:v>3.3202807813632683E-2</c:v>
                </c:pt>
                <c:pt idx="51">
                  <c:v>3.3446649561477484E-2</c:v>
                </c:pt>
                <c:pt idx="52">
                  <c:v>3.3681403312607508E-2</c:v>
                </c:pt>
                <c:pt idx="53">
                  <c:v>3.3907565993718074E-2</c:v>
                </c:pt>
                <c:pt idx="54">
                  <c:v>3.4125598667533952E-2</c:v>
                </c:pt>
                <c:pt idx="55">
                  <c:v>3.4335929727995214E-2</c:v>
                </c:pt>
                <c:pt idx="56">
                  <c:v>3.4538957786437258E-2</c:v>
                </c:pt>
                <c:pt idx="57">
                  <c:v>3.4735054232342126E-2</c:v>
                </c:pt>
                <c:pt idx="58">
                  <c:v>3.4924565533674484E-2</c:v>
                </c:pt>
                <c:pt idx="59">
                  <c:v>3.5107815339637763E-2</c:v>
                </c:pt>
              </c:numCache>
            </c:numRef>
          </c:yVal>
          <c:smooth val="1"/>
        </c:ser>
        <c:ser>
          <c:idx val="1"/>
          <c:order val="1"/>
          <c:spPr>
            <a:ln w="47625">
              <a:noFill/>
            </a:ln>
          </c:spPr>
          <c:marker>
            <c:symbol val="circle"/>
            <c:size val="7"/>
            <c:spPr>
              <a:solidFill>
                <a:srgbClr val="C0504D"/>
              </a:solidFill>
              <a:ln cmpd="sng">
                <a:solidFill>
                  <a:srgbClr val="C0504D"/>
                </a:solidFill>
              </a:ln>
            </c:spPr>
          </c:marker>
          <c:xVal>
            <c:numRef>
              <c:f>'Solar Graphs'!$J$5:$J$64</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'Solar Graphs'!$L$5:$L$64</c:f>
              <c:numCache>
                <c:formatCode>0%</c:formatCode>
                <c:ptCount val="60"/>
                <c:pt idx="0">
                  <c:v>0</c:v>
                </c:pt>
                <c:pt idx="1">
                  <c:v>1.6880058430925821E-3</c:v>
                </c:pt>
                <c:pt idx="2">
                  <c:v>3.3796783220929293E-3</c:v>
                </c:pt>
                <c:pt idx="3">
                  <c:v>5.0750263942634811E-3</c:v>
                </c:pt>
                <c:pt idx="4">
                  <c:v>6.7740590947559165E-3</c:v>
                </c:pt>
                <c:pt idx="5">
                  <c:v>8.4767854717034564E-3</c:v>
                </c:pt>
                <c:pt idx="6">
                  <c:v>1.0183214521313159E-2</c:v>
                </c:pt>
                <c:pt idx="7">
                  <c:v>1.1893355317681325E-2</c:v>
                </c:pt>
                <c:pt idx="8">
                  <c:v>1.3607216926249889E-2</c:v>
                </c:pt>
                <c:pt idx="9">
                  <c:v>1.5324808447078234E-2</c:v>
                </c:pt>
                <c:pt idx="10">
                  <c:v>1.7046138999107972E-2</c:v>
                </c:pt>
                <c:pt idx="11">
                  <c:v>1.8771217744749217E-2</c:v>
                </c:pt>
                <c:pt idx="12">
                  <c:v>2.050005384320451E-2</c:v>
                </c:pt>
                <c:pt idx="13">
                  <c:v>2.2232656479431984E-2</c:v>
                </c:pt>
                <c:pt idx="14">
                  <c:v>2.396903488152323E-2</c:v>
                </c:pt>
                <c:pt idx="15">
                  <c:v>2.5709198307224117E-2</c:v>
                </c:pt>
                <c:pt idx="16">
                  <c:v>2.7453156012304306E-2</c:v>
                </c:pt>
                <c:pt idx="17">
                  <c:v>2.9200917294378039E-2</c:v>
                </c:pt>
                <c:pt idx="18">
                  <c:v>3.0952491481892375E-2</c:v>
                </c:pt>
                <c:pt idx="19">
                  <c:v>3.2707887906946689E-2</c:v>
                </c:pt>
                <c:pt idx="20">
                  <c:v>3.44671159415132E-2</c:v>
                </c:pt>
                <c:pt idx="21">
                  <c:v>3.6230184970672825E-2</c:v>
                </c:pt>
                <c:pt idx="22">
                  <c:v>3.7997104406697943E-2</c:v>
                </c:pt>
                <c:pt idx="23">
                  <c:v>3.9767883699614405E-2</c:v>
                </c:pt>
                <c:pt idx="24">
                  <c:v>4.1542532314073018E-2</c:v>
                </c:pt>
                <c:pt idx="25">
                  <c:v>4.332105972653702E-2</c:v>
                </c:pt>
                <c:pt idx="26">
                  <c:v>4.4978437982083785E-2</c:v>
                </c:pt>
                <c:pt idx="27">
                  <c:v>4.6527287777419317E-2</c:v>
                </c:pt>
                <c:pt idx="28">
                  <c:v>4.7978486659961572E-2</c:v>
                </c:pt>
                <c:pt idx="29">
                  <c:v>4.9341459526758689E-2</c:v>
                </c:pt>
                <c:pt idx="30">
                  <c:v>5.0624412922935749E-2</c:v>
                </c:pt>
                <c:pt idx="31">
                  <c:v>5.1834525409182743E-2</c:v>
                </c:pt>
                <c:pt idx="32">
                  <c:v>5.2978103281567823E-2</c:v>
                </c:pt>
                <c:pt idx="33">
                  <c:v>5.4060708857200671E-2</c:v>
                </c:pt>
                <c:pt idx="34">
                  <c:v>5.5087266734686828E-2</c:v>
                </c:pt>
                <c:pt idx="35">
                  <c:v>5.6062152366142121E-2</c:v>
                </c:pt>
                <c:pt idx="36">
                  <c:v>5.6989266245126624E-2</c:v>
                </c:pt>
                <c:pt idx="37">
                  <c:v>5.787209640119146E-2</c:v>
                </c:pt>
                <c:pt idx="38">
                  <c:v>5.8713771279879971E-2</c:v>
                </c:pt>
                <c:pt idx="39">
                  <c:v>5.9517104651784059E-2</c:v>
                </c:pt>
                <c:pt idx="40">
                  <c:v>6.0284634006535616E-2</c:v>
                </c:pt>
                <c:pt idx="41">
                  <c:v>6.1018653424851993E-2</c:v>
                </c:pt>
                <c:pt idx="42">
                  <c:v>6.1721241872841212E-2</c:v>
                </c:pt>
                <c:pt idx="43">
                  <c:v>6.2394287637992943E-2</c:v>
                </c:pt>
                <c:pt idx="44">
                  <c:v>6.3039509515691608E-2</c:v>
                </c:pt>
                <c:pt idx="45">
                  <c:v>6.3658475215338878E-2</c:v>
                </c:pt>
                <c:pt idx="46">
                  <c:v>6.425261742504447E-2</c:v>
                </c:pt>
                <c:pt idx="47">
                  <c:v>6.4823247876344053E-2</c:v>
                </c:pt>
                <c:pt idx="48">
                  <c:v>6.5371569670811036E-2</c:v>
                </c:pt>
                <c:pt idx="49">
                  <c:v>6.5898688135263908E-2</c:v>
                </c:pt>
                <c:pt idx="50">
                  <c:v>6.640562042279885E-2</c:v>
                </c:pt>
                <c:pt idx="51">
                  <c:v>6.6893303953585614E-2</c:v>
                </c:pt>
                <c:pt idx="52">
                  <c:v>6.7362811489618396E-2</c:v>
                </c:pt>
                <c:pt idx="53">
                  <c:v>6.7815136877149448E-2</c:v>
                </c:pt>
                <c:pt idx="54">
                  <c:v>6.8251202242089928E-2</c:v>
                </c:pt>
                <c:pt idx="55">
                  <c:v>6.86718643866574E-2</c:v>
                </c:pt>
                <c:pt idx="56">
                  <c:v>6.9077920526356792E-2</c:v>
                </c:pt>
                <c:pt idx="57">
                  <c:v>6.9470113433480501E-2</c:v>
                </c:pt>
                <c:pt idx="58">
                  <c:v>6.9849136057540853E-2</c:v>
                </c:pt>
                <c:pt idx="59">
                  <c:v>7.0215635690149866E-2</c:v>
                </c:pt>
              </c:numCache>
            </c:numRef>
          </c:yVal>
          <c:smooth val="1"/>
        </c:ser>
        <c:ser>
          <c:idx val="2"/>
          <c:order val="2"/>
          <c:spPr>
            <a:ln w="47625">
              <a:noFill/>
            </a:ln>
          </c:spPr>
          <c:marker>
            <c:symbol val="dot"/>
            <c:size val="7"/>
            <c:spPr>
              <a:solidFill>
                <a:srgbClr val="9BBB59"/>
              </a:solidFill>
              <a:ln cmpd="sng">
                <a:solidFill>
                  <a:srgbClr val="9BBB59"/>
                </a:solidFill>
              </a:ln>
            </c:spPr>
          </c:marker>
          <c:xVal>
            <c:numRef>
              <c:f>'Solar Graphs'!$J$5:$J$64</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'Solar Graphs'!$M$5:$M$64</c:f>
              <c:numCache>
                <c:formatCode>0%</c:formatCode>
                <c:ptCount val="60"/>
                <c:pt idx="0">
                  <c:v>0</c:v>
                </c:pt>
                <c:pt idx="1">
                  <c:v>2.5320087646388731E-3</c:v>
                </c:pt>
                <c:pt idx="2">
                  <c:v>5.0695175480470912E-3</c:v>
                </c:pt>
                <c:pt idx="3">
                  <c:v>7.6125397861183169E-3</c:v>
                </c:pt>
                <c:pt idx="4">
                  <c:v>1.016108899263545E-2</c:v>
                </c:pt>
                <c:pt idx="5">
                  <c:v>1.2715178629455226E-2</c:v>
                </c:pt>
                <c:pt idx="6">
                  <c:v>1.5274822254868689E-2</c:v>
                </c:pt>
                <c:pt idx="7">
                  <c:v>1.784003346332973E-2</c:v>
                </c:pt>
                <c:pt idx="8">
                  <c:v>2.0410825865364628E-2</c:v>
                </c:pt>
                <c:pt idx="9">
                  <c:v>2.2987213118480475E-2</c:v>
                </c:pt>
                <c:pt idx="10">
                  <c:v>2.5569208941214453E-2</c:v>
                </c:pt>
                <c:pt idx="11">
                  <c:v>2.8156827055250796E-2</c:v>
                </c:pt>
                <c:pt idx="12">
                  <c:v>3.0750081214167755E-2</c:v>
                </c:pt>
                <c:pt idx="13">
                  <c:v>3.3348985192046918E-2</c:v>
                </c:pt>
                <c:pt idx="14">
                  <c:v>3.5953552828564897E-2</c:v>
                </c:pt>
                <c:pt idx="15">
                  <c:v>3.8563797984154491E-2</c:v>
                </c:pt>
                <c:pt idx="16">
                  <c:v>4.1179734579717152E-2</c:v>
                </c:pt>
                <c:pt idx="17">
                  <c:v>4.380137653655429E-2</c:v>
                </c:pt>
                <c:pt idx="18">
                  <c:v>4.64287378377536E-2</c:v>
                </c:pt>
                <c:pt idx="19">
                  <c:v>4.9061832493270098E-2</c:v>
                </c:pt>
                <c:pt idx="20">
                  <c:v>5.1700674552074249E-2</c:v>
                </c:pt>
                <c:pt idx="21">
                  <c:v>5.4345278110986918E-2</c:v>
                </c:pt>
                <c:pt idx="22">
                  <c:v>5.6995657287344632E-2</c:v>
                </c:pt>
                <c:pt idx="23">
                  <c:v>5.9651826247179365E-2</c:v>
                </c:pt>
                <c:pt idx="24">
                  <c:v>6.2313799179901583E-2</c:v>
                </c:pt>
                <c:pt idx="25">
                  <c:v>6.4981590323761801E-2</c:v>
                </c:pt>
                <c:pt idx="26">
                  <c:v>6.7467657737594111E-2</c:v>
                </c:pt>
                <c:pt idx="27">
                  <c:v>6.9790932465884539E-2</c:v>
                </c:pt>
                <c:pt idx="28">
                  <c:v>7.1967730815836864E-2</c:v>
                </c:pt>
                <c:pt idx="29">
                  <c:v>7.4012190133938116E-2</c:v>
                </c:pt>
                <c:pt idx="30">
                  <c:v>7.5936620251235473E-2</c:v>
                </c:pt>
                <c:pt idx="31">
                  <c:v>7.7751788996113139E-2</c:v>
                </c:pt>
                <c:pt idx="32">
                  <c:v>7.9467155819258103E-2</c:v>
                </c:pt>
                <c:pt idx="33">
                  <c:v>8.1091064202144986E-2</c:v>
                </c:pt>
                <c:pt idx="34">
                  <c:v>8.2630901047828137E-2</c:v>
                </c:pt>
                <c:pt idx="35">
                  <c:v>8.4093229517419696E-2</c:v>
                </c:pt>
                <c:pt idx="36">
                  <c:v>8.5483900357093787E-2</c:v>
                </c:pt>
                <c:pt idx="37">
                  <c:v>8.6808145616397034E-2</c:v>
                </c:pt>
                <c:pt idx="38">
                  <c:v>8.8070657948357361E-2</c:v>
                </c:pt>
                <c:pt idx="39">
                  <c:v>8.927565802431274E-2</c:v>
                </c:pt>
                <c:pt idx="40">
                  <c:v>9.0426952073656447E-2</c:v>
                </c:pt>
                <c:pt idx="41">
                  <c:v>9.1527981212891282E-2</c:v>
                </c:pt>
                <c:pt idx="42">
                  <c:v>9.2581863900616845E-2</c:v>
                </c:pt>
                <c:pt idx="43">
                  <c:v>9.3591432567796159E-2</c:v>
                </c:pt>
                <c:pt idx="44">
                  <c:v>9.455926540725855E-2</c:v>
                </c:pt>
                <c:pt idx="45">
                  <c:v>9.5487713982880668E-2</c:v>
                </c:pt>
                <c:pt idx="46">
                  <c:v>9.6378927322477451E-2</c:v>
                </c:pt>
                <c:pt idx="47">
                  <c:v>9.7234873023421958E-2</c:v>
                </c:pt>
                <c:pt idx="48">
                  <c:v>9.8057355734164256E-2</c:v>
                </c:pt>
                <c:pt idx="49">
                  <c:v>9.8848033456912607E-2</c:v>
                </c:pt>
                <c:pt idx="50">
                  <c:v>9.9608431901807473E-2</c:v>
                </c:pt>
                <c:pt idx="51">
                  <c:v>0.10033995720731259</c:v>
                </c:pt>
                <c:pt idx="52">
                  <c:v>0.10104421851298681</c:v>
                </c:pt>
                <c:pt idx="53">
                  <c:v>0.10172270659945423</c:v>
                </c:pt>
                <c:pt idx="54">
                  <c:v>0.10237680464830734</c:v>
                </c:pt>
                <c:pt idx="55">
                  <c:v>0.10300779786307222</c:v>
                </c:pt>
                <c:pt idx="56">
                  <c:v>0.10361688207060818</c:v>
                </c:pt>
                <c:pt idx="57">
                  <c:v>0.10420517143270737</c:v>
                </c:pt>
                <c:pt idx="58">
                  <c:v>0.10477370537346396</c:v>
                </c:pt>
                <c:pt idx="59">
                  <c:v>0.10532345482039726</c:v>
                </c:pt>
              </c:numCache>
            </c:numRef>
          </c:yVal>
          <c:smooth val="1"/>
        </c:ser>
        <c:ser>
          <c:idx val="3"/>
          <c:order val="3"/>
          <c:spPr>
            <a:ln w="47625">
              <a:noFill/>
            </a:ln>
          </c:spPr>
          <c:marker>
            <c:symbol val="triangle"/>
            <c:size val="7"/>
            <c:spPr>
              <a:solidFill>
                <a:srgbClr val="8064A2"/>
              </a:solidFill>
              <a:ln cmpd="sng">
                <a:solidFill>
                  <a:srgbClr val="8064A2"/>
                </a:solidFill>
              </a:ln>
            </c:spPr>
          </c:marker>
          <c:xVal>
            <c:numRef>
              <c:f>'Solar Graphs'!$J$5:$J$64</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'Solar Graphs'!$N$5:$N$64</c:f>
              <c:numCache>
                <c:formatCode>0%</c:formatCode>
                <c:ptCount val="60"/>
                <c:pt idx="0">
                  <c:v>0</c:v>
                </c:pt>
                <c:pt idx="1">
                  <c:v>3.3760116861851642E-3</c:v>
                </c:pt>
                <c:pt idx="2">
                  <c:v>6.7593566441858585E-3</c:v>
                </c:pt>
                <c:pt idx="3">
                  <c:v>1.015005288588851E-2</c:v>
                </c:pt>
                <c:pt idx="4">
                  <c:v>1.3548118423179548E-2</c:v>
                </c:pt>
                <c:pt idx="5">
                  <c:v>1.6953571267945406E-2</c:v>
                </c:pt>
                <c:pt idx="6">
                  <c:v>2.0366429487707682E-2</c:v>
                </c:pt>
                <c:pt idx="7">
                  <c:v>2.3786711170851162E-2</c:v>
                </c:pt>
                <c:pt idx="8">
                  <c:v>2.7214434458304966E-2</c:v>
                </c:pt>
                <c:pt idx="9">
                  <c:v>3.0649617556214995E-2</c:v>
                </c:pt>
                <c:pt idx="10">
                  <c:v>3.4092278706299932E-2</c:v>
                </c:pt>
                <c:pt idx="11">
                  <c:v>3.754243623593697E-2</c:v>
                </c:pt>
                <c:pt idx="12">
                  <c:v>4.1000108465301402E-2</c:v>
                </c:pt>
                <c:pt idx="13">
                  <c:v>4.4465313793391519E-2</c:v>
                </c:pt>
                <c:pt idx="14">
                  <c:v>4.7938070671754242E-2</c:v>
                </c:pt>
                <c:pt idx="15">
                  <c:v>5.1418397588063713E-2</c:v>
                </c:pt>
                <c:pt idx="16">
                  <c:v>5.4906313078404191E-2</c:v>
                </c:pt>
                <c:pt idx="17">
                  <c:v>5.8401835735458749E-2</c:v>
                </c:pt>
                <c:pt idx="18">
                  <c:v>6.1904984193614829E-2</c:v>
                </c:pt>
                <c:pt idx="19">
                  <c:v>6.5415777138010431E-2</c:v>
                </c:pt>
                <c:pt idx="20">
                  <c:v>6.89342332924507E-2</c:v>
                </c:pt>
                <c:pt idx="21">
                  <c:v>7.2460371446024102E-2</c:v>
                </c:pt>
                <c:pt idx="22">
                  <c:v>7.5994210421977973E-2</c:v>
                </c:pt>
                <c:pt idx="23">
                  <c:v>7.9535769103055889E-2</c:v>
                </c:pt>
                <c:pt idx="24">
                  <c:v>8.3085066419598494E-2</c:v>
                </c:pt>
                <c:pt idx="25">
                  <c:v>8.6642121340390191E-2</c:v>
                </c:pt>
                <c:pt idx="26">
                  <c:v>8.9956877954670306E-2</c:v>
                </c:pt>
                <c:pt idx="27">
                  <c:v>9.3054577655066306E-2</c:v>
                </c:pt>
                <c:pt idx="28">
                  <c:v>9.5956975522308516E-2</c:v>
                </c:pt>
                <c:pt idx="29">
                  <c:v>9.8682921351249911E-2</c:v>
                </c:pt>
                <c:pt idx="30">
                  <c:v>0.10124882823279978</c:v>
                </c:pt>
                <c:pt idx="31">
                  <c:v>0.10366905327674457</c:v>
                </c:pt>
                <c:pt idx="32">
                  <c:v>0.10595620908863519</c:v>
                </c:pt>
                <c:pt idx="33">
                  <c:v>0.1081214203030731</c:v>
                </c:pt>
                <c:pt idx="34">
                  <c:v>0.11017453611760777</c:v>
                </c:pt>
                <c:pt idx="35">
                  <c:v>0.11212430743677169</c:v>
                </c:pt>
                <c:pt idx="36">
                  <c:v>0.11397853524795332</c:v>
                </c:pt>
                <c:pt idx="37">
                  <c:v>0.11574419562074355</c:v>
                </c:pt>
                <c:pt idx="38">
                  <c:v>0.11742754542568451</c:v>
                </c:pt>
                <c:pt idx="39">
                  <c:v>0.11903421221467841</c:v>
                </c:pt>
                <c:pt idx="40">
                  <c:v>0.12056927096716311</c:v>
                </c:pt>
                <c:pt idx="41">
                  <c:v>0.12203730984473067</c:v>
                </c:pt>
                <c:pt idx="42">
                  <c:v>0.12344248677973998</c:v>
                </c:pt>
                <c:pt idx="43">
                  <c:v>0.12478857834730019</c:v>
                </c:pt>
                <c:pt idx="44">
                  <c:v>0.12607902212964406</c:v>
                </c:pt>
                <c:pt idx="45">
                  <c:v>0.12731695355471354</c:v>
                </c:pt>
                <c:pt idx="46">
                  <c:v>0.12850523799880281</c:v>
                </c:pt>
                <c:pt idx="47">
                  <c:v>0.12964649892505187</c:v>
                </c:pt>
                <c:pt idx="48">
                  <c:v>0.13074314253667044</c:v>
                </c:pt>
                <c:pt idx="49">
                  <c:v>0.13179737949514231</c:v>
                </c:pt>
                <c:pt idx="50">
                  <c:v>0.13281124409098266</c:v>
                </c:pt>
                <c:pt idx="51">
                  <c:v>0.13378661116503843</c:v>
                </c:pt>
                <c:pt idx="52">
                  <c:v>0.13472562624176715</c:v>
                </c:pt>
                <c:pt idx="53">
                  <c:v>0.13563027702131972</c:v>
                </c:pt>
                <c:pt idx="54">
                  <c:v>0.13650240775552788</c:v>
                </c:pt>
                <c:pt idx="55">
                  <c:v>0.13734373204883549</c:v>
                </c:pt>
                <c:pt idx="56">
                  <c:v>0.13815584433226047</c:v>
                </c:pt>
                <c:pt idx="57">
                  <c:v>0.13894023015039531</c:v>
                </c:pt>
                <c:pt idx="58">
                  <c:v>0.13969827540887239</c:v>
                </c:pt>
                <c:pt idx="59">
                  <c:v>0.1404312746841016</c:v>
                </c:pt>
              </c:numCache>
            </c:numRef>
          </c:yVal>
          <c:smooth val="1"/>
        </c:ser>
        <c:ser>
          <c:idx val="4"/>
          <c:order val="4"/>
          <c:spPr>
            <a:ln w="47625">
              <a:noFill/>
            </a:ln>
          </c:spPr>
          <c:marker>
            <c:symbol val="diamond"/>
            <c:size val="7"/>
            <c:spPr>
              <a:solidFill>
                <a:srgbClr val="4BACC6"/>
              </a:solidFill>
              <a:ln cmpd="sng">
                <a:solidFill>
                  <a:srgbClr val="4BACC6"/>
                </a:solidFill>
              </a:ln>
            </c:spPr>
          </c:marker>
          <c:xVal>
            <c:numRef>
              <c:f>'Solar Graphs'!$J$5:$J$64</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'Solar Graphs'!$O$5:$O$64</c:f>
              <c:numCache>
                <c:formatCode>0%</c:formatCode>
                <c:ptCount val="60"/>
                <c:pt idx="0">
                  <c:v>0</c:v>
                </c:pt>
                <c:pt idx="1">
                  <c:v>4.2200146077314548E-3</c:v>
                </c:pt>
                <c:pt idx="2">
                  <c:v>8.4491958701400222E-3</c:v>
                </c:pt>
                <c:pt idx="3">
                  <c:v>1.2687566277743345E-2</c:v>
                </c:pt>
                <c:pt idx="4">
                  <c:v>1.6935148243169842E-2</c:v>
                </c:pt>
                <c:pt idx="5">
                  <c:v>2.1191964295881782E-2</c:v>
                </c:pt>
                <c:pt idx="6">
                  <c:v>2.5458037054357698E-2</c:v>
                </c:pt>
                <c:pt idx="7">
                  <c:v>2.973338912177647E-2</c:v>
                </c:pt>
                <c:pt idx="8">
                  <c:v>3.4018043224332509E-2</c:v>
                </c:pt>
                <c:pt idx="9">
                  <c:v>3.8312022110783377E-2</c:v>
                </c:pt>
                <c:pt idx="10">
                  <c:v>4.2615348577598015E-2</c:v>
                </c:pt>
                <c:pt idx="11">
                  <c:v>4.6928045513984697E-2</c:v>
                </c:pt>
                <c:pt idx="12">
                  <c:v>5.125013583626465E-2</c:v>
                </c:pt>
                <c:pt idx="13">
                  <c:v>5.5581642533824048E-2</c:v>
                </c:pt>
                <c:pt idx="14">
                  <c:v>5.9922588670722074E-2</c:v>
                </c:pt>
                <c:pt idx="15">
                  <c:v>6.427299736235563E-2</c:v>
                </c:pt>
                <c:pt idx="16">
                  <c:v>6.8632891760360026E-2</c:v>
                </c:pt>
                <c:pt idx="17">
                  <c:v>7.3002295107450405E-2</c:v>
                </c:pt>
                <c:pt idx="18">
                  <c:v>7.7381230692956229E-2</c:v>
                </c:pt>
                <c:pt idx="19">
                  <c:v>8.176972188011232E-2</c:v>
                </c:pt>
                <c:pt idx="20">
                  <c:v>8.6167792088462328E-2</c:v>
                </c:pt>
                <c:pt idx="21">
                  <c:v>9.0575464781061307E-2</c:v>
                </c:pt>
                <c:pt idx="22">
                  <c:v>9.4992763505813982E-2</c:v>
                </c:pt>
                <c:pt idx="23">
                  <c:v>9.9419711861570878E-2</c:v>
                </c:pt>
                <c:pt idx="24">
                  <c:v>0.10385633350351696</c:v>
                </c:pt>
                <c:pt idx="25">
                  <c:v>0.10830265216229548</c:v>
                </c:pt>
                <c:pt idx="26">
                  <c:v>0.11244609794096357</c:v>
                </c:pt>
                <c:pt idx="27">
                  <c:v>0.11631822257998099</c:v>
                </c:pt>
                <c:pt idx="28">
                  <c:v>0.119946219919909</c:v>
                </c:pt>
                <c:pt idx="29">
                  <c:v>0.12335365221806011</c:v>
                </c:pt>
                <c:pt idx="30">
                  <c:v>0.12656103583748066</c:v>
                </c:pt>
                <c:pt idx="31">
                  <c:v>0.12958631715575961</c:v>
                </c:pt>
                <c:pt idx="32">
                  <c:v>0.13244526193316183</c:v>
                </c:pt>
                <c:pt idx="33">
                  <c:v>0.13515177595728348</c:v>
                </c:pt>
                <c:pt idx="34">
                  <c:v>0.13771817073117898</c:v>
                </c:pt>
                <c:pt idx="35">
                  <c:v>0.14015538488013388</c:v>
                </c:pt>
                <c:pt idx="36">
                  <c:v>0.14247316964411091</c:v>
                </c:pt>
                <c:pt idx="37">
                  <c:v>0.14468024511266081</c:v>
                </c:pt>
                <c:pt idx="38">
                  <c:v>0.14678443237376423</c:v>
                </c:pt>
                <c:pt idx="39">
                  <c:v>0.14879276586955556</c:v>
                </c:pt>
                <c:pt idx="40">
                  <c:v>0.15071158931924453</c:v>
                </c:pt>
                <c:pt idx="41">
                  <c:v>0.15254663792949083</c:v>
                </c:pt>
                <c:pt idx="42">
                  <c:v>0.15430310911544981</c:v>
                </c:pt>
                <c:pt idx="43">
                  <c:v>0.15598572360459223</c:v>
                </c:pt>
                <c:pt idx="44">
                  <c:v>0.15759877836738537</c:v>
                </c:pt>
                <c:pt idx="45">
                  <c:v>0.15914619267783661</c:v>
                </c:pt>
                <c:pt idx="46">
                  <c:v>0.16063154826910983</c:v>
                </c:pt>
                <c:pt idx="47">
                  <c:v>0.16205812445346254</c:v>
                </c:pt>
                <c:pt idx="48">
                  <c:v>0.16342892898946987</c:v>
                </c:pt>
                <c:pt idx="49">
                  <c:v>0.16474672521402611</c:v>
                </c:pt>
                <c:pt idx="50">
                  <c:v>0.16601405597470989</c:v>
                </c:pt>
                <c:pt idx="51">
                  <c:v>0.16723326483067966</c:v>
                </c:pt>
                <c:pt idx="52">
                  <c:v>0.16840703368397394</c:v>
                </c:pt>
                <c:pt idx="53">
                  <c:v>0.16953784716913053</c:v>
                </c:pt>
                <c:pt idx="54">
                  <c:v>0.17062801059367652</c:v>
                </c:pt>
                <c:pt idx="55">
                  <c:v>0.17167966596337728</c:v>
                </c:pt>
                <c:pt idx="56">
                  <c:v>0.17269480632061718</c:v>
                </c:pt>
                <c:pt idx="57">
                  <c:v>0.17367528860621426</c:v>
                </c:pt>
                <c:pt idx="58">
                  <c:v>0.17462284519345109</c:v>
                </c:pt>
                <c:pt idx="59">
                  <c:v>0.17553909430115672</c:v>
                </c:pt>
              </c:numCache>
            </c:numRef>
          </c:yVal>
          <c:smooth val="1"/>
        </c:ser>
        <c:ser>
          <c:idx val="5"/>
          <c:order val="5"/>
          <c:spPr>
            <a:ln w="19050">
              <a:noFill/>
            </a:ln>
          </c:spPr>
          <c:marker>
            <c:symbol val="square"/>
            <c:size val="5"/>
          </c:marker>
          <c:xVal>
            <c:numRef>
              <c:f>'Solar Graphs'!$J$5:$J$64</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'Solar Graphs'!$P$5:$P$64</c:f>
              <c:numCache>
                <c:formatCode>0%</c:formatCode>
                <c:ptCount val="60"/>
                <c:pt idx="0">
                  <c:v>0</c:v>
                </c:pt>
                <c:pt idx="1">
                  <c:v>5.0640175292777463E-3</c:v>
                </c:pt>
                <c:pt idx="2">
                  <c:v>1.0139035096094182E-2</c:v>
                </c:pt>
                <c:pt idx="3">
                  <c:v>1.5225079572236634E-2</c:v>
                </c:pt>
                <c:pt idx="4">
                  <c:v>2.03221779852709E-2</c:v>
                </c:pt>
                <c:pt idx="5">
                  <c:v>2.5430357323818154E-2</c:v>
                </c:pt>
                <c:pt idx="6">
                  <c:v>3.0549644676642888E-2</c:v>
                </c:pt>
                <c:pt idx="7">
                  <c:v>3.5680067218744102E-2</c:v>
                </c:pt>
                <c:pt idx="8">
                  <c:v>4.0821652163447242E-2</c:v>
                </c:pt>
                <c:pt idx="9">
                  <c:v>4.5974426821130239E-2</c:v>
                </c:pt>
                <c:pt idx="10">
                  <c:v>5.1138418590512894E-2</c:v>
                </c:pt>
                <c:pt idx="11">
                  <c:v>5.6313654921847825E-2</c:v>
                </c:pt>
                <c:pt idx="12">
                  <c:v>6.1500163327057496E-2</c:v>
                </c:pt>
                <c:pt idx="13">
                  <c:v>6.6697971385526911E-2</c:v>
                </c:pt>
                <c:pt idx="14">
                  <c:v>7.1907106773542215E-2</c:v>
                </c:pt>
                <c:pt idx="15">
                  <c:v>7.7127597209668719E-2</c:v>
                </c:pt>
                <c:pt idx="16">
                  <c:v>8.2359470511041671E-2</c:v>
                </c:pt>
                <c:pt idx="17">
                  <c:v>8.7602754544349765E-2</c:v>
                </c:pt>
                <c:pt idx="18">
                  <c:v>9.2857477274286324E-2</c:v>
                </c:pt>
                <c:pt idx="19">
                  <c:v>9.8123666719575758E-2</c:v>
                </c:pt>
                <c:pt idx="20">
                  <c:v>0.10340135097719926</c:v>
                </c:pt>
                <c:pt idx="21">
                  <c:v>0.10869055822231112</c:v>
                </c:pt>
                <c:pt idx="22">
                  <c:v>0.11399131670817712</c:v>
                </c:pt>
                <c:pt idx="23">
                  <c:v>0.11930365474990128</c:v>
                </c:pt>
                <c:pt idx="24">
                  <c:v>0.12462760074321388</c:v>
                </c:pt>
                <c:pt idx="25">
                  <c:v>0.12996318314896649</c:v>
                </c:pt>
                <c:pt idx="26">
                  <c:v>0.13493531810034406</c:v>
                </c:pt>
                <c:pt idx="27">
                  <c:v>0.13958186767180125</c:v>
                </c:pt>
                <c:pt idx="28">
                  <c:v>0.14393546449208888</c:v>
                </c:pt>
                <c:pt idx="29">
                  <c:v>0.1480243832536304</c:v>
                </c:pt>
                <c:pt idx="30">
                  <c:v>0.15187324360547771</c:v>
                </c:pt>
                <c:pt idx="31">
                  <c:v>0.15550358120515737</c:v>
                </c:pt>
                <c:pt idx="32">
                  <c:v>0.15893431495470955</c:v>
                </c:pt>
                <c:pt idx="33">
                  <c:v>0.16218213180621699</c:v>
                </c:pt>
                <c:pt idx="34">
                  <c:v>0.16526180556729092</c:v>
                </c:pt>
                <c:pt idx="35">
                  <c:v>0.16818646257230896</c:v>
                </c:pt>
                <c:pt idx="36">
                  <c:v>0.17096780432445904</c:v>
                </c:pt>
                <c:pt idx="37">
                  <c:v>0.1736162949120357</c:v>
                </c:pt>
                <c:pt idx="38">
                  <c:v>0.17614131964138963</c:v>
                </c:pt>
                <c:pt idx="39">
                  <c:v>0.17855131984572586</c:v>
                </c:pt>
                <c:pt idx="40">
                  <c:v>0.18085390800378007</c:v>
                </c:pt>
                <c:pt idx="41">
                  <c:v>0.18305596634806209</c:v>
                </c:pt>
                <c:pt idx="42">
                  <c:v>0.18516373178626452</c:v>
                </c:pt>
                <c:pt idx="43">
                  <c:v>0.18718286918052213</c:v>
                </c:pt>
                <c:pt idx="44">
                  <c:v>0.18911853490802932</c:v>
                </c:pt>
                <c:pt idx="45">
                  <c:v>0.19097543209727746</c:v>
                </c:pt>
                <c:pt idx="46">
                  <c:v>0.19275785881285779</c:v>
                </c:pt>
                <c:pt idx="47">
                  <c:v>0.19446975024150398</c:v>
                </c:pt>
                <c:pt idx="48">
                  <c:v>0.19611471569660147</c:v>
                </c:pt>
                <c:pt idx="49">
                  <c:v>0.19769607117436658</c:v>
                </c:pt>
                <c:pt idx="50">
                  <c:v>0.19921686810279549</c:v>
                </c:pt>
                <c:pt idx="51">
                  <c:v>0.20067991874346941</c:v>
                </c:pt>
                <c:pt idx="52">
                  <c:v>0.20208844138336216</c:v>
                </c:pt>
                <c:pt idx="53">
                  <c:v>0.20344541758378409</c:v>
                </c:pt>
                <c:pt idx="54">
                  <c:v>0.20475361370797793</c:v>
                </c:pt>
                <c:pt idx="55">
                  <c:v>0.20601560016304929</c:v>
                </c:pt>
                <c:pt idx="56">
                  <c:v>0.20723376860276665</c:v>
                </c:pt>
                <c:pt idx="57">
                  <c:v>0.20841034735076058</c:v>
                </c:pt>
                <c:pt idx="58">
                  <c:v>0.20954741526186349</c:v>
                </c:pt>
                <c:pt idx="59">
                  <c:v>0.21064691419082424</c:v>
                </c:pt>
              </c:numCache>
            </c:numRef>
          </c:yVal>
          <c:smooth val="0"/>
        </c:ser>
        <c:dLbls>
          <c:showLegendKey val="0"/>
          <c:showVal val="0"/>
          <c:showCatName val="0"/>
          <c:showSerName val="0"/>
          <c:showPercent val="0"/>
          <c:showBubbleSize val="0"/>
        </c:dLbls>
        <c:axId val="-242489584"/>
        <c:axId val="-242477072"/>
      </c:scatterChart>
      <c:valAx>
        <c:axId val="-242489584"/>
        <c:scaling>
          <c:orientation val="minMax"/>
        </c:scaling>
        <c:delete val="0"/>
        <c:axPos val="b"/>
        <c:majorGridlines>
          <c:spPr>
            <a:ln>
              <a:solidFill>
                <a:srgbClr val="FFFFFF"/>
              </a:solidFill>
            </a:ln>
          </c:spPr>
        </c:majorGridlines>
        <c:title>
          <c:tx>
            <c:rich>
              <a:bodyPr/>
              <a:lstStyle/>
              <a:p>
                <a:pPr>
                  <a:defRPr b="1" i="0"/>
                </a:pPr>
                <a:r>
                  <a:rPr lang="en-CA"/>
                  <a:t>Years</a:t>
                </a:r>
              </a:p>
            </c:rich>
          </c:tx>
          <c:layout/>
          <c:overlay val="0"/>
        </c:title>
        <c:numFmt formatCode="General" sourceLinked="1"/>
        <c:majorTickMark val="cross"/>
        <c:minorTickMark val="cross"/>
        <c:tickLblPos val="nextTo"/>
        <c:spPr>
          <a:ln w="47625">
            <a:noFill/>
          </a:ln>
        </c:spPr>
        <c:txPr>
          <a:bodyPr/>
          <a:lstStyle/>
          <a:p>
            <a:pPr>
              <a:defRPr/>
            </a:pPr>
            <a:endParaRPr lang="en-US"/>
          </a:p>
        </c:txPr>
        <c:crossAx val="-242477072"/>
        <c:crosses val="autoZero"/>
        <c:crossBetween val="midCat"/>
      </c:valAx>
      <c:valAx>
        <c:axId val="-242477072"/>
        <c:scaling>
          <c:orientation val="minMax"/>
        </c:scaling>
        <c:delete val="0"/>
        <c:axPos val="l"/>
        <c:majorGridlines>
          <c:spPr>
            <a:ln>
              <a:solidFill>
                <a:srgbClr val="B7B7B7"/>
              </a:solidFill>
            </a:ln>
          </c:spPr>
        </c:majorGridlines>
        <c:title>
          <c:tx>
            <c:rich>
              <a:bodyPr/>
              <a:lstStyle/>
              <a:p>
                <a:pPr>
                  <a:defRPr sz="1100" b="1" i="0"/>
                </a:pPr>
                <a:r>
                  <a:rPr lang="en-CA"/>
                  <a:t>CO2 saved by Solar Energy/Oil sands CO2</a:t>
                </a:r>
              </a:p>
            </c:rich>
          </c:tx>
          <c:layout/>
          <c:overlay val="0"/>
        </c:title>
        <c:numFmt formatCode="0%" sourceLinked="1"/>
        <c:majorTickMark val="cross"/>
        <c:minorTickMark val="cross"/>
        <c:tickLblPos val="nextTo"/>
        <c:spPr>
          <a:ln w="47625">
            <a:noFill/>
          </a:ln>
        </c:spPr>
        <c:txPr>
          <a:bodyPr/>
          <a:lstStyle/>
          <a:p>
            <a:pPr>
              <a:defRPr/>
            </a:pPr>
            <a:endParaRPr lang="en-US"/>
          </a:p>
        </c:txPr>
        <c:crossAx val="-242489584"/>
        <c:crosses val="autoZero"/>
        <c:crossBetween val="midCat"/>
      </c:valAx>
      <c:spPr>
        <a:solidFill>
          <a:srgbClr val="FFFFFF"/>
        </a:solidFill>
      </c:spPr>
    </c:plotArea>
    <c:legend>
      <c:legendPos val="r"/>
      <c:layout/>
      <c:overlay val="0"/>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absoluteAnchor>
    <xdr:pos x="304800" y="457200"/>
    <xdr:ext cx="2047875" cy="3048000"/>
    <xdr:pic>
      <xdr:nvPicPr>
        <xdr:cNvPr id="2" name="image03.png" descr="http://upload.wikimedia.org/wikipedia/commons/thumb/7/7a/Athabasca_Oil_Sands_map.png/220px-Athabasca_Oil_Sands_map.png"/>
        <xdr:cNvPicPr preferRelativeResize="0"/>
      </xdr:nvPicPr>
      <xdr:blipFill>
        <a:blip xmlns:r="http://schemas.openxmlformats.org/officeDocument/2006/relationships" r:embed="rId1" cstate="print"/>
        <a:stretch>
          <a:fillRect/>
        </a:stretch>
      </xdr:blipFill>
      <xdr:spPr>
        <a:xfrm>
          <a:off x="0" y="0"/>
          <a:ext cx="2047875" cy="3048000"/>
        </a:xfrm>
        <a:prstGeom prst="rect">
          <a:avLst/>
        </a:prstGeom>
        <a:noFill/>
      </xdr:spPr>
    </xdr:pic>
    <xdr:clientData fLocksWithSheet="0"/>
  </xdr:absoluteAnchor>
  <xdr:absoluteAnchor>
    <xdr:pos x="5943600" y="590550"/>
    <xdr:ext cx="4724400" cy="5715000"/>
    <xdr:pic>
      <xdr:nvPicPr>
        <xdr:cNvPr id="3" name="image02.gif" descr="File:Insolation.gif"/>
        <xdr:cNvPicPr preferRelativeResize="0"/>
      </xdr:nvPicPr>
      <xdr:blipFill>
        <a:blip xmlns:r="http://schemas.openxmlformats.org/officeDocument/2006/relationships" r:embed="rId2" cstate="print"/>
        <a:stretch>
          <a:fillRect/>
        </a:stretch>
      </xdr:blipFill>
      <xdr:spPr>
        <a:xfrm>
          <a:off x="5943600" y="590550"/>
          <a:ext cx="4724400" cy="5715000"/>
        </a:xfrm>
        <a:prstGeom prst="rect">
          <a:avLst/>
        </a:prstGeom>
        <a:noFill/>
      </xdr:spPr>
    </xdr:pic>
    <xdr:clientData fLocksWithSheet="0"/>
  </xdr:absoluteAnchor>
  <xdr:absoluteAnchor>
    <xdr:pos x="323850" y="6877050"/>
    <xdr:ext cx="7448550" cy="4533900"/>
    <xdr:pic>
      <xdr:nvPicPr>
        <xdr:cNvPr id="4" name="image04.png"/>
        <xdr:cNvPicPr preferRelativeResize="0"/>
      </xdr:nvPicPr>
      <xdr:blipFill>
        <a:blip xmlns:r="http://schemas.openxmlformats.org/officeDocument/2006/relationships" r:embed="rId3" cstate="print"/>
        <a:stretch>
          <a:fillRect/>
        </a:stretch>
      </xdr:blipFill>
      <xdr:spPr>
        <a:xfrm>
          <a:off x="0" y="0"/>
          <a:ext cx="7448550" cy="4533900"/>
        </a:xfrm>
        <a:prstGeom prst="rect">
          <a:avLst/>
        </a:prstGeom>
        <a:noFill/>
      </xdr:spPr>
    </xdr:pic>
    <xdr:clientData fLocksWithSheet="0"/>
  </xdr:absoluteAnchor>
  <xdr:absoluteAnchor>
    <xdr:pos x="76200" y="4267200"/>
    <xdr:ext cx="5705475" cy="2171700"/>
    <xdr:pic>
      <xdr:nvPicPr>
        <xdr:cNvPr id="5" name="image01.png" descr="http://fs.weatherspark.com.s3.amazonaws.com/production/reports/year/000/028/151/9154c163/daily_hours_of_daylight_and_twilight_hours_h.png"/>
        <xdr:cNvPicPr preferRelativeResize="0"/>
      </xdr:nvPicPr>
      <xdr:blipFill>
        <a:blip xmlns:r="http://schemas.openxmlformats.org/officeDocument/2006/relationships" r:embed="rId4" cstate="print"/>
        <a:stretch>
          <a:fillRect/>
        </a:stretch>
      </xdr:blipFill>
      <xdr:spPr>
        <a:xfrm>
          <a:off x="76200" y="4267200"/>
          <a:ext cx="5705475" cy="2171700"/>
        </a:xfrm>
        <a:prstGeom prst="rect">
          <a:avLst/>
        </a:prstGeom>
        <a:noFill/>
      </xdr:spPr>
    </xdr:pic>
    <xdr:clientData fLocksWithSheet="0"/>
  </xdr:absoluteAnchor>
</xdr:wsDr>
</file>

<file path=xl/drawings/drawing2.xml><?xml version="1.0" encoding="utf-8"?>
<xdr:wsDr xmlns:xdr="http://schemas.openxmlformats.org/drawingml/2006/spreadsheetDrawing" xmlns:a="http://schemas.openxmlformats.org/drawingml/2006/main">
  <xdr:absoluteAnchor>
    <xdr:pos x="6867525" y="438150"/>
    <xdr:ext cx="5600700" cy="3429000"/>
    <xdr:graphicFrame macro="">
      <xdr:nvGraphicFramePr>
        <xdr:cNvPr id="2"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absoluteAnchor>
</xdr:wsDr>
</file>

<file path=xl/drawings/drawing3.xml><?xml version="1.0" encoding="utf-8"?>
<xdr:wsDr xmlns:xdr="http://schemas.openxmlformats.org/drawingml/2006/spreadsheetDrawing" xmlns:a="http://schemas.openxmlformats.org/drawingml/2006/main">
  <xdr:absoluteAnchor>
    <xdr:pos x="3914775" y="2009774"/>
    <xdr:ext cx="9029700" cy="3495675"/>
    <xdr:graphicFrame macro="">
      <xdr:nvGraphicFramePr>
        <xdr:cNvPr id="2"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absoluteAnchor>
  <xdr:absoluteAnchor>
    <xdr:pos x="13868400" y="1990725"/>
    <xdr:ext cx="8439150" cy="3514725"/>
    <xdr:graphicFrame macro="">
      <xdr:nvGraphicFramePr>
        <xdr:cNvPr id="5"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absoluteAnchor>
</xdr:wsDr>
</file>

<file path=xl/drawings/drawing4.xml><?xml version="1.0" encoding="utf-8"?>
<xdr:wsDr xmlns:xdr="http://schemas.openxmlformats.org/drawingml/2006/spreadsheetDrawing" xmlns:a="http://schemas.openxmlformats.org/drawingml/2006/main">
  <xdr:absoluteAnchor>
    <xdr:pos x="338667" y="13008428"/>
    <xdr:ext cx="7926915" cy="3962400"/>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absoluteAnchor>
  <xdr:absoluteAnchor>
    <xdr:pos x="9144000" y="12943416"/>
    <xdr:ext cx="6823226" cy="3989917"/>
    <xdr:graphicFrame macro="">
      <xdr:nvGraphicFramePr>
        <xdr:cNvPr id="4"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absoluteAnchor>
</xdr:wsDr>
</file>

<file path=xl/drawings/drawing5.xml><?xml version="1.0" encoding="utf-8"?>
<xdr:wsDr xmlns:xdr="http://schemas.openxmlformats.org/drawingml/2006/spreadsheetDrawing" xmlns:a="http://schemas.openxmlformats.org/drawingml/2006/main">
  <xdr:absoluteAnchor>
    <xdr:pos x="4219575" y="1600200"/>
    <xdr:ext cx="6762750" cy="4114800"/>
    <xdr:graphicFrame macro="">
      <xdr:nvGraphicFramePr>
        <xdr:cNvPr id="3"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absoluteAnchor>
</xdr:wsDr>
</file>

<file path=xl/drawings/drawing6.xml><?xml version="1.0" encoding="utf-8"?>
<xdr:wsDr xmlns:xdr="http://schemas.openxmlformats.org/drawingml/2006/spreadsheetDrawing" xmlns:a="http://schemas.openxmlformats.org/drawingml/2006/main">
  <xdr:absoluteAnchor>
    <xdr:pos x="266700" y="12658725"/>
    <xdr:ext cx="7324725" cy="3829050"/>
    <xdr:graphicFrame macro="">
      <xdr:nvGraphicFramePr>
        <xdr:cNvPr id="6"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absoluteAnchor>
  <xdr:absoluteAnchor>
    <xdr:pos x="9039225" y="12649200"/>
    <xdr:ext cx="7277100" cy="3790950"/>
    <xdr:graphicFrame macro="">
      <xdr:nvGraphicFramePr>
        <xdr:cNvPr id="7"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absoluteAnchor>
</xdr:wsDr>
</file>

<file path=xl/drawings/drawing7.xml><?xml version="1.0" encoding="utf-8"?>
<xdr:wsDr xmlns:xdr="http://schemas.openxmlformats.org/drawingml/2006/spreadsheetDrawing" xmlns:a="http://schemas.openxmlformats.org/drawingml/2006/main">
  <xdr:absoluteAnchor>
    <xdr:pos x="13468350" y="1190625"/>
    <xdr:ext cx="3200400" cy="5124450"/>
    <xdr:pic>
      <xdr:nvPicPr>
        <xdr:cNvPr id="2" name="image05.png"/>
        <xdr:cNvPicPr preferRelativeResize="0"/>
      </xdr:nvPicPr>
      <xdr:blipFill>
        <a:blip xmlns:r="http://schemas.openxmlformats.org/officeDocument/2006/relationships" r:embed="rId1" cstate="print"/>
        <a:stretch>
          <a:fillRect/>
        </a:stretch>
      </xdr:blipFill>
      <xdr:spPr>
        <a:xfrm>
          <a:off x="0" y="0"/>
          <a:ext cx="3200400" cy="5124450"/>
        </a:xfrm>
        <a:prstGeom prst="rect">
          <a:avLst/>
        </a:prstGeom>
        <a:noFill/>
      </xdr:spPr>
    </xdr:pic>
    <xdr:clientData fLocksWithSheet="0"/>
  </xdr:absoluteAnchor>
  <xdr:absoluteAnchor>
    <xdr:pos x="9067800" y="1162050"/>
    <xdr:ext cx="4314825" cy="6153150"/>
    <xdr:pic>
      <xdr:nvPicPr>
        <xdr:cNvPr id="3" name="image00.png"/>
        <xdr:cNvPicPr preferRelativeResize="0"/>
      </xdr:nvPicPr>
      <xdr:blipFill>
        <a:blip xmlns:r="http://schemas.openxmlformats.org/officeDocument/2006/relationships" r:embed="rId2" cstate="print"/>
        <a:stretch>
          <a:fillRect/>
        </a:stretch>
      </xdr:blipFill>
      <xdr:spPr>
        <a:xfrm>
          <a:off x="0" y="0"/>
          <a:ext cx="4314825" cy="6153150"/>
        </a:xfrm>
        <a:prstGeom prst="rect">
          <a:avLst/>
        </a:prstGeom>
        <a:noFill/>
      </xdr:spPr>
    </xdr:pic>
    <xdr:clientData fLocksWithSheet="0"/>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eatherspark.com/averages/28151/Fort-McMurray-Alberta-Canada" TargetMode="External"/><Relationship Id="rId13" Type="http://schemas.openxmlformats.org/officeDocument/2006/relationships/hyperlink" Target="http://www.cenovus.com/operations/docs/foster-creek/phase-j/appendix-3-2C.pdf" TargetMode="External"/><Relationship Id="rId3" Type="http://schemas.openxmlformats.org/officeDocument/2006/relationships/hyperlink" Target="http://www.forestecologynetwork.org/climate_change/sequestration_facts.html" TargetMode="External"/><Relationship Id="rId7" Type="http://schemas.openxmlformats.org/officeDocument/2006/relationships/hyperlink" Target="http://www.epa.gov/cleanenergy/energy-resources/refs.html" TargetMode="External"/><Relationship Id="rId12" Type="http://schemas.openxmlformats.org/officeDocument/2006/relationships/hyperlink" Target="http://www.cenovus.com/operations/docs/foster-creek/phase-j/appendix-3-2C.pdf" TargetMode="External"/><Relationship Id="rId2" Type="http://schemas.openxmlformats.org/officeDocument/2006/relationships/hyperlink" Target="http://www.energy.alberta.ca/oilsands/791.asp" TargetMode="External"/><Relationship Id="rId1" Type="http://schemas.openxmlformats.org/officeDocument/2006/relationships/hyperlink" Target="http://www.scientificamerican.com/article.cfm?id=tar-sands-and-keystone-xl-pipeline-impact-on-global-warming" TargetMode="External"/><Relationship Id="rId6" Type="http://schemas.openxmlformats.org/officeDocument/2006/relationships/hyperlink" Target="http://www.scientificamerican.com/article.cfm?id=tar-sands-and-keystone-xl-pipeline-impact-on-global-warming" TargetMode="External"/><Relationship Id="rId11" Type="http://schemas.openxmlformats.org/officeDocument/2006/relationships/hyperlink" Target="http://www.cenovus.com/operations/docs/foster-creek/phase-j/appendix-3-2C.pdf" TargetMode="External"/><Relationship Id="rId5" Type="http://schemas.openxmlformats.org/officeDocument/2006/relationships/hyperlink" Target="http://cleantechnica.com/2012/07/27/wind-turbine-net-capacity-factor-50-the-new-normal/" TargetMode="External"/><Relationship Id="rId15" Type="http://schemas.openxmlformats.org/officeDocument/2006/relationships/hyperlink" Target="http://www.cenovus.com/operations/docs/foster-creek/phase-j/appendix-3-2C.pdf" TargetMode="External"/><Relationship Id="rId10" Type="http://schemas.openxmlformats.org/officeDocument/2006/relationships/hyperlink" Target="http://www.forbes.com/sites/peterdetwiler/2013/07/16/as-solar-panel-efficiencies-keep-improving-its-time-to-adopt-some-new-metrics/" TargetMode="External"/><Relationship Id="rId4" Type="http://schemas.openxmlformats.org/officeDocument/2006/relationships/hyperlink" Target="http://www.power-technology.com/features/featurethe-worlds-biggest-wind-turbines-4154395/" TargetMode="External"/><Relationship Id="rId9" Type="http://schemas.openxmlformats.org/officeDocument/2006/relationships/hyperlink" Target="https://weatherspark.com/averages/28151/Fort-McMurray-Alberta-Canada" TargetMode="External"/><Relationship Id="rId14" Type="http://schemas.openxmlformats.org/officeDocument/2006/relationships/hyperlink" Target="http://www.cenovus.com/operations/docs/foster-creek/phase-j/appendix-3-2C.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forestecologynetwork.org/climate_change/sequestration_fact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iti.gov.nt.ca/publications/2013/energy/2012_WIND_ENERGY_RESOURCES_V2.pd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epa.gov/cleanenergy/energy-resources/refs.html" TargetMode="External"/><Relationship Id="rId2" Type="http://schemas.openxmlformats.org/officeDocument/2006/relationships/hyperlink" Target="http://www.scientificamerican.com/article.cfm?id=tar-sands-and-keystone-xl-pipeline-impact-on-global-warming" TargetMode="External"/><Relationship Id="rId1" Type="http://schemas.openxmlformats.org/officeDocument/2006/relationships/hyperlink" Target="http://oilprice.com/Energy/Energy-General/Keystone-XLs-Miniscule-CO2-Impact-and-the-Bigger-Picture.htm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www.irena.org/DocumentDownloads/Publications/RE_Technologies_Cost_Analysis-WIND_POWER.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seia.org/policy/environment/pv-recycling"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3" Type="http://schemas.openxmlformats.org/officeDocument/2006/relationships/hyperlink" Target="http://en.wikipedia.org/wiki/Electricity_sector_in_Canada" TargetMode="External"/><Relationship Id="rId2" Type="http://schemas.openxmlformats.org/officeDocument/2006/relationships/hyperlink" Target="http://en.wikipedia.org/wiki/Electricity_sector_in_Canada" TargetMode="External"/><Relationship Id="rId1" Type="http://schemas.openxmlformats.org/officeDocument/2006/relationships/hyperlink" Target="http://www.energy.alberta.ca/Electricity/682.asp"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8"/>
  <sheetViews>
    <sheetView showGridLines="0" topLeftCell="B1" workbookViewId="0">
      <selection activeCell="B1" sqref="B1:M1"/>
    </sheetView>
  </sheetViews>
  <sheetFormatPr defaultColWidth="17.28515625" defaultRowHeight="15" customHeight="1"/>
  <cols>
    <col min="1" max="1" width="3.28515625" style="192" customWidth="1"/>
    <col min="2" max="2" width="83.42578125" customWidth="1"/>
    <col min="3" max="3" width="16.85546875" customWidth="1"/>
    <col min="4" max="4" width="5.140625" style="192" customWidth="1"/>
    <col min="5" max="5" width="8.85546875" customWidth="1"/>
    <col min="6" max="6" width="22.42578125" customWidth="1"/>
    <col min="7" max="7" width="11" customWidth="1"/>
    <col min="8" max="12" width="8.85546875" customWidth="1"/>
    <col min="13" max="13" width="9.42578125" customWidth="1"/>
  </cols>
  <sheetData>
    <row r="1" spans="1:13" ht="24.75" customHeight="1">
      <c r="A1" s="191"/>
      <c r="B1" s="219" t="s">
        <v>371</v>
      </c>
      <c r="C1" s="217"/>
      <c r="D1" s="217"/>
      <c r="E1" s="217"/>
      <c r="F1" s="217"/>
      <c r="G1" s="217"/>
      <c r="H1" s="217"/>
      <c r="I1" s="217"/>
      <c r="J1" s="217"/>
      <c r="K1" s="217"/>
      <c r="L1" s="217"/>
      <c r="M1" s="218"/>
    </row>
    <row r="2" spans="1:13">
      <c r="A2" s="191"/>
      <c r="B2" s="16"/>
      <c r="C2" s="15"/>
      <c r="D2" s="198"/>
      <c r="E2" s="15"/>
      <c r="F2" s="15"/>
      <c r="G2" s="15"/>
      <c r="H2" s="15"/>
      <c r="I2" s="15"/>
      <c r="J2" s="15"/>
      <c r="K2" s="15"/>
      <c r="L2" s="15"/>
      <c r="M2" s="15"/>
    </row>
    <row r="3" spans="1:13">
      <c r="A3" s="191"/>
      <c r="B3" s="16" t="s">
        <v>19</v>
      </c>
      <c r="C3" s="15"/>
      <c r="D3" s="198"/>
      <c r="E3" s="15"/>
      <c r="F3" s="15"/>
      <c r="G3" s="15"/>
      <c r="H3" s="15"/>
      <c r="I3" s="15"/>
      <c r="J3" s="15"/>
      <c r="K3" s="15"/>
      <c r="L3" s="15"/>
      <c r="M3" s="15"/>
    </row>
    <row r="4" spans="1:13">
      <c r="A4" s="191"/>
      <c r="B4" s="221" t="s">
        <v>20</v>
      </c>
      <c r="C4" s="15"/>
      <c r="D4" s="198"/>
      <c r="E4" s="15"/>
      <c r="F4" s="15"/>
      <c r="G4" s="15"/>
      <c r="H4" s="15"/>
      <c r="I4" s="15"/>
      <c r="J4" s="15"/>
      <c r="K4" s="15"/>
      <c r="L4" s="15"/>
      <c r="M4" s="15"/>
    </row>
    <row r="5" spans="1:13">
      <c r="A5" s="191"/>
      <c r="B5" s="220" t="s">
        <v>367</v>
      </c>
      <c r="C5" s="15"/>
      <c r="D5" s="198"/>
      <c r="E5" s="15"/>
      <c r="F5" s="15"/>
      <c r="G5" s="15"/>
      <c r="H5" s="15"/>
      <c r="I5" s="15"/>
      <c r="J5" s="15"/>
      <c r="K5" s="15"/>
      <c r="L5" s="15"/>
      <c r="M5" s="15"/>
    </row>
    <row r="6" spans="1:13">
      <c r="A6" s="191"/>
      <c r="B6" s="15" t="s">
        <v>21</v>
      </c>
      <c r="C6" s="15"/>
      <c r="D6" s="198"/>
      <c r="E6" s="15"/>
      <c r="F6" s="15"/>
      <c r="G6" s="15"/>
      <c r="H6" s="15"/>
      <c r="I6" s="15"/>
      <c r="J6" s="15"/>
      <c r="K6" s="15"/>
      <c r="L6" s="15"/>
      <c r="M6" s="15"/>
    </row>
    <row r="7" spans="1:13">
      <c r="A7" s="191"/>
      <c r="B7" s="15" t="s">
        <v>22</v>
      </c>
      <c r="C7" s="15"/>
      <c r="D7" s="198"/>
      <c r="E7" s="15"/>
      <c r="F7" s="15"/>
      <c r="G7" s="15"/>
      <c r="H7" s="15"/>
      <c r="I7" s="15"/>
      <c r="J7" s="15"/>
      <c r="K7" s="15"/>
      <c r="L7" s="15"/>
      <c r="M7" s="15"/>
    </row>
    <row r="8" spans="1:13">
      <c r="A8" s="191"/>
      <c r="B8" s="15" t="s">
        <v>23</v>
      </c>
      <c r="C8" s="15"/>
      <c r="D8" s="198"/>
      <c r="E8" s="15"/>
      <c r="F8" s="15"/>
      <c r="G8" s="15"/>
      <c r="H8" s="15"/>
      <c r="I8" s="15"/>
      <c r="J8" s="15"/>
      <c r="K8" s="15"/>
      <c r="L8" s="15"/>
      <c r="M8" s="15"/>
    </row>
    <row r="9" spans="1:13" s="192" customFormat="1" ht="15.75" customHeight="1">
      <c r="A9" s="191"/>
      <c r="B9" s="191"/>
      <c r="C9" s="191"/>
      <c r="D9" s="191"/>
      <c r="E9" s="191"/>
      <c r="F9" s="191"/>
      <c r="G9" s="191"/>
      <c r="H9" s="191"/>
      <c r="I9" s="191"/>
      <c r="J9" s="191"/>
      <c r="K9" s="191"/>
      <c r="L9" s="191"/>
      <c r="M9" s="191"/>
    </row>
    <row r="10" spans="1:13">
      <c r="A10" s="191"/>
      <c r="B10" s="18" t="s">
        <v>24</v>
      </c>
      <c r="C10" s="34"/>
      <c r="D10" s="199"/>
      <c r="E10" s="6" t="s">
        <v>14</v>
      </c>
      <c r="F10" s="2"/>
      <c r="G10" s="2"/>
      <c r="H10" s="2"/>
      <c r="I10" s="2"/>
      <c r="J10" s="2"/>
      <c r="K10" s="2"/>
      <c r="L10" s="2"/>
      <c r="M10" s="2"/>
    </row>
    <row r="11" spans="1:13">
      <c r="A11" s="191"/>
      <c r="B11" s="63" t="s">
        <v>78</v>
      </c>
      <c r="C11" s="65"/>
      <c r="D11" s="191"/>
      <c r="E11" s="2"/>
      <c r="F11" s="2"/>
      <c r="G11" s="2"/>
      <c r="H11" s="2"/>
      <c r="I11" s="2"/>
      <c r="J11" s="2"/>
      <c r="K11" s="2"/>
      <c r="L11" s="2"/>
      <c r="M11" s="2"/>
    </row>
    <row r="12" spans="1:13">
      <c r="A12" s="191"/>
      <c r="B12" s="71" t="s">
        <v>162</v>
      </c>
      <c r="C12" s="73">
        <v>140200</v>
      </c>
      <c r="D12" s="200"/>
      <c r="E12" s="6" t="s">
        <v>195</v>
      </c>
      <c r="F12" s="2"/>
      <c r="G12" s="2"/>
      <c r="H12" s="2"/>
      <c r="I12" s="2"/>
      <c r="J12" s="2"/>
      <c r="K12" s="2"/>
      <c r="L12" s="2"/>
      <c r="M12" s="2"/>
    </row>
    <row r="13" spans="1:13" ht="15.75" customHeight="1">
      <c r="A13" s="191"/>
      <c r="B13" s="74" t="s">
        <v>196</v>
      </c>
      <c r="C13" s="75">
        <f>C12*1000000*Forests!C5/1000000000</f>
        <v>3.6722828783628572</v>
      </c>
      <c r="D13" s="196"/>
      <c r="E13" s="6" t="s">
        <v>8</v>
      </c>
      <c r="F13" s="2"/>
      <c r="G13" s="2"/>
      <c r="H13" s="2"/>
      <c r="I13" s="2"/>
      <c r="J13" s="2"/>
      <c r="K13" s="2"/>
      <c r="L13" s="2"/>
      <c r="M13" s="2"/>
    </row>
    <row r="14" spans="1:13" s="192" customFormat="1">
      <c r="A14" s="191"/>
      <c r="B14" s="194"/>
      <c r="C14" s="195"/>
      <c r="D14" s="196"/>
      <c r="E14" s="197"/>
      <c r="F14" s="191"/>
      <c r="G14" s="191"/>
      <c r="H14" s="191"/>
      <c r="I14" s="191"/>
      <c r="J14" s="191"/>
      <c r="K14" s="191"/>
      <c r="L14" s="191"/>
      <c r="M14" s="191"/>
    </row>
    <row r="15" spans="1:13">
      <c r="A15" s="191"/>
      <c r="B15" s="90" t="s">
        <v>213</v>
      </c>
      <c r="C15" s="91"/>
      <c r="D15" s="201"/>
      <c r="E15" s="2"/>
      <c r="F15" s="2"/>
      <c r="G15" s="2"/>
      <c r="H15" s="2"/>
      <c r="I15" s="2"/>
      <c r="J15" s="2"/>
      <c r="K15" s="2"/>
      <c r="L15" s="2"/>
      <c r="M15" s="2"/>
    </row>
    <row r="16" spans="1:13">
      <c r="A16" s="191"/>
      <c r="B16" s="71" t="s">
        <v>214</v>
      </c>
      <c r="C16" s="73">
        <v>5</v>
      </c>
      <c r="D16" s="200"/>
      <c r="E16" s="95" t="s">
        <v>215</v>
      </c>
      <c r="F16" s="2"/>
      <c r="G16" s="2"/>
      <c r="H16" s="2"/>
      <c r="I16" s="2"/>
      <c r="J16" s="2"/>
      <c r="K16" s="2"/>
      <c r="L16" s="2"/>
      <c r="M16" s="2"/>
    </row>
    <row r="17" spans="1:13">
      <c r="A17" s="191"/>
      <c r="B17" s="71" t="s">
        <v>222</v>
      </c>
      <c r="C17" s="96">
        <v>0.4</v>
      </c>
      <c r="D17" s="202"/>
      <c r="E17" s="95" t="s">
        <v>223</v>
      </c>
      <c r="F17" s="2"/>
      <c r="G17" s="2"/>
      <c r="H17" s="2"/>
      <c r="I17" s="2"/>
      <c r="J17" s="2"/>
      <c r="K17" s="2"/>
      <c r="L17" s="2"/>
      <c r="M17" s="2"/>
    </row>
    <row r="18" spans="1:13">
      <c r="A18" s="191"/>
      <c r="B18" s="71" t="s">
        <v>225</v>
      </c>
      <c r="C18" s="73">
        <v>1</v>
      </c>
      <c r="D18" s="200"/>
      <c r="E18" s="2"/>
      <c r="F18" s="2"/>
      <c r="G18" s="2"/>
      <c r="H18" s="2"/>
      <c r="I18" s="2"/>
      <c r="J18" s="2"/>
      <c r="K18" s="2"/>
      <c r="L18" s="2"/>
      <c r="M18" s="2"/>
    </row>
    <row r="19" spans="1:13">
      <c r="A19" s="191"/>
      <c r="B19" s="71" t="s">
        <v>226</v>
      </c>
      <c r="C19" s="96">
        <v>0.5</v>
      </c>
      <c r="D19" s="202"/>
      <c r="E19" s="2"/>
      <c r="F19" s="2"/>
      <c r="G19" s="2"/>
      <c r="H19" s="2"/>
      <c r="I19" s="2"/>
      <c r="J19" s="2"/>
      <c r="K19" s="2"/>
      <c r="L19" s="2"/>
      <c r="M19" s="2"/>
    </row>
    <row r="20" spans="1:13">
      <c r="A20" s="191"/>
      <c r="B20" s="71" t="s">
        <v>227</v>
      </c>
      <c r="C20" s="98">
        <f>C19*C12</f>
        <v>70100</v>
      </c>
      <c r="D20" s="203"/>
      <c r="E20" s="2"/>
      <c r="F20" s="2"/>
      <c r="G20" s="2"/>
      <c r="H20" s="2"/>
      <c r="I20" s="2"/>
      <c r="J20" s="2"/>
      <c r="K20" s="2"/>
      <c r="L20" s="2"/>
      <c r="M20" s="2"/>
    </row>
    <row r="21" spans="1:13">
      <c r="A21" s="191"/>
      <c r="B21" s="101" t="s">
        <v>230</v>
      </c>
      <c r="C21" s="98">
        <f>C20/1.6^2</f>
        <v>27382.812499999996</v>
      </c>
      <c r="D21" s="203"/>
      <c r="E21" s="2"/>
      <c r="F21" s="2"/>
      <c r="G21" s="2"/>
      <c r="H21" s="2"/>
      <c r="I21" s="2"/>
      <c r="J21" s="2"/>
      <c r="K21" s="2"/>
      <c r="L21" s="2"/>
      <c r="M21" s="2"/>
    </row>
    <row r="22" spans="1:13">
      <c r="A22" s="191"/>
      <c r="B22" s="101" t="s">
        <v>234</v>
      </c>
      <c r="C22" s="98">
        <f>SQRT(C21)</f>
        <v>165.47752868592158</v>
      </c>
      <c r="D22" s="203"/>
      <c r="E22" s="2"/>
      <c r="F22" s="2"/>
      <c r="G22" s="2"/>
      <c r="H22" s="2"/>
      <c r="I22" s="2"/>
      <c r="J22" s="2"/>
      <c r="K22" s="2"/>
      <c r="L22" s="2"/>
      <c r="M22" s="2"/>
    </row>
    <row r="23" spans="1:13">
      <c r="A23" s="191"/>
      <c r="B23" s="71" t="s">
        <v>236</v>
      </c>
      <c r="C23" s="103">
        <f>C12/C18*C19</f>
        <v>70100</v>
      </c>
      <c r="D23" s="204"/>
      <c r="E23" s="2"/>
      <c r="F23" s="2"/>
      <c r="G23" s="2"/>
      <c r="H23" s="2"/>
      <c r="I23" s="2"/>
      <c r="J23" s="2"/>
      <c r="K23" s="2"/>
      <c r="L23" s="2"/>
      <c r="M23" s="2"/>
    </row>
    <row r="24" spans="1:13">
      <c r="A24" s="191"/>
      <c r="B24" s="71" t="s">
        <v>237</v>
      </c>
      <c r="C24" s="98">
        <f>C23*C17*C16/1000</f>
        <v>140.19999999999999</v>
      </c>
      <c r="D24" s="203"/>
      <c r="E24" s="2"/>
      <c r="F24" s="2"/>
      <c r="G24" s="2"/>
      <c r="H24" s="2"/>
      <c r="I24" s="2"/>
      <c r="J24" s="2"/>
      <c r="K24" s="2"/>
      <c r="L24" s="2"/>
      <c r="M24" s="2"/>
    </row>
    <row r="25" spans="1:13">
      <c r="A25" s="191"/>
      <c r="B25" s="71" t="s">
        <v>238</v>
      </c>
      <c r="C25" s="98">
        <f>C24*365*24/1000</f>
        <v>1228.1519999999998</v>
      </c>
      <c r="D25" s="203"/>
      <c r="E25" s="2"/>
      <c r="F25" s="2"/>
      <c r="G25" s="2"/>
      <c r="H25" s="2"/>
      <c r="I25" s="2"/>
      <c r="J25" s="2"/>
      <c r="K25" s="2"/>
      <c r="L25" s="2"/>
      <c r="M25" s="2"/>
    </row>
    <row r="26" spans="1:13">
      <c r="A26" s="191"/>
      <c r="B26" s="71" t="s">
        <v>240</v>
      </c>
      <c r="C26" s="98">
        <f>C27/C24*1000</f>
        <v>6374.9861527019293</v>
      </c>
      <c r="D26" s="203"/>
      <c r="E26" s="2"/>
      <c r="F26" s="2"/>
      <c r="G26" s="2"/>
      <c r="H26" s="2"/>
      <c r="I26" s="2"/>
      <c r="J26" s="2"/>
      <c r="K26" s="2"/>
      <c r="L26" s="2"/>
      <c r="M26" s="2"/>
    </row>
    <row r="27" spans="1:13">
      <c r="A27" s="191"/>
      <c r="B27" s="106" t="s">
        <v>242</v>
      </c>
      <c r="C27" s="108">
        <f>C25*1000000000*'CO2 Values'!C3/1000/1000000</f>
        <v>893.7730586088104</v>
      </c>
      <c r="D27" s="203"/>
      <c r="E27" s="2"/>
      <c r="F27" s="2"/>
      <c r="G27" s="2"/>
      <c r="H27" s="2"/>
      <c r="I27" s="2"/>
      <c r="J27" s="2"/>
      <c r="K27" s="2"/>
      <c r="L27" s="2"/>
      <c r="M27" s="2"/>
    </row>
    <row r="28" spans="1:13" ht="15.75" customHeight="1">
      <c r="A28" s="191"/>
      <c r="B28" s="113"/>
      <c r="C28" s="114"/>
      <c r="D28" s="203"/>
      <c r="E28" s="2"/>
      <c r="F28" s="2"/>
      <c r="G28" s="2"/>
      <c r="H28" s="2"/>
      <c r="I28" s="2"/>
      <c r="J28" s="2"/>
      <c r="K28" s="2"/>
      <c r="L28" s="2"/>
      <c r="M28" s="2"/>
    </row>
    <row r="29" spans="1:13" s="192" customFormat="1">
      <c r="A29" s="191"/>
      <c r="B29" s="194"/>
      <c r="C29" s="195">
        <f>C24/C23*1000</f>
        <v>2</v>
      </c>
      <c r="D29" s="191"/>
      <c r="E29" s="211">
        <f>C24/C23*1000</f>
        <v>2</v>
      </c>
      <c r="F29" s="191"/>
      <c r="G29" s="191"/>
      <c r="H29" s="191"/>
      <c r="I29" s="191"/>
      <c r="J29" s="191"/>
      <c r="K29" s="191"/>
      <c r="L29" s="191"/>
      <c r="M29" s="212">
        <f>C27/C23</f>
        <v>1.2749972305403857E-2</v>
      </c>
    </row>
    <row r="30" spans="1:13">
      <c r="A30" s="191"/>
      <c r="B30" s="117" t="s">
        <v>296</v>
      </c>
      <c r="C30" s="91"/>
      <c r="D30" s="201"/>
      <c r="E30" s="2"/>
      <c r="F30" s="2"/>
      <c r="G30" s="2"/>
      <c r="H30" s="2"/>
      <c r="I30" s="2"/>
      <c r="J30" s="2"/>
      <c r="K30" s="2"/>
      <c r="L30" s="2"/>
      <c r="M30" s="2"/>
    </row>
    <row r="31" spans="1:13">
      <c r="A31" s="191"/>
      <c r="B31" s="71" t="s">
        <v>316</v>
      </c>
      <c r="C31" s="121">
        <f>1.9*365</f>
        <v>693.5</v>
      </c>
      <c r="D31" s="200"/>
      <c r="E31" s="6" t="s">
        <v>322</v>
      </c>
      <c r="F31" s="2"/>
      <c r="G31" s="2"/>
      <c r="H31" s="2"/>
      <c r="I31" s="2"/>
      <c r="J31" s="2"/>
      <c r="K31" s="2"/>
      <c r="L31" s="2"/>
      <c r="M31" s="2"/>
    </row>
    <row r="32" spans="1:13">
      <c r="A32" s="191"/>
      <c r="B32" s="71" t="s">
        <v>323</v>
      </c>
      <c r="C32" s="98">
        <f>C31*'CO2 Values'!C4</f>
        <v>49.716666666666669</v>
      </c>
      <c r="D32" s="203"/>
      <c r="E32" s="6" t="s">
        <v>14</v>
      </c>
      <c r="F32" s="2"/>
      <c r="G32" s="2"/>
      <c r="H32" s="2"/>
      <c r="I32" s="2"/>
      <c r="J32" s="2"/>
      <c r="K32" s="2"/>
      <c r="L32" s="2"/>
      <c r="M32" s="2"/>
    </row>
    <row r="33" spans="1:13">
      <c r="A33" s="191"/>
      <c r="B33" s="71" t="s">
        <v>324</v>
      </c>
      <c r="C33" s="98">
        <f>C31*'CO2 Values'!C6</f>
        <v>298.20499999999998</v>
      </c>
      <c r="D33" s="205"/>
      <c r="E33" s="6" t="s">
        <v>16</v>
      </c>
      <c r="F33" s="2"/>
      <c r="G33" s="2"/>
      <c r="H33" s="2"/>
      <c r="I33" s="2"/>
      <c r="J33" s="2"/>
      <c r="K33" s="2"/>
      <c r="L33" s="2"/>
      <c r="M33" s="2"/>
    </row>
    <row r="34" spans="1:13">
      <c r="A34" s="191"/>
      <c r="B34" s="106" t="s">
        <v>325</v>
      </c>
      <c r="C34" s="108">
        <f>C33+C32</f>
        <v>347.92166666666662</v>
      </c>
      <c r="D34" s="203"/>
      <c r="E34" s="2"/>
      <c r="F34" s="2"/>
      <c r="G34" s="2"/>
      <c r="H34" s="2"/>
      <c r="I34" s="2"/>
      <c r="J34" s="2"/>
      <c r="K34" s="2"/>
      <c r="L34" s="2"/>
      <c r="M34" s="2"/>
    </row>
    <row r="35" spans="1:13" ht="15.75" customHeight="1">
      <c r="A35" s="193"/>
      <c r="B35" s="113"/>
      <c r="C35" s="114"/>
      <c r="D35" s="203"/>
      <c r="E35" s="2"/>
      <c r="F35" s="2"/>
      <c r="G35" s="2"/>
      <c r="H35" s="2"/>
      <c r="I35" s="2"/>
      <c r="J35" s="2"/>
      <c r="K35" s="2"/>
      <c r="L35" s="2"/>
      <c r="M35" s="2"/>
    </row>
    <row r="36" spans="1:13" s="192" customFormat="1">
      <c r="A36" s="191"/>
      <c r="B36" s="194"/>
      <c r="C36" s="213"/>
      <c r="D36" s="203"/>
      <c r="E36" s="191"/>
      <c r="F36" s="191"/>
      <c r="G36" s="191"/>
      <c r="H36" s="191"/>
      <c r="I36" s="191"/>
      <c r="J36" s="191"/>
      <c r="K36" s="191"/>
      <c r="L36" s="191"/>
      <c r="M36" s="191"/>
    </row>
    <row r="37" spans="1:13">
      <c r="A37" s="191"/>
      <c r="B37" s="90" t="s">
        <v>326</v>
      </c>
      <c r="C37" s="123"/>
      <c r="D37" s="206"/>
      <c r="E37" s="2"/>
      <c r="F37" s="2"/>
      <c r="G37" s="2"/>
      <c r="H37" s="2"/>
      <c r="I37" s="2"/>
      <c r="J37" s="2"/>
      <c r="K37" s="2"/>
      <c r="L37" s="2"/>
      <c r="M37" s="2"/>
    </row>
    <row r="38" spans="1:13">
      <c r="A38" s="191"/>
      <c r="B38" s="125" t="s">
        <v>327</v>
      </c>
      <c r="C38" s="126">
        <f>'PV Output'!I15</f>
        <v>134.094269765219</v>
      </c>
      <c r="D38" s="196"/>
      <c r="E38" s="2"/>
      <c r="F38" s="2"/>
      <c r="G38" s="2"/>
      <c r="H38" s="2"/>
      <c r="I38" s="2"/>
      <c r="J38" s="2"/>
      <c r="K38" s="2"/>
      <c r="L38" s="2"/>
      <c r="M38" s="2"/>
    </row>
    <row r="39" spans="1:13">
      <c r="A39" s="191"/>
      <c r="B39" s="127" t="s">
        <v>328</v>
      </c>
      <c r="C39" s="126">
        <f>'PV Output'!I9/1000000</f>
        <v>1174665.8031433185</v>
      </c>
      <c r="D39" s="196"/>
      <c r="E39" s="2"/>
      <c r="F39" s="2"/>
      <c r="G39" s="2"/>
      <c r="H39" s="2"/>
      <c r="I39" s="2"/>
      <c r="J39" s="2"/>
      <c r="K39" s="2"/>
      <c r="L39" s="2"/>
      <c r="M39" s="2"/>
    </row>
    <row r="40" spans="1:13">
      <c r="A40" s="191"/>
      <c r="B40" s="127" t="s">
        <v>329</v>
      </c>
      <c r="C40" s="126">
        <f>C39/365</f>
        <v>3218.2624743652564</v>
      </c>
      <c r="D40" s="196"/>
      <c r="E40" s="2"/>
      <c r="F40" s="2"/>
      <c r="G40" s="2"/>
      <c r="H40" s="2"/>
      <c r="I40" s="2"/>
      <c r="J40" s="2"/>
      <c r="K40" s="2"/>
      <c r="L40" s="2"/>
      <c r="M40" s="2"/>
    </row>
    <row r="41" spans="1:13">
      <c r="A41" s="191"/>
      <c r="B41" s="127" t="s">
        <v>330</v>
      </c>
      <c r="C41" s="126">
        <f>(C40/C43)</f>
        <v>357.58471937391738</v>
      </c>
      <c r="D41" s="196"/>
      <c r="E41" s="2" t="s">
        <v>331</v>
      </c>
      <c r="F41" s="2"/>
      <c r="G41" s="2"/>
      <c r="H41" s="2"/>
      <c r="I41" s="2"/>
      <c r="J41" s="2"/>
      <c r="K41" s="2"/>
      <c r="L41" s="2"/>
      <c r="M41" s="2"/>
    </row>
    <row r="42" spans="1:13">
      <c r="A42" s="191"/>
      <c r="B42" s="127" t="s">
        <v>332</v>
      </c>
      <c r="C42" s="126">
        <f>C40/24</f>
        <v>134.09426976521902</v>
      </c>
      <c r="D42" s="196"/>
      <c r="E42" s="2" t="s">
        <v>333</v>
      </c>
      <c r="F42" s="2"/>
      <c r="G42" s="2"/>
      <c r="H42" s="2"/>
      <c r="I42" s="2"/>
      <c r="J42" s="2"/>
      <c r="K42" s="2"/>
      <c r="L42" s="2"/>
      <c r="M42" s="2"/>
    </row>
    <row r="43" spans="1:13">
      <c r="A43" s="191"/>
      <c r="B43" s="127" t="s">
        <v>334</v>
      </c>
      <c r="C43" s="131">
        <f>(C44+C45)/2</f>
        <v>9</v>
      </c>
      <c r="D43" s="196"/>
      <c r="E43" s="2"/>
      <c r="F43" s="2"/>
      <c r="G43" s="2"/>
      <c r="H43" s="2"/>
      <c r="I43" s="2"/>
      <c r="J43" s="2"/>
      <c r="K43" s="2"/>
      <c r="L43" s="2"/>
      <c r="M43" s="2"/>
    </row>
    <row r="44" spans="1:13">
      <c r="A44" s="191"/>
      <c r="B44" s="133" t="s">
        <v>335</v>
      </c>
      <c r="C44" s="134">
        <v>14</v>
      </c>
      <c r="D44" s="196"/>
      <c r="E44" s="6" t="s">
        <v>336</v>
      </c>
      <c r="F44" s="2"/>
      <c r="G44" s="2"/>
      <c r="H44" s="2"/>
      <c r="I44" s="2"/>
      <c r="J44" s="2"/>
      <c r="K44" s="2"/>
      <c r="L44" s="2"/>
      <c r="M44" s="2"/>
    </row>
    <row r="45" spans="1:13">
      <c r="A45" s="191"/>
      <c r="B45" s="133" t="s">
        <v>337</v>
      </c>
      <c r="C45" s="134">
        <v>4</v>
      </c>
      <c r="D45" s="196"/>
      <c r="E45" s="6" t="s">
        <v>336</v>
      </c>
      <c r="F45" s="2"/>
      <c r="G45" s="2"/>
      <c r="H45" s="2"/>
      <c r="I45" s="2"/>
      <c r="J45" s="2"/>
      <c r="K45" s="2"/>
      <c r="L45" s="2"/>
      <c r="M45" s="2"/>
    </row>
    <row r="46" spans="1:13">
      <c r="A46" s="191"/>
      <c r="B46" s="136" t="s">
        <v>338</v>
      </c>
      <c r="C46" s="137">
        <v>1000</v>
      </c>
      <c r="D46" s="196"/>
      <c r="E46" s="6"/>
      <c r="F46" s="2"/>
      <c r="G46" s="2"/>
      <c r="H46" s="2"/>
      <c r="I46" s="2"/>
      <c r="J46" s="2"/>
      <c r="K46" s="2"/>
      <c r="L46" s="2"/>
      <c r="M46" s="2"/>
    </row>
    <row r="47" spans="1:13">
      <c r="A47" s="191"/>
      <c r="B47" s="136" t="s">
        <v>339</v>
      </c>
      <c r="C47" s="137">
        <v>200</v>
      </c>
      <c r="D47" s="196"/>
      <c r="E47" s="183"/>
      <c r="F47" s="179"/>
      <c r="G47" s="179"/>
      <c r="H47" s="179"/>
      <c r="I47" s="179"/>
      <c r="J47" s="179"/>
      <c r="K47" s="179"/>
      <c r="L47" s="179"/>
      <c r="M47" s="179"/>
    </row>
    <row r="48" spans="1:13">
      <c r="A48" s="191"/>
      <c r="B48" s="136" t="s">
        <v>340</v>
      </c>
      <c r="C48" s="126">
        <f>C63*(C47/C46)</f>
        <v>28.356481481481481</v>
      </c>
      <c r="D48" s="196"/>
      <c r="E48" s="139"/>
      <c r="F48" s="139"/>
      <c r="G48" s="139"/>
      <c r="H48" s="139"/>
      <c r="I48" s="139"/>
      <c r="J48" s="139"/>
      <c r="K48" s="139"/>
      <c r="L48" s="139"/>
      <c r="M48" s="139"/>
    </row>
    <row r="49" spans="1:13">
      <c r="A49" s="191"/>
      <c r="B49" s="133" t="s">
        <v>341</v>
      </c>
      <c r="C49" s="141">
        <f>C48/1000000</f>
        <v>2.8356481481481479E-5</v>
      </c>
      <c r="D49" s="207"/>
      <c r="E49" s="6"/>
      <c r="F49" s="2"/>
      <c r="G49" s="2"/>
      <c r="H49" s="2"/>
      <c r="I49" s="2"/>
      <c r="J49" s="2"/>
      <c r="K49" s="2"/>
      <c r="L49" s="2"/>
      <c r="M49" s="2"/>
    </row>
    <row r="50" spans="1:13">
      <c r="A50" s="191"/>
      <c r="B50" s="136" t="s">
        <v>342</v>
      </c>
      <c r="C50" s="134">
        <v>1</v>
      </c>
      <c r="D50" s="207"/>
      <c r="E50" s="6"/>
      <c r="F50" s="2"/>
      <c r="G50" s="2"/>
      <c r="H50" s="2"/>
      <c r="I50" s="2"/>
      <c r="J50" s="2"/>
      <c r="K50" s="2"/>
      <c r="L50" s="2"/>
      <c r="M50" s="2"/>
    </row>
    <row r="51" spans="1:13">
      <c r="A51" s="191"/>
      <c r="B51" s="136" t="s">
        <v>343</v>
      </c>
      <c r="C51" s="142">
        <v>0.15</v>
      </c>
      <c r="D51" s="202"/>
      <c r="E51" s="2"/>
      <c r="F51" s="2"/>
      <c r="G51" s="2"/>
      <c r="H51" s="2"/>
      <c r="I51" s="2"/>
      <c r="J51" s="2"/>
      <c r="K51" s="2"/>
      <c r="L51" s="2"/>
      <c r="M51" s="2"/>
    </row>
    <row r="52" spans="1:13">
      <c r="A52" s="191"/>
      <c r="B52" s="136" t="s">
        <v>344</v>
      </c>
      <c r="C52" s="126">
        <f>C51*C12</f>
        <v>21030</v>
      </c>
      <c r="D52" s="203"/>
      <c r="E52" s="2"/>
      <c r="F52" s="2"/>
      <c r="G52" s="2"/>
      <c r="H52" s="2"/>
      <c r="I52" s="2"/>
      <c r="J52" s="2"/>
      <c r="K52" s="2"/>
      <c r="L52" s="2"/>
      <c r="M52" s="2"/>
    </row>
    <row r="53" spans="1:13">
      <c r="A53" s="191"/>
      <c r="B53" s="133" t="s">
        <v>345</v>
      </c>
      <c r="C53" s="126">
        <f>1.6*C55</f>
        <v>145.01724035437994</v>
      </c>
      <c r="D53" s="203"/>
      <c r="E53" s="2"/>
      <c r="F53" s="2"/>
      <c r="G53" s="2"/>
      <c r="H53" s="2"/>
      <c r="I53" s="2"/>
      <c r="J53" s="2"/>
      <c r="K53" s="2"/>
      <c r="L53" s="2"/>
      <c r="M53" s="2"/>
    </row>
    <row r="54" spans="1:13">
      <c r="A54" s="191"/>
      <c r="B54" s="133" t="s">
        <v>230</v>
      </c>
      <c r="C54" s="143">
        <f>C52/1.6^2</f>
        <v>8214.8437499999982</v>
      </c>
      <c r="D54" s="204"/>
      <c r="E54" s="2"/>
      <c r="F54" s="2"/>
      <c r="G54" s="2"/>
      <c r="H54" s="2"/>
      <c r="I54" s="2"/>
      <c r="J54" s="2"/>
      <c r="K54" s="2"/>
      <c r="L54" s="2"/>
      <c r="M54" s="2"/>
    </row>
    <row r="55" spans="1:13">
      <c r="A55" s="191"/>
      <c r="B55" s="133" t="s">
        <v>234</v>
      </c>
      <c r="C55" s="143">
        <f>SQRT(C54)</f>
        <v>90.635775221487449</v>
      </c>
      <c r="D55" s="204"/>
      <c r="E55" s="2"/>
      <c r="F55" s="2"/>
      <c r="G55" s="2"/>
      <c r="H55" s="2"/>
      <c r="I55" s="2"/>
      <c r="J55" s="2"/>
      <c r="K55" s="2"/>
      <c r="L55" s="2"/>
      <c r="M55" s="2"/>
    </row>
    <row r="56" spans="1:13">
      <c r="A56" s="191"/>
      <c r="B56" s="144" t="s">
        <v>346</v>
      </c>
      <c r="C56" s="143"/>
      <c r="D56" s="204"/>
      <c r="E56" s="2"/>
      <c r="F56" s="2"/>
      <c r="G56" s="2"/>
      <c r="H56" s="2"/>
      <c r="I56" s="2"/>
      <c r="J56" s="2"/>
      <c r="K56" s="2"/>
      <c r="L56" s="2"/>
      <c r="M56" s="2"/>
    </row>
    <row r="57" spans="1:13">
      <c r="A57" s="191"/>
      <c r="B57" s="136" t="s">
        <v>347</v>
      </c>
      <c r="C57" s="143">
        <f>C59*C52*1000000</f>
        <v>6309000000</v>
      </c>
      <c r="D57" s="204"/>
      <c r="E57" s="2"/>
      <c r="F57" s="2"/>
      <c r="G57" s="2"/>
      <c r="H57" s="2"/>
      <c r="I57" s="2"/>
      <c r="J57" s="2"/>
      <c r="K57" s="2"/>
      <c r="L57" s="2"/>
      <c r="M57" s="2"/>
    </row>
    <row r="58" spans="1:13">
      <c r="A58" s="191"/>
      <c r="B58" s="136" t="s">
        <v>348</v>
      </c>
      <c r="C58" s="145">
        <f>C57/C50</f>
        <v>6309000000</v>
      </c>
      <c r="D58" s="204"/>
      <c r="E58" s="2"/>
      <c r="F58" s="2"/>
      <c r="G58" s="2"/>
      <c r="H58" s="2"/>
      <c r="I58" s="2"/>
      <c r="J58" s="2"/>
      <c r="K58" s="2"/>
      <c r="L58" s="2"/>
      <c r="M58" s="2"/>
    </row>
    <row r="59" spans="1:13">
      <c r="A59" s="191"/>
      <c r="B59" s="136" t="s">
        <v>349</v>
      </c>
      <c r="C59" s="142">
        <v>0.3</v>
      </c>
      <c r="D59" s="202"/>
      <c r="E59" s="2"/>
      <c r="F59" s="2"/>
      <c r="G59" s="2"/>
      <c r="H59" s="2"/>
      <c r="I59" s="2"/>
      <c r="J59" s="2"/>
      <c r="K59" s="2"/>
      <c r="L59" s="2"/>
      <c r="M59" s="2"/>
    </row>
    <row r="60" spans="1:13">
      <c r="A60" s="191"/>
      <c r="B60" s="146" t="s">
        <v>350</v>
      </c>
      <c r="C60" s="147">
        <v>0.2</v>
      </c>
      <c r="D60" s="204"/>
      <c r="E60" s="6" t="s">
        <v>351</v>
      </c>
      <c r="F60" s="2"/>
      <c r="G60" s="2"/>
      <c r="H60" s="148"/>
      <c r="I60" s="2"/>
      <c r="J60" s="2"/>
      <c r="K60" s="2"/>
      <c r="L60" s="2"/>
      <c r="M60" s="2"/>
    </row>
    <row r="61" spans="1:13">
      <c r="A61" s="191"/>
      <c r="B61" s="146" t="s">
        <v>352</v>
      </c>
      <c r="C61" s="147">
        <f>'PV Output'!I13</f>
        <v>0.7495443766899198</v>
      </c>
      <c r="D61" s="202"/>
      <c r="E61" s="2"/>
      <c r="F61" s="2"/>
      <c r="G61" s="2"/>
      <c r="H61" s="2"/>
      <c r="I61" s="2"/>
      <c r="J61" s="2"/>
      <c r="K61" s="2"/>
      <c r="L61" s="2"/>
      <c r="M61" s="2"/>
    </row>
    <row r="62" spans="1:13">
      <c r="A62" s="191"/>
      <c r="B62" s="136" t="s">
        <v>353</v>
      </c>
      <c r="C62" s="142">
        <f>C60*C61</f>
        <v>0.14990887533798397</v>
      </c>
      <c r="D62" s="202"/>
      <c r="E62" s="6"/>
      <c r="F62" s="2"/>
      <c r="G62" s="2"/>
      <c r="H62" s="2"/>
      <c r="I62" s="2"/>
      <c r="J62" s="2"/>
      <c r="K62" s="2"/>
      <c r="L62" s="2"/>
      <c r="M62" s="2"/>
    </row>
    <row r="63" spans="1:13">
      <c r="A63" s="191"/>
      <c r="B63" s="136" t="s">
        <v>354</v>
      </c>
      <c r="C63" s="126">
        <f>1000*C64/(365*24)</f>
        <v>141.78240740740739</v>
      </c>
      <c r="D63" s="205"/>
      <c r="E63" s="180"/>
      <c r="F63" s="179"/>
      <c r="G63" s="179"/>
      <c r="H63" s="2"/>
      <c r="I63" s="2"/>
      <c r="J63" s="2"/>
      <c r="K63" s="2"/>
      <c r="L63" s="2"/>
      <c r="M63" s="2"/>
    </row>
    <row r="64" spans="1:13">
      <c r="A64" s="191"/>
      <c r="B64" s="136" t="s">
        <v>355</v>
      </c>
      <c r="C64" s="126">
        <f>(C65+C66)/2</f>
        <v>1242.0138888888887</v>
      </c>
      <c r="D64" s="205"/>
      <c r="E64" s="179"/>
      <c r="F64" s="179"/>
      <c r="G64" s="179"/>
      <c r="H64" s="2"/>
      <c r="I64" s="2"/>
      <c r="J64" s="2"/>
      <c r="K64" s="2"/>
      <c r="L64" s="2"/>
      <c r="M64" s="2"/>
    </row>
    <row r="65" spans="1:14">
      <c r="A65" s="191"/>
      <c r="B65" s="133" t="s">
        <v>335</v>
      </c>
      <c r="C65" s="149">
        <f t="shared" ref="C65:C66" si="0">C81</f>
        <v>2230.5555555555552</v>
      </c>
      <c r="D65" s="200"/>
      <c r="E65" s="6" t="s">
        <v>356</v>
      </c>
      <c r="F65" s="2"/>
      <c r="G65" s="2"/>
      <c r="H65" s="2"/>
      <c r="I65" s="2"/>
      <c r="J65" s="2"/>
      <c r="K65" s="2"/>
      <c r="L65" s="2"/>
      <c r="M65" s="2"/>
    </row>
    <row r="66" spans="1:14">
      <c r="A66" s="191"/>
      <c r="B66" s="133" t="s">
        <v>337</v>
      </c>
      <c r="C66" s="149">
        <f t="shared" si="0"/>
        <v>253.4722222222222</v>
      </c>
      <c r="D66" s="200"/>
      <c r="E66" s="6" t="s">
        <v>356</v>
      </c>
      <c r="F66" s="2"/>
      <c r="G66" s="2"/>
      <c r="H66" s="2"/>
      <c r="I66" s="2"/>
      <c r="J66" s="2"/>
      <c r="K66" s="2"/>
      <c r="L66" s="2"/>
      <c r="M66" s="2"/>
    </row>
    <row r="67" spans="1:14">
      <c r="A67" s="191"/>
      <c r="B67" s="136" t="s">
        <v>357</v>
      </c>
      <c r="C67" s="150"/>
      <c r="D67" s="200"/>
      <c r="E67" s="2"/>
      <c r="F67" s="2"/>
      <c r="G67" s="2"/>
      <c r="H67" s="2"/>
      <c r="I67" s="2"/>
      <c r="J67" s="2"/>
      <c r="K67" s="2"/>
      <c r="L67" s="2"/>
      <c r="M67" s="2"/>
    </row>
    <row r="68" spans="1:14">
      <c r="A68" s="191"/>
      <c r="B68" s="133" t="s">
        <v>335</v>
      </c>
      <c r="C68" s="151">
        <f>C65*1000*C57*C62/(24*365*1000000000)</f>
        <v>240.8223620273321</v>
      </c>
      <c r="D68" s="208"/>
      <c r="E68" s="152">
        <f>C65*C62*C57/24/1000000000</f>
        <v>87.900162139976217</v>
      </c>
      <c r="F68" s="2" t="s">
        <v>358</v>
      </c>
      <c r="G68" s="2"/>
      <c r="H68" s="2"/>
      <c r="I68" s="2"/>
      <c r="J68" s="2"/>
      <c r="K68" s="2"/>
      <c r="L68" s="2"/>
      <c r="M68" s="2"/>
    </row>
    <row r="69" spans="1:14">
      <c r="A69" s="191"/>
      <c r="B69" s="133" t="s">
        <v>337</v>
      </c>
      <c r="C69" s="126">
        <f>C66*1000*C57*C62/(24*365*1000000000)</f>
        <v>27.366177503105927</v>
      </c>
      <c r="D69" s="203"/>
      <c r="E69" s="2"/>
      <c r="F69" s="2"/>
      <c r="G69" s="2"/>
      <c r="H69" s="2"/>
      <c r="I69" s="2"/>
      <c r="J69" s="2"/>
      <c r="K69" s="2"/>
      <c r="L69" s="2"/>
      <c r="M69" s="2"/>
    </row>
    <row r="70" spans="1:14">
      <c r="A70" s="191"/>
      <c r="B70" s="133" t="s">
        <v>359</v>
      </c>
      <c r="C70" s="126">
        <f>(C68+C69)/2</f>
        <v>134.09426976521902</v>
      </c>
      <c r="D70" s="203"/>
      <c r="E70" s="2"/>
      <c r="F70" s="2"/>
      <c r="G70" s="2"/>
      <c r="H70" s="2"/>
      <c r="I70" s="2"/>
      <c r="J70" s="2"/>
      <c r="K70" s="2"/>
      <c r="L70" s="2"/>
      <c r="M70" s="2"/>
    </row>
    <row r="71" spans="1:14">
      <c r="A71" s="191"/>
      <c r="B71" s="153" t="s">
        <v>360</v>
      </c>
      <c r="C71" s="154">
        <f>C27*C70/C24</f>
        <v>854.84911290994819</v>
      </c>
      <c r="D71" s="203"/>
      <c r="E71" s="155" t="s">
        <v>361</v>
      </c>
      <c r="F71" s="2"/>
      <c r="G71" s="2"/>
      <c r="H71" s="2"/>
      <c r="I71" s="2"/>
      <c r="J71" s="2"/>
      <c r="K71" s="2"/>
      <c r="L71" s="2"/>
      <c r="M71" s="2"/>
    </row>
    <row r="72" spans="1:14" ht="15.75" customHeight="1">
      <c r="A72" s="191"/>
      <c r="B72" s="58"/>
      <c r="C72" s="156"/>
      <c r="D72" s="191"/>
      <c r="E72" s="2"/>
      <c r="F72" s="2"/>
      <c r="G72" s="2"/>
      <c r="H72" s="2"/>
      <c r="I72" s="2"/>
      <c r="J72" s="2"/>
      <c r="K72" s="2"/>
      <c r="L72" s="2"/>
      <c r="M72" s="2"/>
    </row>
    <row r="73" spans="1:14" s="192" customFormat="1">
      <c r="A73" s="191"/>
      <c r="B73" s="191"/>
      <c r="C73" s="191"/>
      <c r="D73" s="191"/>
      <c r="E73" s="191"/>
      <c r="F73" s="214"/>
      <c r="G73" s="191"/>
      <c r="H73" s="191"/>
      <c r="I73" s="191"/>
      <c r="J73" s="191"/>
      <c r="K73" s="191"/>
      <c r="L73" s="191"/>
      <c r="M73" s="191"/>
    </row>
    <row r="74" spans="1:14" s="192" customFormat="1">
      <c r="A74" s="191"/>
      <c r="B74" s="191"/>
      <c r="C74" s="191"/>
      <c r="D74" s="191"/>
      <c r="E74" s="191"/>
      <c r="F74" s="191"/>
      <c r="G74" s="191"/>
      <c r="H74" s="191"/>
      <c r="I74" s="191"/>
      <c r="J74" s="191"/>
      <c r="K74" s="191"/>
      <c r="L74" s="191"/>
      <c r="M74" s="191"/>
    </row>
    <row r="75" spans="1:14" s="192" customFormat="1">
      <c r="A75" s="191"/>
      <c r="B75" s="191"/>
      <c r="C75" s="191"/>
      <c r="D75" s="191"/>
      <c r="E75" s="191"/>
      <c r="F75" s="215"/>
      <c r="G75" s="191"/>
      <c r="H75" s="191"/>
      <c r="I75" s="191"/>
      <c r="J75" s="191"/>
      <c r="K75" s="191"/>
      <c r="L75" s="191"/>
      <c r="M75" s="191"/>
    </row>
    <row r="76" spans="1:14" s="192" customFormat="1">
      <c r="A76" s="191"/>
      <c r="B76" s="191"/>
      <c r="C76" s="191"/>
      <c r="D76" s="191"/>
      <c r="E76" s="191"/>
      <c r="F76" s="191"/>
      <c r="G76" s="191"/>
      <c r="H76" s="191"/>
      <c r="I76" s="191"/>
      <c r="J76" s="191"/>
      <c r="K76" s="191"/>
      <c r="L76" s="191"/>
      <c r="M76" s="191"/>
    </row>
    <row r="77" spans="1:14">
      <c r="A77" s="191"/>
      <c r="B77" s="216" t="s">
        <v>362</v>
      </c>
      <c r="C77" s="157"/>
      <c r="D77" s="191"/>
      <c r="E77" s="191"/>
      <c r="F77" s="215"/>
      <c r="G77" s="191"/>
      <c r="H77" s="209"/>
      <c r="I77" s="191"/>
      <c r="J77" s="191"/>
      <c r="K77" s="191"/>
      <c r="L77" s="191"/>
      <c r="M77" s="191"/>
      <c r="N77" s="192"/>
    </row>
    <row r="78" spans="1:14">
      <c r="A78" s="191"/>
      <c r="B78" s="158" t="s">
        <v>335</v>
      </c>
      <c r="C78" s="159">
        <v>22</v>
      </c>
      <c r="D78" s="209"/>
      <c r="E78" s="181" t="s">
        <v>356</v>
      </c>
      <c r="F78" s="179"/>
      <c r="G78" s="179"/>
      <c r="H78" s="179"/>
      <c r="I78" s="179"/>
      <c r="J78" s="179"/>
      <c r="K78" s="191"/>
      <c r="L78" s="191"/>
      <c r="M78" s="191"/>
      <c r="N78" s="192"/>
    </row>
    <row r="79" spans="1:14">
      <c r="A79" s="191"/>
      <c r="B79" s="158" t="s">
        <v>337</v>
      </c>
      <c r="C79" s="159">
        <v>2.5</v>
      </c>
      <c r="D79" s="191"/>
      <c r="E79" s="179"/>
      <c r="F79" s="179"/>
      <c r="G79" s="179"/>
      <c r="H79" s="179"/>
      <c r="I79" s="179"/>
      <c r="J79" s="179"/>
      <c r="K79" s="191"/>
      <c r="L79" s="191"/>
      <c r="M79" s="191"/>
      <c r="N79" s="192"/>
    </row>
    <row r="80" spans="1:14">
      <c r="A80" s="191"/>
      <c r="B80" s="216" t="s">
        <v>363</v>
      </c>
      <c r="C80" s="157"/>
      <c r="D80" s="191"/>
      <c r="E80" s="191"/>
      <c r="F80" s="191"/>
      <c r="G80" s="191"/>
      <c r="H80" s="191"/>
      <c r="I80" s="191"/>
      <c r="J80" s="191"/>
      <c r="K80" s="191"/>
      <c r="L80" s="191"/>
      <c r="M80" s="191"/>
      <c r="N80" s="192"/>
    </row>
    <row r="81" spans="1:14">
      <c r="A81" s="191"/>
      <c r="B81" s="158" t="s">
        <v>335</v>
      </c>
      <c r="C81" s="160">
        <f t="shared" ref="C81:C82" si="1">C78*1000/3600*365</f>
        <v>2230.5555555555552</v>
      </c>
      <c r="D81" s="191"/>
      <c r="E81" s="191"/>
      <c r="F81" s="191"/>
      <c r="G81" s="191"/>
      <c r="H81" s="191"/>
      <c r="I81" s="191"/>
      <c r="J81" s="191"/>
      <c r="K81" s="191"/>
      <c r="L81" s="191"/>
      <c r="M81" s="191"/>
      <c r="N81" s="192"/>
    </row>
    <row r="82" spans="1:14">
      <c r="A82" s="191"/>
      <c r="B82" s="158" t="s">
        <v>337</v>
      </c>
      <c r="C82" s="160">
        <f t="shared" si="1"/>
        <v>253.4722222222222</v>
      </c>
      <c r="D82" s="191"/>
      <c r="E82" s="191"/>
      <c r="F82" s="191"/>
      <c r="G82" s="191"/>
      <c r="H82" s="191"/>
      <c r="I82" s="191"/>
      <c r="J82" s="191"/>
      <c r="K82" s="191"/>
      <c r="L82" s="191"/>
      <c r="M82" s="191"/>
      <c r="N82" s="192"/>
    </row>
    <row r="83" spans="1:14" s="192" customFormat="1">
      <c r="A83" s="191"/>
      <c r="B83" s="191"/>
      <c r="C83" s="191"/>
      <c r="D83" s="191"/>
      <c r="E83" s="191"/>
      <c r="F83" s="191"/>
      <c r="G83" s="191"/>
      <c r="H83" s="191"/>
      <c r="I83" s="191"/>
      <c r="J83" s="191"/>
      <c r="K83" s="191"/>
      <c r="L83" s="191"/>
      <c r="M83" s="191"/>
    </row>
    <row r="84" spans="1:14">
      <c r="A84" s="191"/>
      <c r="B84" s="182" t="s">
        <v>364</v>
      </c>
      <c r="C84" s="161">
        <v>6250</v>
      </c>
      <c r="D84" s="210"/>
      <c r="E84" s="162" t="s">
        <v>356</v>
      </c>
      <c r="F84" s="163"/>
      <c r="G84" s="163"/>
      <c r="H84" s="163"/>
      <c r="I84" s="163"/>
      <c r="J84" s="163"/>
      <c r="K84" s="191"/>
      <c r="L84" s="191"/>
      <c r="M84" s="191"/>
      <c r="N84" s="192"/>
    </row>
    <row r="85" spans="1:14">
      <c r="A85" s="191"/>
      <c r="B85" s="179"/>
      <c r="C85" s="161">
        <v>1389</v>
      </c>
      <c r="D85" s="210"/>
      <c r="E85" s="162" t="s">
        <v>356</v>
      </c>
      <c r="F85" s="163"/>
      <c r="G85" s="163"/>
      <c r="H85" s="163"/>
      <c r="I85" s="163"/>
      <c r="J85" s="163"/>
      <c r="K85" s="191"/>
      <c r="L85" s="191"/>
      <c r="M85" s="191"/>
      <c r="N85" s="192"/>
    </row>
    <row r="86" spans="1:14" ht="15" customHeight="1">
      <c r="K86" s="192"/>
      <c r="L86" s="192"/>
      <c r="M86" s="192"/>
      <c r="N86" s="192"/>
    </row>
    <row r="87" spans="1:14" ht="15" customHeight="1">
      <c r="K87" s="192"/>
      <c r="L87" s="192"/>
      <c r="M87" s="192"/>
      <c r="N87" s="192"/>
    </row>
    <row r="88" spans="1:14" ht="15" customHeight="1">
      <c r="K88" s="192"/>
      <c r="L88" s="192"/>
      <c r="M88" s="192"/>
      <c r="N88" s="192"/>
    </row>
  </sheetData>
  <mergeCells count="5">
    <mergeCell ref="B1:M1"/>
    <mergeCell ref="E63:G64"/>
    <mergeCell ref="E78:J79"/>
    <mergeCell ref="B84:B85"/>
    <mergeCell ref="E47:M47"/>
  </mergeCells>
  <hyperlinks>
    <hyperlink ref="E10" r:id="rId1"/>
    <hyperlink ref="E12" r:id="rId2"/>
    <hyperlink ref="E13" r:id="rId3"/>
    <hyperlink ref="E16" r:id="rId4"/>
    <hyperlink ref="E17" r:id="rId5"/>
    <hyperlink ref="E32" r:id="rId6"/>
    <hyperlink ref="E33" r:id="rId7"/>
    <hyperlink ref="E44" r:id="rId8"/>
    <hyperlink ref="E45" r:id="rId9"/>
    <hyperlink ref="E60" r:id="rId10"/>
    <hyperlink ref="E65" r:id="rId11"/>
    <hyperlink ref="E66" r:id="rId12"/>
    <hyperlink ref="E78" r:id="rId13"/>
    <hyperlink ref="E84" r:id="rId14"/>
    <hyperlink ref="E85" r:id="rId1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showGridLines="0" workbookViewId="0">
      <selection activeCell="B14" sqref="B14"/>
    </sheetView>
  </sheetViews>
  <sheetFormatPr defaultColWidth="17.28515625" defaultRowHeight="15" customHeight="1"/>
  <cols>
    <col min="1" max="1" width="8.85546875" customWidth="1"/>
    <col min="2" max="2" width="51" customWidth="1"/>
    <col min="3" max="6" width="8.85546875" customWidth="1"/>
  </cols>
  <sheetData>
    <row r="1" spans="1:6" ht="26.25" customHeight="1">
      <c r="A1" s="191"/>
      <c r="B1" s="230" t="s">
        <v>1</v>
      </c>
      <c r="C1" s="231"/>
      <c r="D1" s="231"/>
      <c r="E1" s="231"/>
      <c r="F1" s="231"/>
    </row>
    <row r="2" spans="1:6">
      <c r="A2" s="191"/>
      <c r="B2" s="191"/>
      <c r="C2" s="191"/>
      <c r="D2" s="191"/>
      <c r="E2" s="191"/>
      <c r="F2" s="191"/>
    </row>
    <row r="3" spans="1:6" ht="15.75" customHeight="1">
      <c r="A3" s="191"/>
      <c r="B3" s="2"/>
      <c r="C3" s="2"/>
      <c r="D3" s="2"/>
      <c r="E3" s="2"/>
      <c r="F3" s="2"/>
    </row>
    <row r="4" spans="1:6" ht="15.75" customHeight="1">
      <c r="A4" s="191"/>
      <c r="B4" s="232" t="s">
        <v>372</v>
      </c>
      <c r="C4" s="7">
        <v>106</v>
      </c>
      <c r="D4" s="6" t="s">
        <v>8</v>
      </c>
      <c r="E4" s="2"/>
      <c r="F4" s="2"/>
    </row>
    <row r="5" spans="1:6">
      <c r="A5" s="191"/>
      <c r="B5" s="8" t="s">
        <v>9</v>
      </c>
      <c r="C5" s="9">
        <f>C4/4046.856</f>
        <v>2.6193173169492562E-2</v>
      </c>
      <c r="D5" s="2"/>
      <c r="E5" s="2"/>
      <c r="F5" s="2"/>
    </row>
    <row r="6" spans="1:6" ht="15.75" customHeight="1">
      <c r="A6" s="191"/>
      <c r="B6" s="10" t="s">
        <v>12</v>
      </c>
      <c r="C6" s="12">
        <f>1000*C5</f>
        <v>26.193173169492564</v>
      </c>
      <c r="D6" s="2"/>
      <c r="E6" s="2"/>
      <c r="F6" s="2"/>
    </row>
    <row r="7" spans="1:6">
      <c r="A7" s="191"/>
      <c r="B7" s="2"/>
      <c r="C7" s="2"/>
      <c r="D7" s="2"/>
      <c r="E7" s="2"/>
      <c r="F7" s="2"/>
    </row>
    <row r="8" spans="1:6">
      <c r="A8" s="191"/>
      <c r="B8" s="191"/>
      <c r="C8" s="191"/>
      <c r="D8" s="191"/>
      <c r="E8" s="191"/>
      <c r="F8" s="191"/>
    </row>
    <row r="9" spans="1:6">
      <c r="A9" s="191"/>
      <c r="B9" s="191"/>
      <c r="C9" s="191"/>
      <c r="D9" s="191"/>
      <c r="E9" s="191"/>
      <c r="F9" s="191"/>
    </row>
    <row r="10" spans="1:6">
      <c r="A10" s="191"/>
      <c r="B10" s="191"/>
      <c r="C10" s="191"/>
      <c r="D10" s="191"/>
      <c r="E10" s="191"/>
      <c r="F10" s="191"/>
    </row>
    <row r="11" spans="1:6">
      <c r="A11" s="191"/>
      <c r="B11" s="191"/>
      <c r="C11" s="191"/>
      <c r="D11" s="191"/>
      <c r="E11" s="191"/>
      <c r="F11" s="191"/>
    </row>
    <row r="12" spans="1:6">
      <c r="A12" s="191"/>
      <c r="B12" s="191"/>
      <c r="C12" s="191"/>
      <c r="D12" s="191"/>
      <c r="E12" s="191"/>
      <c r="F12" s="191"/>
    </row>
    <row r="13" spans="1:6">
      <c r="A13" s="191"/>
      <c r="B13" s="191"/>
      <c r="C13" s="191"/>
      <c r="D13" s="191"/>
      <c r="E13" s="191"/>
      <c r="F13" s="191"/>
    </row>
    <row r="14" spans="1:6">
      <c r="A14" s="191"/>
      <c r="B14" s="191"/>
      <c r="C14" s="191"/>
      <c r="D14" s="191"/>
      <c r="E14" s="191"/>
      <c r="F14" s="191"/>
    </row>
    <row r="15" spans="1:6">
      <c r="A15" s="191"/>
      <c r="B15" s="191"/>
      <c r="C15" s="191"/>
      <c r="D15" s="191"/>
      <c r="E15" s="191"/>
      <c r="F15" s="191"/>
    </row>
    <row r="16" spans="1:6">
      <c r="A16" s="191"/>
      <c r="B16" s="191"/>
      <c r="C16" s="191"/>
      <c r="D16" s="191"/>
      <c r="E16" s="191"/>
      <c r="F16" s="191"/>
    </row>
    <row r="17" spans="1:6">
      <c r="A17" s="191"/>
      <c r="B17" s="191"/>
      <c r="C17" s="191"/>
      <c r="D17" s="191"/>
      <c r="E17" s="191"/>
      <c r="F17" s="191"/>
    </row>
    <row r="18" spans="1:6">
      <c r="A18" s="191"/>
      <c r="B18" s="191"/>
      <c r="C18" s="191"/>
      <c r="D18" s="191"/>
      <c r="E18" s="191"/>
      <c r="F18" s="191"/>
    </row>
    <row r="19" spans="1:6">
      <c r="A19" s="191"/>
      <c r="B19" s="191"/>
      <c r="C19" s="191"/>
      <c r="D19" s="191"/>
      <c r="E19" s="191"/>
      <c r="F19" s="191"/>
    </row>
    <row r="20" spans="1:6">
      <c r="A20" s="191"/>
      <c r="B20" s="191"/>
      <c r="C20" s="191"/>
      <c r="D20" s="191"/>
      <c r="E20" s="191"/>
      <c r="F20" s="191"/>
    </row>
  </sheetData>
  <mergeCells count="1">
    <mergeCell ref="B1:F1"/>
  </mergeCells>
  <hyperlinks>
    <hyperlink ref="D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workbookViewId="0">
      <selection activeCell="F9" sqref="F9"/>
    </sheetView>
  </sheetViews>
  <sheetFormatPr defaultColWidth="17.28515625" defaultRowHeight="15" customHeight="1"/>
  <cols>
    <col min="1" max="1" width="5.85546875" customWidth="1"/>
    <col min="2" max="2" width="12.42578125" customWidth="1"/>
    <col min="3" max="3" width="14" customWidth="1"/>
    <col min="4" max="6" width="8.85546875" customWidth="1"/>
  </cols>
  <sheetData>
    <row r="1" spans="1:6" ht="24" customHeight="1">
      <c r="A1" s="191"/>
      <c r="B1" s="230" t="s">
        <v>0</v>
      </c>
      <c r="C1" s="231"/>
      <c r="D1" s="231"/>
      <c r="E1" s="231"/>
      <c r="F1" s="231"/>
    </row>
    <row r="2" spans="1:6">
      <c r="A2" s="191"/>
      <c r="B2" s="191"/>
      <c r="C2" s="191"/>
      <c r="D2" s="191"/>
      <c r="E2" s="191"/>
      <c r="F2" s="191"/>
    </row>
    <row r="3" spans="1:6">
      <c r="A3" s="191"/>
      <c r="B3" s="1" t="s">
        <v>2</v>
      </c>
      <c r="C3" s="4">
        <v>7.5</v>
      </c>
      <c r="D3" s="14" t="s">
        <v>5</v>
      </c>
      <c r="E3" s="15"/>
      <c r="F3" s="15"/>
    </row>
    <row r="4" spans="1:6">
      <c r="A4" s="191"/>
      <c r="B4" s="20" t="s">
        <v>18</v>
      </c>
      <c r="C4" s="22">
        <f>C3*2.2369</f>
        <v>16.77675</v>
      </c>
      <c r="D4" s="15"/>
      <c r="E4" s="15"/>
      <c r="F4" s="15"/>
    </row>
    <row r="5" spans="1:6">
      <c r="A5" s="191"/>
      <c r="B5" s="32"/>
      <c r="C5" s="32"/>
      <c r="D5" s="15"/>
      <c r="E5" s="15"/>
      <c r="F5" s="15"/>
    </row>
    <row r="6" spans="1:6">
      <c r="A6" s="191"/>
      <c r="B6" s="191"/>
      <c r="C6" s="191"/>
      <c r="D6" s="191"/>
      <c r="E6" s="191"/>
      <c r="F6" s="191"/>
    </row>
    <row r="7" spans="1:6">
      <c r="A7" s="191"/>
      <c r="B7" s="191"/>
      <c r="C7" s="191"/>
      <c r="D7" s="191"/>
      <c r="E7" s="191"/>
      <c r="F7" s="191"/>
    </row>
    <row r="8" spans="1:6">
      <c r="A8" s="191"/>
      <c r="B8" s="191"/>
      <c r="C8" s="191"/>
      <c r="D8" s="191"/>
      <c r="E8" s="191"/>
      <c r="F8" s="191"/>
    </row>
    <row r="9" spans="1:6">
      <c r="A9" s="191"/>
      <c r="B9" s="191"/>
      <c r="C9" s="191"/>
      <c r="D9" s="191"/>
      <c r="E9" s="191"/>
      <c r="F9" s="191"/>
    </row>
    <row r="10" spans="1:6">
      <c r="A10" s="191"/>
      <c r="B10" s="191"/>
      <c r="C10" s="191"/>
      <c r="D10" s="191"/>
      <c r="E10" s="191"/>
      <c r="F10" s="191"/>
    </row>
    <row r="11" spans="1:6">
      <c r="A11" s="191"/>
      <c r="B11" s="191"/>
      <c r="C11" s="191"/>
      <c r="D11" s="191"/>
      <c r="E11" s="191"/>
      <c r="F11" s="191"/>
    </row>
    <row r="12" spans="1:6">
      <c r="A12" s="191"/>
      <c r="B12" s="191"/>
      <c r="C12" s="191"/>
      <c r="D12" s="191"/>
      <c r="E12" s="191"/>
      <c r="F12" s="191"/>
    </row>
    <row r="13" spans="1:6">
      <c r="A13" s="191"/>
      <c r="B13" s="191"/>
      <c r="C13" s="191"/>
      <c r="D13" s="191"/>
      <c r="E13" s="191"/>
      <c r="F13" s="191"/>
    </row>
    <row r="14" spans="1:6">
      <c r="A14" s="191"/>
      <c r="B14" s="191"/>
      <c r="C14" s="191"/>
      <c r="D14" s="191"/>
      <c r="E14" s="191"/>
      <c r="F14" s="191"/>
    </row>
    <row r="15" spans="1:6">
      <c r="A15" s="191"/>
      <c r="B15" s="191"/>
      <c r="C15" s="191"/>
      <c r="D15" s="191"/>
      <c r="E15" s="191"/>
      <c r="F15" s="191"/>
    </row>
    <row r="16" spans="1:6">
      <c r="A16" s="191"/>
      <c r="B16" s="191"/>
      <c r="C16" s="191"/>
      <c r="D16" s="191"/>
      <c r="E16" s="191"/>
      <c r="F16" s="191"/>
    </row>
    <row r="17" spans="1:6">
      <c r="A17" s="191"/>
      <c r="B17" s="191"/>
      <c r="C17" s="191"/>
      <c r="D17" s="191"/>
      <c r="E17" s="191"/>
      <c r="F17" s="191"/>
    </row>
    <row r="18" spans="1:6">
      <c r="A18" s="191"/>
      <c r="B18" s="191"/>
      <c r="C18" s="191"/>
      <c r="D18" s="191"/>
      <c r="E18" s="191"/>
      <c r="F18" s="191"/>
    </row>
    <row r="19" spans="1:6">
      <c r="A19" s="191"/>
      <c r="B19" s="191"/>
      <c r="C19" s="191"/>
      <c r="D19" s="191"/>
      <c r="E19" s="191"/>
      <c r="F19" s="191"/>
    </row>
    <row r="20" spans="1:6">
      <c r="A20" s="191"/>
      <c r="B20" s="191"/>
      <c r="C20" s="191"/>
      <c r="D20" s="191"/>
      <c r="E20" s="191"/>
      <c r="F20" s="191"/>
    </row>
    <row r="21" spans="1:6" ht="15" customHeight="1">
      <c r="B21" s="192"/>
      <c r="C21" s="192"/>
      <c r="D21" s="192"/>
      <c r="E21" s="192"/>
      <c r="F21" s="192"/>
    </row>
    <row r="22" spans="1:6" ht="15" customHeight="1">
      <c r="B22" s="192"/>
      <c r="C22" s="192"/>
      <c r="D22" s="192"/>
      <c r="E22" s="192"/>
      <c r="F22" s="192"/>
    </row>
    <row r="23" spans="1:6" ht="15" customHeight="1">
      <c r="B23" s="192"/>
      <c r="C23" s="192"/>
      <c r="D23" s="192"/>
      <c r="E23" s="192"/>
      <c r="F23" s="192"/>
    </row>
  </sheetData>
  <mergeCells count="1">
    <mergeCell ref="B1:F1"/>
  </mergeCells>
  <hyperlinks>
    <hyperlink ref="D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showGridLines="0" topLeftCell="A20" workbookViewId="0">
      <selection activeCell="C42" sqref="C42"/>
    </sheetView>
  </sheetViews>
  <sheetFormatPr defaultColWidth="17.28515625" defaultRowHeight="15" customHeight="1"/>
  <cols>
    <col min="1" max="1" width="4.85546875" style="192" customWidth="1"/>
    <col min="2" max="2" width="65.42578125" customWidth="1"/>
    <col min="3" max="3" width="31.42578125" customWidth="1"/>
    <col min="4" max="4" width="24.7109375" customWidth="1"/>
    <col min="5" max="6" width="8.85546875" customWidth="1"/>
    <col min="7" max="7" width="23" customWidth="1"/>
  </cols>
  <sheetData>
    <row r="1" spans="1:7" ht="23.25" customHeight="1">
      <c r="A1" s="191"/>
      <c r="B1" s="230" t="s">
        <v>3</v>
      </c>
      <c r="C1" s="231"/>
      <c r="D1" s="231"/>
      <c r="E1" s="231"/>
      <c r="F1" s="231"/>
      <c r="G1" s="231"/>
    </row>
    <row r="2" spans="1:7" ht="15.75" customHeight="1">
      <c r="A2" s="191"/>
      <c r="B2" s="2"/>
      <c r="C2" s="2"/>
      <c r="D2" s="2"/>
      <c r="E2" s="2"/>
      <c r="F2" s="2"/>
      <c r="G2" s="2"/>
    </row>
    <row r="3" spans="1:7">
      <c r="A3" s="191"/>
      <c r="B3" s="3" t="s">
        <v>4</v>
      </c>
      <c r="C3" s="5">
        <f>C8</f>
        <v>0.72773814528560843</v>
      </c>
      <c r="D3" s="6" t="s">
        <v>6</v>
      </c>
      <c r="E3" s="2"/>
      <c r="F3" s="2"/>
      <c r="G3" s="2"/>
    </row>
    <row r="4" spans="1:7">
      <c r="A4" s="191"/>
      <c r="B4" s="11" t="s">
        <v>7</v>
      </c>
      <c r="C4" s="13">
        <f>47.1/(1.8*365)</f>
        <v>7.1689497716894979E-2</v>
      </c>
      <c r="D4" s="6" t="s">
        <v>13</v>
      </c>
      <c r="E4" s="2"/>
      <c r="F4" s="2"/>
      <c r="G4" s="2"/>
    </row>
    <row r="5" spans="1:7">
      <c r="A5" s="191"/>
      <c r="B5" s="11"/>
      <c r="C5" s="11"/>
      <c r="D5" s="6" t="s">
        <v>14</v>
      </c>
      <c r="E5" s="2"/>
      <c r="F5" s="2"/>
      <c r="G5" s="2"/>
    </row>
    <row r="6" spans="1:7">
      <c r="A6" s="191"/>
      <c r="B6" s="11" t="s">
        <v>15</v>
      </c>
      <c r="C6" s="11">
        <v>0.43</v>
      </c>
      <c r="D6" s="6" t="s">
        <v>16</v>
      </c>
      <c r="E6" s="2"/>
      <c r="F6" s="2"/>
      <c r="G6" s="2"/>
    </row>
    <row r="7" spans="1:7">
      <c r="A7" s="191"/>
      <c r="B7" s="11"/>
      <c r="C7" s="11"/>
      <c r="D7" s="2"/>
      <c r="E7" s="2"/>
      <c r="F7" s="2"/>
      <c r="G7" s="2"/>
    </row>
    <row r="8" spans="1:7">
      <c r="A8" s="191"/>
      <c r="B8" s="11" t="s">
        <v>17</v>
      </c>
      <c r="C8" s="17">
        <f>'Alberta Electricity Profile'!C15</f>
        <v>0.72773814528560843</v>
      </c>
      <c r="D8" s="2"/>
      <c r="E8" s="2"/>
      <c r="F8" s="2"/>
      <c r="G8" s="2"/>
    </row>
    <row r="9" spans="1:7" ht="15.75" customHeight="1">
      <c r="A9" s="191"/>
      <c r="B9" s="19" t="s">
        <v>25</v>
      </c>
      <c r="C9" s="21">
        <f>AVERAGE(E20:E22)*0.45359</f>
        <v>0.97068260000000006</v>
      </c>
      <c r="D9" s="2"/>
      <c r="E9" s="2"/>
      <c r="F9" s="2"/>
      <c r="G9" s="2"/>
    </row>
    <row r="10" spans="1:7">
      <c r="A10" s="191"/>
      <c r="B10" s="2"/>
      <c r="C10" s="2"/>
      <c r="D10" s="2"/>
      <c r="E10" s="2"/>
      <c r="F10" s="2"/>
      <c r="G10" s="2"/>
    </row>
    <row r="11" spans="1:7" s="192" customFormat="1">
      <c r="A11" s="191"/>
      <c r="B11" s="191"/>
      <c r="C11" s="191"/>
      <c r="D11" s="191"/>
      <c r="E11" s="191"/>
      <c r="F11" s="191"/>
      <c r="G11" s="191"/>
    </row>
    <row r="12" spans="1:7">
      <c r="A12" s="191"/>
      <c r="B12" s="33" t="s">
        <v>28</v>
      </c>
      <c r="C12" s="2"/>
      <c r="D12" s="2"/>
      <c r="E12" s="2"/>
      <c r="F12" s="2"/>
      <c r="G12" s="2"/>
    </row>
    <row r="13" spans="1:7">
      <c r="A13" s="191"/>
      <c r="B13" s="2" t="s">
        <v>39</v>
      </c>
      <c r="C13" s="2"/>
      <c r="D13" s="2"/>
      <c r="E13" s="2"/>
      <c r="F13" s="2"/>
      <c r="G13" s="2"/>
    </row>
    <row r="14" spans="1:7">
      <c r="A14" s="191"/>
      <c r="B14" s="2" t="s">
        <v>40</v>
      </c>
      <c r="C14" s="2"/>
      <c r="D14" s="2"/>
      <c r="E14" s="2"/>
      <c r="F14" s="2"/>
      <c r="G14" s="2"/>
    </row>
    <row r="15" spans="1:7">
      <c r="A15" s="191"/>
      <c r="B15" s="2"/>
      <c r="C15" s="2"/>
      <c r="D15" s="2"/>
      <c r="E15" s="2"/>
      <c r="F15" s="2"/>
      <c r="G15" s="2"/>
    </row>
    <row r="16" spans="1:7">
      <c r="A16" s="191"/>
      <c r="B16" s="2" t="s">
        <v>41</v>
      </c>
      <c r="C16" s="2"/>
      <c r="D16" s="2"/>
      <c r="E16" s="2"/>
      <c r="F16" s="2"/>
      <c r="G16" s="2"/>
    </row>
    <row r="17" spans="1:7" ht="15.75" customHeight="1">
      <c r="A17" s="191"/>
      <c r="B17" s="2"/>
      <c r="C17" s="2"/>
      <c r="D17" s="2"/>
      <c r="E17" s="2"/>
      <c r="F17" s="2"/>
      <c r="G17" s="2"/>
    </row>
    <row r="18" spans="1:7" ht="15.75" customHeight="1">
      <c r="A18" s="191"/>
      <c r="B18" s="7" t="s">
        <v>42</v>
      </c>
      <c r="C18" s="36" t="s">
        <v>43</v>
      </c>
      <c r="D18" s="7" t="s">
        <v>57</v>
      </c>
      <c r="E18" s="37" t="s">
        <v>58</v>
      </c>
      <c r="F18" s="38"/>
      <c r="G18" s="2"/>
    </row>
    <row r="19" spans="1:7">
      <c r="A19" s="191"/>
      <c r="B19" s="11" t="s">
        <v>59</v>
      </c>
      <c r="C19" s="2"/>
      <c r="D19" s="11"/>
      <c r="E19" s="2"/>
      <c r="F19" s="46"/>
      <c r="G19" s="2"/>
    </row>
    <row r="20" spans="1:7">
      <c r="A20" s="191"/>
      <c r="B20" s="11" t="s">
        <v>77</v>
      </c>
      <c r="C20" s="2">
        <v>205.3</v>
      </c>
      <c r="D20" s="49">
        <v>10107</v>
      </c>
      <c r="E20" s="2">
        <v>2.08</v>
      </c>
      <c r="F20" s="46"/>
      <c r="G20" s="2"/>
    </row>
    <row r="21" spans="1:7">
      <c r="A21" s="191"/>
      <c r="B21" s="11" t="s">
        <v>82</v>
      </c>
      <c r="C21" s="2">
        <v>212.7</v>
      </c>
      <c r="D21" s="49">
        <v>10107</v>
      </c>
      <c r="E21" s="2">
        <v>2.16</v>
      </c>
      <c r="F21" s="46"/>
      <c r="G21" s="2"/>
    </row>
    <row r="22" spans="1:7">
      <c r="A22" s="191"/>
      <c r="B22" s="11" t="s">
        <v>83</v>
      </c>
      <c r="C22" s="2">
        <v>215.4</v>
      </c>
      <c r="D22" s="49">
        <v>10107</v>
      </c>
      <c r="E22" s="2">
        <v>2.1800000000000002</v>
      </c>
      <c r="F22" s="46"/>
      <c r="G22" s="2"/>
    </row>
    <row r="23" spans="1:7">
      <c r="A23" s="191"/>
      <c r="B23" s="11" t="s">
        <v>84</v>
      </c>
      <c r="C23" s="2">
        <v>117.08</v>
      </c>
      <c r="D23" s="49">
        <v>10416</v>
      </c>
      <c r="E23" s="2">
        <v>1.22</v>
      </c>
      <c r="F23" s="46"/>
      <c r="G23" s="2"/>
    </row>
    <row r="24" spans="1:7">
      <c r="A24" s="191"/>
      <c r="B24" s="11" t="s">
        <v>85</v>
      </c>
      <c r="C24" s="2">
        <v>161.386</v>
      </c>
      <c r="D24" s="49">
        <v>10416</v>
      </c>
      <c r="E24" s="2">
        <v>1.68</v>
      </c>
      <c r="F24" s="46"/>
      <c r="G24" s="2"/>
    </row>
    <row r="25" spans="1:7" ht="15.75" customHeight="1">
      <c r="A25" s="191"/>
      <c r="B25" s="19" t="s">
        <v>86</v>
      </c>
      <c r="C25" s="59">
        <v>173.90600000000001</v>
      </c>
      <c r="D25" s="60">
        <v>10416</v>
      </c>
      <c r="E25" s="59">
        <v>1.81</v>
      </c>
      <c r="F25" s="66"/>
      <c r="G25" s="2"/>
    </row>
    <row r="26" spans="1:7">
      <c r="A26" s="191"/>
      <c r="B26" s="2"/>
      <c r="C26" s="2"/>
      <c r="D26" s="67"/>
      <c r="E26" s="2"/>
      <c r="F26" s="2"/>
      <c r="G26" s="2"/>
    </row>
    <row r="27" spans="1:7">
      <c r="A27" s="191"/>
      <c r="B27" s="2" t="s">
        <v>164</v>
      </c>
      <c r="C27" s="2"/>
      <c r="D27" s="2"/>
      <c r="E27" s="2"/>
      <c r="F27" s="2"/>
      <c r="G27" s="2"/>
    </row>
    <row r="28" spans="1:7">
      <c r="A28" s="191"/>
      <c r="B28" s="2"/>
      <c r="C28" s="2"/>
      <c r="D28" s="2"/>
      <c r="E28" s="2"/>
      <c r="F28" s="2"/>
      <c r="G28" s="2"/>
    </row>
    <row r="29" spans="1:7" s="192" customFormat="1">
      <c r="A29" s="191"/>
      <c r="B29" s="191"/>
      <c r="C29" s="191"/>
      <c r="D29" s="191"/>
      <c r="E29" s="191"/>
      <c r="F29" s="191"/>
      <c r="G29" s="191"/>
    </row>
    <row r="30" spans="1:7" s="192" customFormat="1" ht="15.75" customHeight="1">
      <c r="A30" s="191"/>
      <c r="B30" s="191"/>
      <c r="C30" s="191"/>
      <c r="D30" s="191"/>
      <c r="E30" s="191"/>
      <c r="F30" s="191"/>
      <c r="G30" s="191"/>
    </row>
    <row r="31" spans="1:7" ht="15.75" customHeight="1">
      <c r="A31" s="191"/>
      <c r="B31" s="7" t="s">
        <v>165</v>
      </c>
      <c r="C31" s="7" t="s">
        <v>166</v>
      </c>
      <c r="D31" s="7" t="s">
        <v>167</v>
      </c>
      <c r="E31" s="2" t="s">
        <v>168</v>
      </c>
      <c r="F31" s="2"/>
      <c r="G31" s="2"/>
    </row>
    <row r="32" spans="1:7">
      <c r="A32" s="191"/>
      <c r="B32" s="11" t="s">
        <v>169</v>
      </c>
      <c r="C32" s="11">
        <v>1135</v>
      </c>
      <c r="D32" s="13">
        <f t="shared" ref="D32:D34" si="0">C32*$C$38/1000</f>
        <v>0.51482691999999997</v>
      </c>
      <c r="E32" s="2"/>
      <c r="F32" s="2"/>
      <c r="G32" s="2"/>
    </row>
    <row r="33" spans="1:7">
      <c r="A33" s="191"/>
      <c r="B33" s="11" t="s">
        <v>59</v>
      </c>
      <c r="C33" s="11">
        <v>2249</v>
      </c>
      <c r="D33" s="13">
        <f t="shared" si="0"/>
        <v>1.0201284079999999</v>
      </c>
      <c r="E33" s="2"/>
      <c r="F33" s="2"/>
      <c r="G33" s="2"/>
    </row>
    <row r="34" spans="1:7">
      <c r="A34" s="191"/>
      <c r="B34" s="11" t="s">
        <v>182</v>
      </c>
      <c r="C34" s="11">
        <v>1672</v>
      </c>
      <c r="D34" s="13">
        <f t="shared" si="0"/>
        <v>0.7584058239999999</v>
      </c>
      <c r="E34" s="2"/>
      <c r="F34" s="2"/>
      <c r="G34" s="2"/>
    </row>
    <row r="35" spans="1:7" ht="15.75" customHeight="1">
      <c r="A35" s="191"/>
      <c r="B35" s="19" t="s">
        <v>183</v>
      </c>
      <c r="C35" s="19" t="s">
        <v>184</v>
      </c>
      <c r="D35" s="19"/>
      <c r="E35" s="2"/>
      <c r="F35" s="2"/>
      <c r="G35" s="2"/>
    </row>
    <row r="36" spans="1:7">
      <c r="A36" s="191"/>
      <c r="B36" s="2"/>
      <c r="C36" s="2"/>
      <c r="D36" s="2"/>
      <c r="E36" s="2"/>
      <c r="F36" s="2"/>
      <c r="G36" s="2"/>
    </row>
    <row r="37" spans="1:7">
      <c r="A37" s="191"/>
      <c r="B37" s="33" t="s">
        <v>185</v>
      </c>
      <c r="C37" s="33"/>
      <c r="D37" s="2"/>
      <c r="E37" s="2"/>
      <c r="F37" s="2"/>
      <c r="G37" s="2"/>
    </row>
    <row r="38" spans="1:7">
      <c r="A38" s="191"/>
      <c r="B38" s="33" t="s">
        <v>186</v>
      </c>
      <c r="C38" s="70">
        <v>0.453592</v>
      </c>
      <c r="D38" s="2"/>
      <c r="E38" s="2"/>
      <c r="F38" s="2"/>
      <c r="G38" s="2"/>
    </row>
    <row r="39" spans="1:7">
      <c r="A39" s="191"/>
      <c r="B39" s="2"/>
      <c r="C39" s="2"/>
      <c r="D39" s="2"/>
      <c r="E39" s="2"/>
      <c r="F39" s="2"/>
      <c r="G39" s="2"/>
    </row>
    <row r="40" spans="1:7">
      <c r="A40" s="191"/>
      <c r="B40" s="2"/>
      <c r="C40" s="2"/>
      <c r="D40" s="2"/>
      <c r="E40" s="2"/>
      <c r="F40" s="2"/>
      <c r="G40" s="2"/>
    </row>
  </sheetData>
  <mergeCells count="1">
    <mergeCell ref="B1:G1"/>
  </mergeCells>
  <hyperlinks>
    <hyperlink ref="D4" r:id="rId1"/>
    <hyperlink ref="D5" r:id="rId2"/>
    <hyperlink ref="D6"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showGridLines="0" topLeftCell="A48" workbookViewId="0">
      <selection activeCell="O62" sqref="O62"/>
    </sheetView>
  </sheetViews>
  <sheetFormatPr defaultColWidth="17.28515625" defaultRowHeight="15" customHeight="1"/>
  <cols>
    <col min="1" max="1" width="4.7109375" style="192" customWidth="1"/>
    <col min="2" max="8" width="8.85546875" style="192" customWidth="1"/>
    <col min="9" max="18" width="8.85546875" customWidth="1"/>
  </cols>
  <sheetData>
    <row r="1" spans="1:8">
      <c r="A1" s="191"/>
      <c r="B1" s="191"/>
      <c r="C1" s="191"/>
      <c r="D1" s="191"/>
      <c r="E1" s="191"/>
      <c r="F1" s="191"/>
      <c r="G1" s="191"/>
      <c r="H1" s="191"/>
    </row>
    <row r="2" spans="1:8">
      <c r="A2" s="191"/>
      <c r="B2" s="191" t="s">
        <v>44</v>
      </c>
      <c r="C2" s="191"/>
      <c r="D2" s="191"/>
      <c r="E2" s="191"/>
      <c r="F2" s="191"/>
      <c r="G2" s="191"/>
      <c r="H2" s="191"/>
    </row>
    <row r="3" spans="1:8">
      <c r="A3" s="191"/>
      <c r="B3" s="191"/>
      <c r="C3" s="191"/>
      <c r="D3" s="191"/>
      <c r="E3" s="191"/>
      <c r="F3" s="191"/>
      <c r="G3" s="191"/>
      <c r="H3" s="191"/>
    </row>
    <row r="4" spans="1:8">
      <c r="A4" s="191"/>
      <c r="B4" s="191"/>
      <c r="C4" s="191"/>
      <c r="D4" s="191"/>
      <c r="E4" s="191"/>
      <c r="F4" s="191"/>
      <c r="G4" s="191"/>
      <c r="H4" s="191"/>
    </row>
    <row r="5" spans="1:8">
      <c r="A5" s="191"/>
      <c r="B5" s="191"/>
      <c r="C5" s="191"/>
      <c r="D5" s="191"/>
      <c r="E5" s="191"/>
      <c r="F5" s="191"/>
      <c r="G5" s="191"/>
      <c r="H5" s="191"/>
    </row>
    <row r="6" spans="1:8">
      <c r="A6" s="191"/>
      <c r="B6" s="191"/>
      <c r="C6" s="191"/>
      <c r="D6" s="191"/>
      <c r="E6" s="191"/>
      <c r="F6" s="191"/>
      <c r="G6" s="191"/>
      <c r="H6" s="191"/>
    </row>
    <row r="7" spans="1:8">
      <c r="A7" s="191"/>
      <c r="B7" s="191"/>
      <c r="C7" s="191"/>
      <c r="D7" s="191"/>
      <c r="E7" s="191"/>
      <c r="F7" s="191"/>
      <c r="G7" s="191"/>
      <c r="H7" s="191"/>
    </row>
    <row r="8" spans="1:8">
      <c r="A8" s="191"/>
      <c r="B8" s="191"/>
      <c r="C8" s="191"/>
      <c r="D8" s="191"/>
      <c r="E8" s="191"/>
      <c r="F8" s="191"/>
      <c r="G8" s="191"/>
      <c r="H8" s="191"/>
    </row>
    <row r="9" spans="1:8">
      <c r="A9" s="191"/>
      <c r="B9" s="191"/>
      <c r="C9" s="191"/>
      <c r="D9" s="191"/>
      <c r="E9" s="191"/>
      <c r="F9" s="191"/>
      <c r="G9" s="191"/>
      <c r="H9" s="191"/>
    </row>
    <row r="10" spans="1:8">
      <c r="A10" s="191"/>
      <c r="B10" s="191"/>
      <c r="C10" s="191"/>
      <c r="D10" s="191"/>
      <c r="E10" s="191"/>
      <c r="F10" s="191"/>
      <c r="G10" s="191"/>
      <c r="H10" s="191"/>
    </row>
    <row r="11" spans="1:8">
      <c r="A11" s="191"/>
      <c r="B11" s="191"/>
      <c r="C11" s="191"/>
      <c r="D11" s="191"/>
      <c r="E11" s="191"/>
      <c r="F11" s="191"/>
      <c r="G11" s="191"/>
      <c r="H11" s="191"/>
    </row>
    <row r="12" spans="1:8">
      <c r="A12" s="191"/>
      <c r="B12" s="191"/>
      <c r="C12" s="191"/>
      <c r="D12" s="191"/>
      <c r="E12" s="191"/>
      <c r="F12" s="191"/>
      <c r="G12" s="191"/>
      <c r="H12" s="191"/>
    </row>
    <row r="13" spans="1:8">
      <c r="A13" s="191"/>
      <c r="B13" s="191"/>
      <c r="C13" s="191"/>
      <c r="D13" s="191"/>
      <c r="E13" s="191"/>
      <c r="F13" s="191"/>
      <c r="G13" s="191"/>
      <c r="H13" s="191"/>
    </row>
    <row r="14" spans="1:8">
      <c r="A14" s="191"/>
      <c r="B14" s="191"/>
      <c r="C14" s="191"/>
      <c r="D14" s="191"/>
      <c r="E14" s="191"/>
      <c r="F14" s="191"/>
      <c r="G14" s="191"/>
      <c r="H14" s="191"/>
    </row>
    <row r="15" spans="1:8">
      <c r="A15" s="191"/>
      <c r="B15" s="191"/>
      <c r="C15" s="191"/>
      <c r="D15" s="191"/>
      <c r="E15" s="191"/>
      <c r="F15" s="191"/>
      <c r="G15" s="191"/>
      <c r="H15" s="191"/>
    </row>
    <row r="16" spans="1:8">
      <c r="A16" s="191"/>
      <c r="B16" s="191"/>
      <c r="C16" s="191"/>
      <c r="D16" s="191"/>
      <c r="E16" s="191"/>
      <c r="F16" s="191"/>
      <c r="G16" s="191"/>
      <c r="H16" s="191"/>
    </row>
    <row r="17" spans="1:8">
      <c r="A17" s="191"/>
      <c r="B17" s="191"/>
      <c r="C17" s="191"/>
      <c r="D17" s="191"/>
      <c r="E17" s="191"/>
      <c r="F17" s="191"/>
      <c r="G17" s="191"/>
      <c r="H17" s="198"/>
    </row>
    <row r="18" spans="1:8">
      <c r="A18" s="191"/>
      <c r="B18" s="191"/>
      <c r="C18" s="191"/>
      <c r="D18" s="191"/>
      <c r="E18" s="191"/>
      <c r="F18" s="191"/>
      <c r="G18" s="191"/>
      <c r="H18" s="191"/>
    </row>
    <row r="19" spans="1:8">
      <c r="A19" s="191"/>
      <c r="B19" s="191"/>
      <c r="C19" s="191"/>
      <c r="D19" s="191"/>
      <c r="E19" s="191"/>
      <c r="F19" s="191"/>
      <c r="G19" s="191"/>
      <c r="H19" s="191"/>
    </row>
    <row r="20" spans="1:8">
      <c r="A20" s="191"/>
      <c r="B20" s="191"/>
      <c r="C20" s="191"/>
      <c r="D20" s="191"/>
      <c r="E20" s="191"/>
      <c r="F20" s="191"/>
      <c r="G20" s="191"/>
      <c r="H20" s="191"/>
    </row>
    <row r="21" spans="1:8">
      <c r="A21" s="191"/>
      <c r="B21" s="191"/>
      <c r="C21" s="191"/>
      <c r="D21" s="191"/>
      <c r="E21" s="191"/>
      <c r="F21" s="191"/>
      <c r="G21" s="191"/>
      <c r="H21" s="191"/>
    </row>
    <row r="22" spans="1:8">
      <c r="A22" s="191"/>
      <c r="B22" s="191"/>
      <c r="C22" s="191"/>
      <c r="D22" s="233" t="s">
        <v>53</v>
      </c>
      <c r="E22" s="234"/>
      <c r="F22" s="234"/>
      <c r="G22" s="234"/>
      <c r="H22" s="234"/>
    </row>
    <row r="23" spans="1:8">
      <c r="A23" s="191"/>
      <c r="B23" s="191"/>
      <c r="C23" s="191"/>
      <c r="D23" s="191"/>
      <c r="E23" s="191"/>
      <c r="F23" s="191"/>
      <c r="G23" s="191"/>
      <c r="H23" s="191"/>
    </row>
    <row r="24" spans="1:8">
      <c r="A24" s="191"/>
      <c r="B24" s="191"/>
      <c r="C24" s="191"/>
      <c r="D24" s="191"/>
      <c r="E24" s="191"/>
      <c r="F24" s="191"/>
      <c r="G24" s="191"/>
      <c r="H24" s="191"/>
    </row>
    <row r="25" spans="1:8">
      <c r="A25" s="191"/>
      <c r="B25" s="191"/>
      <c r="C25" s="191"/>
      <c r="D25" s="191"/>
      <c r="E25" s="191"/>
      <c r="F25" s="191"/>
      <c r="G25" s="191"/>
      <c r="H25" s="191"/>
    </row>
    <row r="26" spans="1:8">
      <c r="A26" s="191"/>
      <c r="B26" s="191"/>
      <c r="C26" s="191"/>
      <c r="D26" s="191"/>
      <c r="E26" s="191"/>
      <c r="F26" s="191"/>
      <c r="G26" s="191"/>
      <c r="H26" s="191"/>
    </row>
    <row r="27" spans="1:8">
      <c r="A27" s="191"/>
      <c r="B27" s="191"/>
      <c r="C27" s="191"/>
      <c r="D27" s="191"/>
      <c r="E27" s="191"/>
      <c r="F27" s="191"/>
      <c r="G27" s="191"/>
      <c r="H27" s="191"/>
    </row>
    <row r="28" spans="1:8">
      <c r="A28" s="191"/>
      <c r="B28" s="191"/>
      <c r="C28" s="191"/>
      <c r="D28" s="191"/>
      <c r="E28" s="191"/>
      <c r="F28" s="191"/>
      <c r="G28" s="191"/>
      <c r="H28" s="191"/>
    </row>
    <row r="29" spans="1:8">
      <c r="A29" s="191"/>
      <c r="B29" s="191"/>
      <c r="C29" s="191"/>
      <c r="D29" s="191"/>
      <c r="E29" s="191"/>
      <c r="F29" s="191"/>
      <c r="G29" s="191"/>
      <c r="H29" s="191"/>
    </row>
    <row r="30" spans="1:8">
      <c r="A30" s="191"/>
      <c r="B30" s="191"/>
      <c r="C30" s="191"/>
      <c r="D30" s="191"/>
      <c r="E30" s="191"/>
      <c r="F30" s="191"/>
      <c r="G30" s="191"/>
      <c r="H30" s="191"/>
    </row>
    <row r="31" spans="1:8">
      <c r="A31" s="191"/>
      <c r="B31" s="191"/>
      <c r="C31" s="191"/>
      <c r="D31" s="191"/>
      <c r="E31" s="191"/>
      <c r="F31" s="191"/>
      <c r="G31" s="191"/>
      <c r="H31" s="191"/>
    </row>
    <row r="32" spans="1:8">
      <c r="A32" s="191"/>
      <c r="B32" s="191"/>
      <c r="C32" s="191"/>
      <c r="D32" s="191"/>
      <c r="E32" s="191"/>
      <c r="F32" s="191"/>
      <c r="G32" s="191"/>
      <c r="H32" s="191"/>
    </row>
    <row r="33" spans="1:8">
      <c r="A33" s="191"/>
      <c r="B33" s="191"/>
      <c r="C33" s="191"/>
      <c r="D33" s="191"/>
      <c r="E33" s="191"/>
      <c r="F33" s="191"/>
      <c r="G33" s="191"/>
      <c r="H33" s="191"/>
    </row>
    <row r="34" spans="1:8">
      <c r="A34" s="191"/>
      <c r="B34" s="191"/>
      <c r="C34" s="191"/>
      <c r="D34" s="191"/>
      <c r="E34" s="191"/>
      <c r="F34" s="191"/>
      <c r="G34" s="191"/>
      <c r="H34" s="191"/>
    </row>
    <row r="35" spans="1:8">
      <c r="A35" s="191"/>
      <c r="B35" s="191"/>
      <c r="C35" s="191"/>
      <c r="D35" s="191"/>
      <c r="E35" s="191"/>
      <c r="F35" s="191"/>
      <c r="G35" s="191"/>
      <c r="H35" s="191"/>
    </row>
    <row r="36" spans="1:8">
      <c r="A36" s="191"/>
      <c r="B36" s="191" t="s">
        <v>54</v>
      </c>
      <c r="C36" s="191"/>
      <c r="D36" s="191"/>
      <c r="E36" s="191"/>
      <c r="F36" s="191"/>
      <c r="G36" s="191"/>
      <c r="H36" s="191"/>
    </row>
    <row r="37" spans="1:8">
      <c r="A37" s="191"/>
      <c r="B37" s="191"/>
      <c r="C37" s="191"/>
      <c r="D37" s="191"/>
      <c r="E37" s="191"/>
      <c r="F37" s="191"/>
      <c r="G37" s="191"/>
      <c r="H37" s="191"/>
    </row>
    <row r="38" spans="1:8">
      <c r="A38" s="191"/>
      <c r="B38" s="191"/>
      <c r="C38" s="191"/>
      <c r="D38" s="191"/>
      <c r="E38" s="191"/>
      <c r="F38" s="191"/>
      <c r="G38" s="191"/>
      <c r="H38" s="191"/>
    </row>
    <row r="39" spans="1:8" ht="18" customHeight="1">
      <c r="A39" s="191"/>
      <c r="B39" s="191"/>
      <c r="C39" s="191"/>
      <c r="D39" s="191"/>
      <c r="E39" s="191"/>
      <c r="F39" s="191"/>
      <c r="G39" s="191"/>
      <c r="H39" s="191"/>
    </row>
    <row r="40" spans="1:8">
      <c r="A40" s="191"/>
      <c r="B40" s="191"/>
      <c r="C40" s="191"/>
      <c r="D40" s="191"/>
      <c r="E40" s="191"/>
      <c r="F40" s="191"/>
      <c r="G40" s="191"/>
      <c r="H40" s="191"/>
    </row>
    <row r="41" spans="1:8">
      <c r="A41" s="191"/>
      <c r="B41" s="191"/>
      <c r="C41" s="191"/>
      <c r="D41" s="191"/>
      <c r="E41" s="191"/>
      <c r="F41" s="191"/>
      <c r="G41" s="191"/>
      <c r="H41" s="191"/>
    </row>
    <row r="42" spans="1:8">
      <c r="A42" s="191"/>
      <c r="B42" s="191"/>
      <c r="C42" s="191"/>
      <c r="D42" s="191"/>
      <c r="E42" s="191"/>
      <c r="F42" s="191"/>
      <c r="G42" s="191"/>
      <c r="H42" s="191"/>
    </row>
    <row r="43" spans="1:8">
      <c r="A43" s="191"/>
      <c r="B43" s="191"/>
      <c r="C43" s="191"/>
      <c r="D43" s="191"/>
      <c r="E43" s="191"/>
      <c r="F43" s="191"/>
      <c r="G43" s="191"/>
      <c r="H43" s="191"/>
    </row>
    <row r="44" spans="1:8">
      <c r="A44" s="191"/>
      <c r="B44" s="191"/>
      <c r="C44" s="191"/>
      <c r="D44" s="191"/>
      <c r="E44" s="191"/>
      <c r="F44" s="191"/>
      <c r="G44" s="191"/>
      <c r="H44" s="191"/>
    </row>
    <row r="45" spans="1:8">
      <c r="A45" s="191"/>
      <c r="B45" s="191"/>
      <c r="C45" s="191"/>
      <c r="D45" s="191"/>
      <c r="E45" s="191"/>
      <c r="F45" s="191"/>
      <c r="G45" s="191"/>
      <c r="H45" s="191"/>
    </row>
    <row r="46" spans="1:8">
      <c r="A46" s="191"/>
      <c r="B46" s="191"/>
      <c r="C46" s="191"/>
      <c r="D46" s="191"/>
      <c r="E46" s="191"/>
      <c r="F46" s="191"/>
      <c r="G46" s="191"/>
      <c r="H46" s="191"/>
    </row>
    <row r="47" spans="1:8">
      <c r="A47" s="191"/>
      <c r="B47" s="191"/>
      <c r="C47" s="191"/>
      <c r="D47" s="191"/>
      <c r="E47" s="191"/>
      <c r="F47" s="191"/>
      <c r="G47" s="191"/>
      <c r="H47" s="191"/>
    </row>
    <row r="48" spans="1:8">
      <c r="A48" s="191"/>
      <c r="B48" s="191"/>
      <c r="C48" s="191"/>
      <c r="D48" s="191"/>
      <c r="E48" s="191"/>
      <c r="F48" s="191"/>
      <c r="G48" s="191"/>
      <c r="H48" s="191"/>
    </row>
    <row r="49" spans="1:8">
      <c r="A49" s="191"/>
      <c r="B49" s="191"/>
      <c r="C49" s="191"/>
      <c r="D49" s="191"/>
      <c r="E49" s="191"/>
      <c r="F49" s="191"/>
      <c r="G49" s="191"/>
      <c r="H49" s="191"/>
    </row>
    <row r="50" spans="1:8">
      <c r="A50" s="191"/>
      <c r="B50" s="191"/>
      <c r="C50" s="191"/>
      <c r="D50" s="191"/>
      <c r="E50" s="191"/>
      <c r="F50" s="191"/>
      <c r="G50" s="191"/>
      <c r="H50" s="191"/>
    </row>
    <row r="51" spans="1:8">
      <c r="A51" s="191"/>
      <c r="B51" s="191"/>
      <c r="C51" s="191"/>
      <c r="D51" s="191"/>
      <c r="E51" s="191"/>
      <c r="F51" s="191"/>
      <c r="G51" s="191"/>
      <c r="H51" s="191"/>
    </row>
    <row r="52" spans="1:8">
      <c r="A52" s="191"/>
      <c r="B52" s="191"/>
      <c r="C52" s="191"/>
      <c r="D52" s="191"/>
      <c r="E52" s="191"/>
      <c r="F52" s="191"/>
      <c r="G52" s="191"/>
      <c r="H52" s="191"/>
    </row>
    <row r="53" spans="1:8">
      <c r="A53" s="191"/>
      <c r="B53" s="191"/>
      <c r="C53" s="191"/>
      <c r="D53" s="191"/>
      <c r="E53" s="191"/>
      <c r="F53" s="191"/>
      <c r="G53" s="191"/>
      <c r="H53" s="191"/>
    </row>
    <row r="54" spans="1:8">
      <c r="A54" s="191"/>
      <c r="B54" s="191"/>
      <c r="C54" s="191"/>
      <c r="D54" s="191"/>
      <c r="E54" s="191"/>
      <c r="F54" s="191"/>
      <c r="G54" s="191"/>
      <c r="H54" s="191"/>
    </row>
    <row r="55" spans="1:8">
      <c r="A55" s="191"/>
      <c r="B55" s="191"/>
      <c r="C55" s="191"/>
      <c r="D55" s="191"/>
      <c r="E55" s="191"/>
      <c r="F55" s="191"/>
      <c r="G55" s="191"/>
      <c r="H55" s="191"/>
    </row>
    <row r="56" spans="1:8">
      <c r="A56" s="191"/>
      <c r="B56" s="191"/>
      <c r="C56" s="191"/>
      <c r="D56" s="191"/>
      <c r="E56" s="191"/>
      <c r="F56" s="191"/>
      <c r="G56" s="191"/>
      <c r="H56" s="191"/>
    </row>
    <row r="57" spans="1:8">
      <c r="A57" s="191"/>
      <c r="B57" s="191"/>
      <c r="C57" s="191"/>
      <c r="D57" s="191"/>
      <c r="E57" s="191"/>
      <c r="F57" s="191"/>
      <c r="G57" s="191"/>
      <c r="H57" s="191"/>
    </row>
    <row r="58" spans="1:8">
      <c r="A58" s="191"/>
      <c r="B58" s="191"/>
      <c r="C58" s="191"/>
      <c r="D58" s="191"/>
      <c r="E58" s="191"/>
      <c r="F58" s="191"/>
      <c r="G58" s="191"/>
      <c r="H58" s="191"/>
    </row>
    <row r="59" spans="1:8">
      <c r="A59" s="191"/>
      <c r="B59" s="191"/>
      <c r="C59" s="191"/>
      <c r="D59" s="191"/>
      <c r="E59" s="191"/>
      <c r="F59" s="191"/>
      <c r="G59" s="191"/>
      <c r="H59" s="191"/>
    </row>
    <row r="60" spans="1:8">
      <c r="A60" s="191"/>
      <c r="B60" s="191"/>
      <c r="C60" s="191"/>
      <c r="D60" s="191"/>
      <c r="E60" s="191"/>
      <c r="F60" s="191"/>
      <c r="G60" s="191"/>
      <c r="H60" s="191"/>
    </row>
    <row r="61" spans="1:8">
      <c r="A61" s="191"/>
      <c r="B61" s="191" t="s">
        <v>56</v>
      </c>
      <c r="C61" s="191"/>
      <c r="D61" s="191"/>
      <c r="E61" s="191"/>
      <c r="F61" s="191"/>
      <c r="G61" s="191"/>
      <c r="H61" s="191"/>
    </row>
  </sheetData>
  <mergeCells count="1">
    <mergeCell ref="D22:H2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workbookViewId="0"/>
  </sheetViews>
  <sheetFormatPr defaultColWidth="17.28515625" defaultRowHeight="15" customHeight="1"/>
  <cols>
    <col min="1" max="1" width="34.42578125" customWidth="1"/>
    <col min="2" max="2" width="16" customWidth="1"/>
    <col min="3" max="8" width="12.7109375" customWidth="1"/>
    <col min="9" max="9" width="21" customWidth="1"/>
    <col min="10" max="10" width="18.7109375" customWidth="1"/>
    <col min="11" max="13" width="8.85546875" customWidth="1"/>
  </cols>
  <sheetData>
    <row r="1" spans="1:10">
      <c r="A1" s="23"/>
      <c r="B1" s="24"/>
      <c r="C1" s="24"/>
      <c r="D1" s="24"/>
      <c r="E1" s="24"/>
      <c r="F1" s="24"/>
      <c r="G1" s="24"/>
      <c r="H1" s="24"/>
      <c r="I1" s="25"/>
      <c r="J1" s="25"/>
    </row>
    <row r="2" spans="1:10">
      <c r="A2" s="23"/>
      <c r="B2" s="24"/>
      <c r="C2" s="24"/>
      <c r="D2" s="24"/>
      <c r="E2" s="24"/>
      <c r="F2" s="24"/>
      <c r="G2" s="24"/>
      <c r="H2" s="24"/>
      <c r="I2" s="25"/>
      <c r="J2" s="25"/>
    </row>
    <row r="3" spans="1:10" ht="30" customHeight="1">
      <c r="A3" s="23" t="s">
        <v>29</v>
      </c>
      <c r="B3" s="30">
        <f>Summary!C31</f>
        <v>693.5</v>
      </c>
      <c r="C3" s="31"/>
      <c r="D3" s="31"/>
      <c r="E3" s="31"/>
      <c r="F3" s="31"/>
      <c r="G3" s="31"/>
      <c r="H3" s="31"/>
      <c r="I3" s="25"/>
      <c r="J3" s="25"/>
    </row>
    <row r="4" spans="1:10" ht="30" customHeight="1">
      <c r="A4" s="23" t="s">
        <v>38</v>
      </c>
      <c r="B4" s="39">
        <v>20</v>
      </c>
      <c r="C4" s="39" t="s">
        <v>60</v>
      </c>
      <c r="D4" s="39" t="s">
        <v>61</v>
      </c>
      <c r="E4" s="39"/>
      <c r="F4" s="39"/>
      <c r="G4" s="24"/>
      <c r="H4" s="24"/>
      <c r="I4" s="25"/>
      <c r="J4" s="25"/>
    </row>
    <row r="5" spans="1:10">
      <c r="A5" s="23" t="s">
        <v>62</v>
      </c>
      <c r="B5" s="40">
        <f>B4*B3*1000000</f>
        <v>13870000000</v>
      </c>
      <c r="C5" s="40"/>
      <c r="D5" s="40"/>
      <c r="E5" s="40"/>
      <c r="F5" s="40"/>
      <c r="G5" s="24"/>
      <c r="H5" s="24"/>
      <c r="I5" s="25"/>
      <c r="J5" s="25"/>
    </row>
    <row r="6" spans="1:10" ht="30" customHeight="1">
      <c r="A6" s="23" t="s">
        <v>65</v>
      </c>
      <c r="B6" s="39">
        <v>0.05</v>
      </c>
      <c r="C6" s="39"/>
      <c r="D6" s="39"/>
      <c r="E6" s="39"/>
      <c r="F6" s="39"/>
      <c r="G6" s="24"/>
      <c r="H6" s="24"/>
      <c r="I6" s="25"/>
      <c r="J6" s="25"/>
    </row>
    <row r="7" spans="1:10" ht="30" customHeight="1">
      <c r="A7" s="23" t="s">
        <v>66</v>
      </c>
      <c r="B7" s="24"/>
      <c r="C7" s="24"/>
      <c r="D7" s="24"/>
      <c r="E7" s="24"/>
      <c r="F7" s="24"/>
      <c r="G7" s="24"/>
      <c r="H7" s="24"/>
      <c r="I7" s="25"/>
      <c r="J7" s="25"/>
    </row>
    <row r="8" spans="1:10" ht="30" customHeight="1">
      <c r="A8" s="45" t="s">
        <v>67</v>
      </c>
      <c r="B8" s="24">
        <v>4</v>
      </c>
      <c r="C8" s="24"/>
      <c r="D8" s="24"/>
      <c r="E8" s="24"/>
      <c r="F8" s="24"/>
      <c r="G8" s="39"/>
      <c r="H8" s="24"/>
      <c r="I8" s="25"/>
      <c r="J8" s="25"/>
    </row>
    <row r="9" spans="1:10" ht="30" customHeight="1">
      <c r="A9" s="45" t="s">
        <v>73</v>
      </c>
      <c r="B9" s="30">
        <f>Summary!C16</f>
        <v>5</v>
      </c>
      <c r="C9" s="24"/>
      <c r="D9" s="24"/>
      <c r="E9" s="24"/>
      <c r="F9" s="24"/>
      <c r="G9" s="24"/>
      <c r="H9" s="24"/>
      <c r="I9" s="25"/>
      <c r="J9" s="25"/>
    </row>
    <row r="10" spans="1:10">
      <c r="A10" s="45" t="s">
        <v>74</v>
      </c>
      <c r="B10" s="50">
        <f>B9*1000000*B8</f>
        <v>20000000</v>
      </c>
      <c r="C10" s="50"/>
      <c r="D10" s="50"/>
      <c r="E10" s="50"/>
      <c r="F10" s="50"/>
      <c r="G10" s="31"/>
      <c r="H10" s="31"/>
      <c r="I10" s="25"/>
      <c r="J10" s="25"/>
    </row>
    <row r="11" spans="1:10" ht="30" customHeight="1">
      <c r="A11" s="45" t="s">
        <v>87</v>
      </c>
      <c r="B11" s="30">
        <f>B5/B10</f>
        <v>693.5</v>
      </c>
      <c r="C11" s="31"/>
      <c r="D11" s="31"/>
      <c r="E11" s="31"/>
      <c r="F11" s="31"/>
      <c r="G11" s="31"/>
      <c r="H11" s="31"/>
      <c r="I11" s="25"/>
      <c r="J11" s="25"/>
    </row>
    <row r="12" spans="1:10" ht="45" customHeight="1">
      <c r="A12" s="45" t="s">
        <v>88</v>
      </c>
      <c r="B12" s="57">
        <v>1000</v>
      </c>
      <c r="C12" s="31"/>
      <c r="D12" s="31"/>
      <c r="E12" s="31"/>
      <c r="F12" s="31"/>
      <c r="G12" s="31"/>
      <c r="H12" s="31"/>
      <c r="I12" s="25"/>
      <c r="J12" s="25"/>
    </row>
    <row r="13" spans="1:10" ht="60" customHeight="1">
      <c r="A13" s="68" t="s">
        <v>158</v>
      </c>
      <c r="B13" s="23" t="s">
        <v>172</v>
      </c>
      <c r="C13" s="23" t="s">
        <v>173</v>
      </c>
      <c r="D13" s="23" t="s">
        <v>174</v>
      </c>
      <c r="E13" s="23" t="s">
        <v>175</v>
      </c>
      <c r="F13" s="23" t="s">
        <v>176</v>
      </c>
      <c r="G13" s="23" t="s">
        <v>177</v>
      </c>
      <c r="H13" s="23" t="s">
        <v>178</v>
      </c>
      <c r="I13" s="23" t="s">
        <v>179</v>
      </c>
      <c r="J13" s="23" t="s">
        <v>180</v>
      </c>
    </row>
    <row r="14" spans="1:10">
      <c r="A14" s="25">
        <v>1</v>
      </c>
      <c r="B14" s="30">
        <f>D14</f>
        <v>693.5</v>
      </c>
      <c r="C14" s="78">
        <f t="shared" ref="C14:C67" si="0">G14/H14</f>
        <v>0</v>
      </c>
      <c r="D14" s="80">
        <f>J14/B$10</f>
        <v>693.5</v>
      </c>
      <c r="E14" s="82">
        <f t="shared" ref="E14:E67" si="1">D14*B$12/1000000</f>
        <v>0.69350000000000001</v>
      </c>
      <c r="F14" s="83">
        <f>B14/Summary!C$23</f>
        <v>9.8930099857346653E-3</v>
      </c>
      <c r="G14" s="84">
        <v>0</v>
      </c>
      <c r="H14" s="84">
        <f>Summary!C34</f>
        <v>347.92166666666662</v>
      </c>
      <c r="I14" s="85"/>
      <c r="J14" s="86">
        <f t="shared" ref="J14:J67" si="2">B$5+I14</f>
        <v>13870000000</v>
      </c>
    </row>
    <row r="15" spans="1:10">
      <c r="A15" s="89">
        <f t="shared" ref="A15:A67" si="3">A14+1</f>
        <v>2</v>
      </c>
      <c r="B15" s="30">
        <f t="shared" ref="B15:B67" si="4">B14+D15</f>
        <v>1417.5</v>
      </c>
      <c r="C15" s="78">
        <f t="shared" si="0"/>
        <v>1.270703529117796E-2</v>
      </c>
      <c r="D15" s="85">
        <f t="shared" ref="D15:D67" si="5">ROUNDDOWN(J15/B$10,0)</f>
        <v>724</v>
      </c>
      <c r="E15" s="82">
        <f t="shared" si="1"/>
        <v>0.72399999999999998</v>
      </c>
      <c r="F15" s="83">
        <f>B15/Summary!C$23</f>
        <v>2.0221112696148361E-2</v>
      </c>
      <c r="G15" s="84">
        <f>G14+('development plan (Wind)'!B14/Summary!C$23)*Summary!C$27</f>
        <v>8.8421057937975753</v>
      </c>
      <c r="H15" s="84">
        <f t="shared" ref="H15:H67" si="6">H14+H$14</f>
        <v>695.84333333333325</v>
      </c>
      <c r="I15" s="86">
        <f>B14*Summary!C$16*Summary!C$17*24*375*1000*B$6</f>
        <v>624150000</v>
      </c>
      <c r="J15" s="86">
        <f t="shared" si="2"/>
        <v>14494150000</v>
      </c>
    </row>
    <row r="16" spans="1:10">
      <c r="A16" s="89">
        <f t="shared" si="3"/>
        <v>3</v>
      </c>
      <c r="B16" s="30">
        <f t="shared" si="4"/>
        <v>2174.5</v>
      </c>
      <c r="C16" s="78">
        <f t="shared" si="0"/>
        <v>2.5786639269095579E-2</v>
      </c>
      <c r="D16" s="85">
        <f t="shared" si="5"/>
        <v>757</v>
      </c>
      <c r="E16" s="82">
        <f t="shared" si="1"/>
        <v>0.75700000000000001</v>
      </c>
      <c r="F16" s="83">
        <f>B16/Summary!C$23</f>
        <v>3.101997146932953E-2</v>
      </c>
      <c r="G16" s="84">
        <f>G15+('development plan (Wind)'!B15/Summary!C$23)*Summary!C$27</f>
        <v>26.915191536707542</v>
      </c>
      <c r="H16" s="84">
        <f t="shared" si="6"/>
        <v>1043.7649999999999</v>
      </c>
      <c r="I16" s="86">
        <f>B15*Summary!C$16*Summary!C$17*24*375*1000*B$6</f>
        <v>1275750000</v>
      </c>
      <c r="J16" s="86">
        <f t="shared" si="2"/>
        <v>15145750000</v>
      </c>
    </row>
    <row r="17" spans="1:10">
      <c r="A17" s="89">
        <f t="shared" si="3"/>
        <v>4</v>
      </c>
      <c r="B17" s="30">
        <f t="shared" si="4"/>
        <v>2965.5</v>
      </c>
      <c r="C17" s="78">
        <f t="shared" si="0"/>
        <v>3.9261715746462256E-2</v>
      </c>
      <c r="D17" s="85">
        <f t="shared" si="5"/>
        <v>791</v>
      </c>
      <c r="E17" s="82">
        <f t="shared" si="1"/>
        <v>0.79100000000000004</v>
      </c>
      <c r="F17" s="83">
        <f>B17/Summary!C$23</f>
        <v>4.2303851640513555E-2</v>
      </c>
      <c r="G17" s="84">
        <f>G16+('development plan (Wind)'!B16/Summary!C$23)*Summary!C$27</f>
        <v>54.640006314808232</v>
      </c>
      <c r="H17" s="84">
        <f t="shared" si="6"/>
        <v>1391.6866666666665</v>
      </c>
      <c r="I17" s="86">
        <f>B16*Summary!C$16*Summary!C$17*24*375*1000*B$6</f>
        <v>1957050000</v>
      </c>
      <c r="J17" s="86">
        <f t="shared" si="2"/>
        <v>15827050000</v>
      </c>
    </row>
    <row r="18" spans="1:10">
      <c r="A18" s="89">
        <f t="shared" si="3"/>
        <v>5</v>
      </c>
      <c r="B18" s="30">
        <f t="shared" si="4"/>
        <v>3791.5</v>
      </c>
      <c r="C18" s="78">
        <f t="shared" si="0"/>
        <v>5.3144174705886886E-2</v>
      </c>
      <c r="D18" s="85">
        <f t="shared" si="5"/>
        <v>826</v>
      </c>
      <c r="E18" s="82">
        <f t="shared" si="1"/>
        <v>0.82599999999999996</v>
      </c>
      <c r="F18" s="83">
        <f>B18/Summary!C$23</f>
        <v>5.4087018544935805E-2</v>
      </c>
      <c r="G18" s="84">
        <f>G17+('development plan (Wind)'!B17/Summary!C$23)*Summary!C$27</f>
        <v>92.450049186483369</v>
      </c>
      <c r="H18" s="84">
        <f t="shared" si="6"/>
        <v>1739.6083333333331</v>
      </c>
      <c r="I18" s="86">
        <f>B17*Summary!C$16*Summary!C$17*24*375*1000*B$6</f>
        <v>2668950000</v>
      </c>
      <c r="J18" s="86">
        <f t="shared" si="2"/>
        <v>16538950000</v>
      </c>
    </row>
    <row r="19" spans="1:10">
      <c r="A19" s="89">
        <f t="shared" si="3"/>
        <v>6</v>
      </c>
      <c r="B19" s="30">
        <f t="shared" si="4"/>
        <v>4655.5</v>
      </c>
      <c r="C19" s="78">
        <f t="shared" si="0"/>
        <v>6.7444093824961623E-2</v>
      </c>
      <c r="D19" s="85">
        <f t="shared" si="5"/>
        <v>864</v>
      </c>
      <c r="E19" s="82">
        <f t="shared" si="1"/>
        <v>0.86399999999999999</v>
      </c>
      <c r="F19" s="83">
        <f>B19/Summary!C$23</f>
        <v>6.6412268188302426E-2</v>
      </c>
      <c r="G19" s="84">
        <f>G18+('development plan (Wind)'!B18/Summary!C$23)*Summary!C$27</f>
        <v>140.79156918242211</v>
      </c>
      <c r="H19" s="84">
        <f t="shared" si="6"/>
        <v>2087.5299999999997</v>
      </c>
      <c r="I19" s="86">
        <f>B18*Summary!C$16*Summary!C$17*24*375*1000*B$6</f>
        <v>3412350000</v>
      </c>
      <c r="J19" s="86">
        <f t="shared" si="2"/>
        <v>17282350000</v>
      </c>
    </row>
    <row r="20" spans="1:10">
      <c r="A20" s="89">
        <f t="shared" si="3"/>
        <v>7</v>
      </c>
      <c r="B20" s="30">
        <f t="shared" si="4"/>
        <v>5557.5</v>
      </c>
      <c r="C20" s="78">
        <f t="shared" si="0"/>
        <v>8.2181497579940935E-2</v>
      </c>
      <c r="D20" s="85">
        <f t="shared" si="5"/>
        <v>902</v>
      </c>
      <c r="E20" s="82">
        <f t="shared" si="1"/>
        <v>0.90200000000000002</v>
      </c>
      <c r="F20" s="83">
        <f>B20/Summary!C$23</f>
        <v>7.9279600570613409E-2</v>
      </c>
      <c r="G20" s="84">
        <f>G19+('development plan (Wind)'!B19/Summary!C$23)*Summary!C$27</f>
        <v>200.14906525022977</v>
      </c>
      <c r="H20" s="84">
        <f t="shared" si="6"/>
        <v>2435.4516666666664</v>
      </c>
      <c r="I20" s="86">
        <f>B19*Summary!C$16*Summary!C$17*24*375*1000*B$6</f>
        <v>4189950000</v>
      </c>
      <c r="J20" s="86">
        <f t="shared" si="2"/>
        <v>18059950000</v>
      </c>
    </row>
    <row r="21" spans="1:10">
      <c r="A21" s="89">
        <f t="shared" si="3"/>
        <v>8</v>
      </c>
      <c r="B21" s="30">
        <f t="shared" si="4"/>
        <v>6500.5</v>
      </c>
      <c r="C21" s="78">
        <f t="shared" si="0"/>
        <v>9.7366398208952112E-2</v>
      </c>
      <c r="D21" s="85">
        <f t="shared" si="5"/>
        <v>943</v>
      </c>
      <c r="E21" s="82">
        <f t="shared" si="1"/>
        <v>0.94299999999999995</v>
      </c>
      <c r="F21" s="83">
        <f>B21/Summary!C$23</f>
        <v>9.2731811697574898E-2</v>
      </c>
      <c r="G21" s="84">
        <f>G20+('development plan (Wind)'!B20/Summary!C$23)*Summary!C$27</f>
        <v>271.00703633751169</v>
      </c>
      <c r="H21" s="84">
        <f t="shared" si="6"/>
        <v>2783.373333333333</v>
      </c>
      <c r="I21" s="86">
        <f>B20*Summary!C$16*Summary!C$17*24*375*1000*B$6</f>
        <v>5001750000</v>
      </c>
      <c r="J21" s="86">
        <f t="shared" si="2"/>
        <v>18871750000</v>
      </c>
    </row>
    <row r="22" spans="1:10">
      <c r="A22" s="89">
        <f t="shared" si="3"/>
        <v>9</v>
      </c>
      <c r="B22" s="30">
        <f t="shared" si="4"/>
        <v>7486.5</v>
      </c>
      <c r="C22" s="78">
        <f t="shared" si="0"/>
        <v>0.11301657343328864</v>
      </c>
      <c r="D22" s="85">
        <f t="shared" si="5"/>
        <v>986</v>
      </c>
      <c r="E22" s="82">
        <f t="shared" si="1"/>
        <v>0.98599999999999999</v>
      </c>
      <c r="F22" s="83">
        <f>B22/Summary!C$23</f>
        <v>0.10679743223965764</v>
      </c>
      <c r="G22" s="84">
        <f>G21+('development plan (Wind)'!B21/Summary!C$23)*Summary!C$27</f>
        <v>353.8882313087895</v>
      </c>
      <c r="H22" s="84">
        <f t="shared" si="6"/>
        <v>3131.2949999999996</v>
      </c>
      <c r="I22" s="86">
        <f>B21*Summary!C$16*Summary!C$17*24*375*1000*B$6</f>
        <v>5850450000</v>
      </c>
      <c r="J22" s="86">
        <f t="shared" si="2"/>
        <v>19720450000</v>
      </c>
    </row>
    <row r="23" spans="1:10">
      <c r="A23" s="89">
        <f t="shared" si="3"/>
        <v>10</v>
      </c>
      <c r="B23" s="30">
        <f t="shared" si="4"/>
        <v>8516.5</v>
      </c>
      <c r="C23" s="78">
        <f t="shared" si="0"/>
        <v>0.1291500191057936</v>
      </c>
      <c r="D23" s="85">
        <f t="shared" si="5"/>
        <v>1030</v>
      </c>
      <c r="E23" s="82">
        <f t="shared" si="1"/>
        <v>1.03</v>
      </c>
      <c r="F23" s="83">
        <f>B23/Summary!C$23</f>
        <v>0.121490727532097</v>
      </c>
      <c r="G23" s="84">
        <f>G22+('development plan (Wind)'!B22/Summary!C$23)*Summary!C$27</f>
        <v>449.34089897319546</v>
      </c>
      <c r="H23" s="84">
        <f t="shared" si="6"/>
        <v>3479.2166666666662</v>
      </c>
      <c r="I23" s="86">
        <f>B22*Summary!C$16*Summary!C$17*24*375*1000*B$6</f>
        <v>6737850000</v>
      </c>
      <c r="J23" s="86">
        <f t="shared" si="2"/>
        <v>20607850000</v>
      </c>
    </row>
    <row r="24" spans="1:10">
      <c r="A24" s="89">
        <f t="shared" si="3"/>
        <v>11</v>
      </c>
      <c r="B24" s="30">
        <f t="shared" si="4"/>
        <v>9592.5</v>
      </c>
      <c r="C24" s="78">
        <f t="shared" si="0"/>
        <v>0.14578151859648852</v>
      </c>
      <c r="D24" s="85">
        <f t="shared" si="5"/>
        <v>1076</v>
      </c>
      <c r="E24" s="82">
        <f t="shared" si="1"/>
        <v>1.0760000000000001</v>
      </c>
      <c r="F24" s="83">
        <f>B24/Summary!C$23</f>
        <v>0.13684022824536377</v>
      </c>
      <c r="G24" s="84">
        <f>G23+('development plan (Wind)'!B23/Summary!C$23)*Summary!C$27</f>
        <v>557.92603811216736</v>
      </c>
      <c r="H24" s="84">
        <f t="shared" si="6"/>
        <v>3827.1383333333329</v>
      </c>
      <c r="I24" s="86">
        <f>B23*Summary!C$16*Summary!C$17*24*375*1000*B$6</f>
        <v>7664850000</v>
      </c>
      <c r="J24" s="86">
        <f t="shared" si="2"/>
        <v>21534850000</v>
      </c>
    </row>
    <row r="25" spans="1:10">
      <c r="A25" s="89">
        <f t="shared" si="3"/>
        <v>12</v>
      </c>
      <c r="B25" s="30">
        <f t="shared" si="4"/>
        <v>10717.5</v>
      </c>
      <c r="C25" s="78">
        <f t="shared" si="0"/>
        <v>0.16292703516877696</v>
      </c>
      <c r="D25" s="85">
        <f t="shared" si="5"/>
        <v>1125</v>
      </c>
      <c r="E25" s="82">
        <f t="shared" si="1"/>
        <v>1.125</v>
      </c>
      <c r="F25" s="83">
        <f>B25/Summary!C$23</f>
        <v>0.15288873038516404</v>
      </c>
      <c r="G25" s="84">
        <f>G24+('development plan (Wind)'!B24/Summary!C$23)*Summary!C$27</f>
        <v>680.23014745175385</v>
      </c>
      <c r="H25" s="84">
        <f t="shared" si="6"/>
        <v>4175.0599999999995</v>
      </c>
      <c r="I25" s="86">
        <f>B24*Summary!C$16*Summary!C$17*24*375*1000*B$6</f>
        <v>8633250000</v>
      </c>
      <c r="J25" s="86">
        <f t="shared" si="2"/>
        <v>22503250000</v>
      </c>
    </row>
    <row r="26" spans="1:10">
      <c r="A26" s="89">
        <f t="shared" si="3"/>
        <v>13</v>
      </c>
      <c r="B26" s="30">
        <f t="shared" si="4"/>
        <v>11892.5</v>
      </c>
      <c r="C26" s="78">
        <f t="shared" si="0"/>
        <v>0.18060607710509249</v>
      </c>
      <c r="D26" s="85">
        <f t="shared" si="5"/>
        <v>1175</v>
      </c>
      <c r="E26" s="82">
        <f t="shared" si="1"/>
        <v>1.175</v>
      </c>
      <c r="F26" s="83">
        <f>B26/Summary!C$23</f>
        <v>0.16965049928673323</v>
      </c>
      <c r="G26" s="84">
        <f>G25+('development plan (Wind)'!B25/Summary!C$23)*Summary!C$27</f>
        <v>816.87797563491972</v>
      </c>
      <c r="H26" s="84">
        <f t="shared" si="6"/>
        <v>4522.9816666666666</v>
      </c>
      <c r="I26" s="86">
        <f>B25*Summary!C$16*Summary!C$17*24*375*1000*B$6</f>
        <v>9645750000</v>
      </c>
      <c r="J26" s="86">
        <f t="shared" si="2"/>
        <v>23515750000</v>
      </c>
    </row>
    <row r="27" spans="1:10">
      <c r="A27" s="89">
        <f t="shared" si="3"/>
        <v>14</v>
      </c>
      <c r="B27" s="30">
        <f t="shared" si="4"/>
        <v>13120.5</v>
      </c>
      <c r="C27" s="78">
        <f t="shared" si="0"/>
        <v>0.19883519647148307</v>
      </c>
      <c r="D27" s="85">
        <f t="shared" si="5"/>
        <v>1228</v>
      </c>
      <c r="E27" s="82">
        <f t="shared" si="1"/>
        <v>1.228</v>
      </c>
      <c r="F27" s="83">
        <f>B27/Summary!C$23</f>
        <v>0.18716833095577745</v>
      </c>
      <c r="G27" s="84">
        <f>G26+('development plan (Wind)'!B26/Summary!C$23)*Summary!C$27</f>
        <v>968.50702127693512</v>
      </c>
      <c r="H27" s="84">
        <f t="shared" si="6"/>
        <v>4870.9033333333336</v>
      </c>
      <c r="I27" s="86">
        <f>B26*Summary!C$16*Summary!C$17*24*375*1000*B$6</f>
        <v>10703250000</v>
      </c>
      <c r="J27" s="86">
        <f t="shared" si="2"/>
        <v>24573250000</v>
      </c>
    </row>
    <row r="28" spans="1:10">
      <c r="A28" s="89">
        <f t="shared" si="3"/>
        <v>15</v>
      </c>
      <c r="B28" s="30">
        <f t="shared" si="4"/>
        <v>14403.5</v>
      </c>
      <c r="C28" s="78">
        <f t="shared" si="0"/>
        <v>0.21763386066978413</v>
      </c>
      <c r="D28" s="85">
        <f t="shared" si="5"/>
        <v>1283</v>
      </c>
      <c r="E28" s="82">
        <f t="shared" si="1"/>
        <v>1.2829999999999999</v>
      </c>
      <c r="F28" s="83">
        <f>B28/Summary!C$23</f>
        <v>0.20547075606276746</v>
      </c>
      <c r="G28" s="84">
        <f>G27+('development plan (Wind)'!B27/Summary!C$23)*Summary!C$27</f>
        <v>1135.7930329099863</v>
      </c>
      <c r="H28" s="84">
        <f t="shared" si="6"/>
        <v>5218.8250000000007</v>
      </c>
      <c r="I28" s="86">
        <f>B27*Summary!C$16*Summary!C$17*24*375*1000*B$6</f>
        <v>11808450000</v>
      </c>
      <c r="J28" s="86">
        <f t="shared" si="2"/>
        <v>25678450000</v>
      </c>
    </row>
    <row r="29" spans="1:10">
      <c r="A29" s="89">
        <f t="shared" si="3"/>
        <v>16</v>
      </c>
      <c r="B29" s="30">
        <f t="shared" si="4"/>
        <v>15744.5</v>
      </c>
      <c r="C29" s="78">
        <f t="shared" si="0"/>
        <v>0.23702125101391427</v>
      </c>
      <c r="D29" s="85">
        <f t="shared" si="5"/>
        <v>1341</v>
      </c>
      <c r="E29" s="82">
        <f t="shared" si="1"/>
        <v>1.341</v>
      </c>
      <c r="F29" s="83">
        <f>B29/Summary!C$23</f>
        <v>0.22460057061340941</v>
      </c>
      <c r="G29" s="84">
        <f>G28+('development plan (Wind)'!B28/Summary!C$23)*Summary!C$27</f>
        <v>1319.4372590108708</v>
      </c>
      <c r="H29" s="84">
        <f t="shared" si="6"/>
        <v>5566.7466666666678</v>
      </c>
      <c r="I29" s="86">
        <f>B28*Summary!C$16*Summary!C$17*24*375*1000*B$6</f>
        <v>12963150000</v>
      </c>
      <c r="J29" s="86">
        <f t="shared" si="2"/>
        <v>26833150000</v>
      </c>
    </row>
    <row r="30" spans="1:10">
      <c r="A30" s="89">
        <f t="shared" si="3"/>
        <v>17</v>
      </c>
      <c r="B30" s="30">
        <f t="shared" si="4"/>
        <v>17146.5</v>
      </c>
      <c r="C30" s="78">
        <f t="shared" si="0"/>
        <v>0.25701850252634084</v>
      </c>
      <c r="D30" s="85">
        <f t="shared" si="5"/>
        <v>1402</v>
      </c>
      <c r="E30" s="82">
        <f t="shared" si="1"/>
        <v>1.4019999999999999</v>
      </c>
      <c r="F30" s="83">
        <f>B30/Summary!C$23</f>
        <v>0.24460057061340942</v>
      </c>
      <c r="G30" s="84">
        <f>G29+('development plan (Wind)'!B29/Summary!C$23)*Summary!C$27</f>
        <v>1520.1791979733018</v>
      </c>
      <c r="H30" s="84">
        <f t="shared" si="6"/>
        <v>5914.6683333333349</v>
      </c>
      <c r="I30" s="86">
        <f>B29*Summary!C$16*Summary!C$17*24*375*1000*B$6</f>
        <v>14170050000</v>
      </c>
      <c r="J30" s="86">
        <f t="shared" si="2"/>
        <v>28040050000</v>
      </c>
    </row>
    <row r="31" spans="1:10">
      <c r="A31" s="89">
        <f t="shared" si="3"/>
        <v>18</v>
      </c>
      <c r="B31" s="30">
        <f t="shared" si="4"/>
        <v>18611.5</v>
      </c>
      <c r="C31" s="78">
        <f t="shared" si="0"/>
        <v>0.27764816124126096</v>
      </c>
      <c r="D31" s="85">
        <f t="shared" si="5"/>
        <v>1465</v>
      </c>
      <c r="E31" s="82">
        <f t="shared" si="1"/>
        <v>1.4650000000000001</v>
      </c>
      <c r="F31" s="83">
        <f>B31/Summary!C$23</f>
        <v>0.26549928673323825</v>
      </c>
      <c r="G31" s="84">
        <f>G30+('development plan (Wind)'!B30/Summary!C$23)*Summary!C$27</f>
        <v>1738.7965981079092</v>
      </c>
      <c r="H31" s="84">
        <f t="shared" si="6"/>
        <v>6262.590000000002</v>
      </c>
      <c r="I31" s="86">
        <f>B30*Summary!C$16*Summary!C$17*24*375*1000*B$6</f>
        <v>15431850000</v>
      </c>
      <c r="J31" s="86">
        <f t="shared" si="2"/>
        <v>29301850000</v>
      </c>
    </row>
    <row r="32" spans="1:10">
      <c r="A32" s="89">
        <f t="shared" si="3"/>
        <v>19</v>
      </c>
      <c r="B32" s="30">
        <f t="shared" si="4"/>
        <v>20142.5</v>
      </c>
      <c r="C32" s="78">
        <f t="shared" si="0"/>
        <v>0.29893188414360244</v>
      </c>
      <c r="D32" s="85">
        <f t="shared" si="5"/>
        <v>1531</v>
      </c>
      <c r="E32" s="82">
        <f t="shared" si="1"/>
        <v>1.5309999999999999</v>
      </c>
      <c r="F32" s="83">
        <f>B32/Summary!C$23</f>
        <v>0.287339514978602</v>
      </c>
      <c r="G32" s="84">
        <f>G31+('development plan (Wind)'!B31/Summary!C$23)*Summary!C$27</f>
        <v>1976.0927076699331</v>
      </c>
      <c r="H32" s="84">
        <f t="shared" si="6"/>
        <v>6610.511666666669</v>
      </c>
      <c r="I32" s="86">
        <f>B31*Summary!C$16*Summary!C$17*24*375*1000*B$6</f>
        <v>16750350000</v>
      </c>
      <c r="J32" s="86">
        <f t="shared" si="2"/>
        <v>30620350000</v>
      </c>
    </row>
    <row r="33" spans="1:10">
      <c r="A33" s="89">
        <f t="shared" si="3"/>
        <v>20</v>
      </c>
      <c r="B33" s="30">
        <f t="shared" si="4"/>
        <v>21741.5</v>
      </c>
      <c r="C33" s="78">
        <f t="shared" si="0"/>
        <v>0.3208924937363577</v>
      </c>
      <c r="D33" s="85">
        <f t="shared" si="5"/>
        <v>1599</v>
      </c>
      <c r="E33" s="82">
        <f t="shared" si="1"/>
        <v>1.599</v>
      </c>
      <c r="F33" s="83">
        <f>B33/Summary!C$23</f>
        <v>0.31014978601997145</v>
      </c>
      <c r="G33" s="84">
        <f>G32+('development plan (Wind)'!B32/Summary!C$23)*Summary!C$27</f>
        <v>2232.9090248315301</v>
      </c>
      <c r="H33" s="84">
        <f t="shared" si="6"/>
        <v>6958.4333333333361</v>
      </c>
      <c r="I33" s="86">
        <f>B32*Summary!C$16*Summary!C$17*24*375*1000*B$6</f>
        <v>18128250000</v>
      </c>
      <c r="J33" s="86">
        <f t="shared" si="2"/>
        <v>31998250000</v>
      </c>
    </row>
    <row r="34" spans="1:10">
      <c r="A34" s="89">
        <f t="shared" si="3"/>
        <v>21</v>
      </c>
      <c r="B34" s="30">
        <f t="shared" si="4"/>
        <v>23412.5</v>
      </c>
      <c r="C34" s="78">
        <f t="shared" si="0"/>
        <v>0.34355195548388584</v>
      </c>
      <c r="D34" s="85">
        <f t="shared" si="5"/>
        <v>1671</v>
      </c>
      <c r="E34" s="82">
        <f t="shared" si="1"/>
        <v>1.671</v>
      </c>
      <c r="F34" s="83">
        <f>B34/Summary!C$23</f>
        <v>0.33398716119828814</v>
      </c>
      <c r="G34" s="84">
        <f>G33+('development plan (Wind)'!B33/Summary!C$23)*Summary!C$27</f>
        <v>2510.1125477094679</v>
      </c>
      <c r="H34" s="84">
        <f t="shared" si="6"/>
        <v>7306.3550000000032</v>
      </c>
      <c r="I34" s="86">
        <f>B33*Summary!C$16*Summary!C$17*24*375*1000*B$6</f>
        <v>19567350000</v>
      </c>
      <c r="J34" s="86">
        <f t="shared" si="2"/>
        <v>33437350000</v>
      </c>
    </row>
    <row r="35" spans="1:10">
      <c r="A35" s="89">
        <f t="shared" si="3"/>
        <v>22</v>
      </c>
      <c r="B35" s="30">
        <f t="shared" si="4"/>
        <v>25159.5</v>
      </c>
      <c r="C35" s="78">
        <f t="shared" si="0"/>
        <v>0.36693490405708717</v>
      </c>
      <c r="D35" s="85">
        <f t="shared" si="5"/>
        <v>1747</v>
      </c>
      <c r="E35" s="82">
        <f t="shared" si="1"/>
        <v>1.7470000000000001</v>
      </c>
      <c r="F35" s="83">
        <f>B35/Summary!C$23</f>
        <v>0.35890870185449358</v>
      </c>
      <c r="G35" s="84">
        <f>G34+('development plan (Wind)'!B34/Summary!C$23)*Summary!C$27</f>
        <v>2808.6212743097358</v>
      </c>
      <c r="H35" s="84">
        <f t="shared" si="6"/>
        <v>7654.2766666666703</v>
      </c>
      <c r="I35" s="86">
        <f>B34*Summary!C$16*Summary!C$17*24*375*1000*B$6</f>
        <v>21071250000</v>
      </c>
      <c r="J35" s="86">
        <f t="shared" si="2"/>
        <v>34941250000</v>
      </c>
    </row>
    <row r="36" spans="1:10">
      <c r="A36" s="89">
        <f t="shared" si="3"/>
        <v>23</v>
      </c>
      <c r="B36" s="30">
        <f t="shared" si="4"/>
        <v>26984.5</v>
      </c>
      <c r="C36" s="78">
        <f t="shared" si="0"/>
        <v>0.39106806307111136</v>
      </c>
      <c r="D36" s="85">
        <f t="shared" si="5"/>
        <v>1825</v>
      </c>
      <c r="E36" s="82">
        <f t="shared" si="1"/>
        <v>1.825</v>
      </c>
      <c r="F36" s="83">
        <f>B36/Summary!C$23</f>
        <v>0.38494293865905849</v>
      </c>
      <c r="G36" s="84">
        <f>G35+('development plan (Wind)'!B35/Summary!C$23)*Summary!C$27</f>
        <v>3129.4042025275439</v>
      </c>
      <c r="H36" s="84">
        <f t="shared" si="6"/>
        <v>8002.1983333333374</v>
      </c>
      <c r="I36" s="86">
        <f>B35*Summary!C$16*Summary!C$17*24*375*1000*B$6</f>
        <v>22643550000</v>
      </c>
      <c r="J36" s="86">
        <f t="shared" si="2"/>
        <v>36513550000</v>
      </c>
    </row>
    <row r="37" spans="1:10">
      <c r="A37" s="89">
        <f t="shared" si="3"/>
        <v>24</v>
      </c>
      <c r="B37" s="30">
        <f t="shared" si="4"/>
        <v>28891.5</v>
      </c>
      <c r="C37" s="78">
        <f t="shared" si="0"/>
        <v>0.41597675604694456</v>
      </c>
      <c r="D37" s="85">
        <f t="shared" si="5"/>
        <v>1907</v>
      </c>
      <c r="E37" s="82">
        <f t="shared" si="1"/>
        <v>1.907</v>
      </c>
      <c r="F37" s="83">
        <f>B37/Summary!C$23</f>
        <v>0.41214693295292437</v>
      </c>
      <c r="G37" s="84">
        <f>G36+('development plan (Wind)'!B36/Summary!C$23)*Summary!C$27</f>
        <v>3473.4558302027144</v>
      </c>
      <c r="H37" s="84">
        <f t="shared" si="6"/>
        <v>8350.1200000000044</v>
      </c>
      <c r="I37" s="86">
        <f>B36*Summary!C$16*Summary!C$17*24*375*1000*B$6</f>
        <v>24286050000</v>
      </c>
      <c r="J37" s="86">
        <f t="shared" si="2"/>
        <v>38156050000</v>
      </c>
    </row>
    <row r="38" spans="1:10">
      <c r="A38" s="89">
        <f t="shared" si="3"/>
        <v>25</v>
      </c>
      <c r="B38" s="30">
        <f t="shared" si="4"/>
        <v>30884.5</v>
      </c>
      <c r="C38" s="78">
        <f t="shared" si="0"/>
        <v>0.44168811811826852</v>
      </c>
      <c r="D38" s="85">
        <f t="shared" si="5"/>
        <v>1993</v>
      </c>
      <c r="E38" s="82">
        <f t="shared" si="1"/>
        <v>1.9930000000000001</v>
      </c>
      <c r="F38" s="83">
        <f>B38/Summary!C$23</f>
        <v>0.44057774607703282</v>
      </c>
      <c r="G38" s="84">
        <f>G37+('development plan (Wind)'!B37/Summary!C$23)*Summary!C$27</f>
        <v>3841.8216550642901</v>
      </c>
      <c r="H38" s="84">
        <f t="shared" si="6"/>
        <v>8698.0416666666715</v>
      </c>
      <c r="I38" s="86">
        <f>B37*Summary!C$16*Summary!C$17*24*375*1000*B$6</f>
        <v>26002350000</v>
      </c>
      <c r="J38" s="86">
        <f t="shared" si="2"/>
        <v>39872350000</v>
      </c>
    </row>
    <row r="39" spans="1:10">
      <c r="A39" s="89">
        <f t="shared" si="3"/>
        <v>26</v>
      </c>
      <c r="B39" s="30">
        <f t="shared" si="4"/>
        <v>32967.5</v>
      </c>
      <c r="C39" s="78">
        <f t="shared" si="0"/>
        <v>0.4682307476444042</v>
      </c>
      <c r="D39" s="85">
        <f t="shared" si="5"/>
        <v>2083</v>
      </c>
      <c r="E39" s="82">
        <f t="shared" si="1"/>
        <v>2.0830000000000002</v>
      </c>
      <c r="F39" s="83">
        <f>B39/Summary!C$23</f>
        <v>0.47029243937232523</v>
      </c>
      <c r="G39" s="84">
        <f>G38+('development plan (Wind)'!B38/Summary!C$23)*Summary!C$27</f>
        <v>4235.5981747305359</v>
      </c>
      <c r="H39" s="84">
        <f t="shared" si="6"/>
        <v>9045.9633333333386</v>
      </c>
      <c r="I39" s="86">
        <f>B38*Summary!C$16*Summary!C$17*24*375*1000*B$6</f>
        <v>27796050000</v>
      </c>
      <c r="J39" s="86">
        <f t="shared" si="2"/>
        <v>41666050000</v>
      </c>
    </row>
    <row r="40" spans="1:10">
      <c r="A40" s="89">
        <f t="shared" si="3"/>
        <v>27</v>
      </c>
      <c r="B40" s="30">
        <f t="shared" si="4"/>
        <v>35144.5</v>
      </c>
      <c r="C40" s="78">
        <f t="shared" si="0"/>
        <v>0.49563443524260031</v>
      </c>
      <c r="D40" s="85">
        <f t="shared" si="5"/>
        <v>2177</v>
      </c>
      <c r="E40" s="82">
        <f t="shared" si="1"/>
        <v>2.177</v>
      </c>
      <c r="F40" s="83">
        <f>B40/Summary!C$23</f>
        <v>0.50134807417974325</v>
      </c>
      <c r="G40" s="84">
        <f>G39+('development plan (Wind)'!B39/Summary!C$23)*Summary!C$27</f>
        <v>4655.9328867089371</v>
      </c>
      <c r="H40" s="84">
        <f t="shared" si="6"/>
        <v>9393.8850000000057</v>
      </c>
      <c r="I40" s="86">
        <f>B39*Summary!C$16*Summary!C$17*24*375*1000*B$6</f>
        <v>29670750000</v>
      </c>
      <c r="J40" s="86">
        <f t="shared" si="2"/>
        <v>43540750000</v>
      </c>
    </row>
    <row r="41" spans="1:10">
      <c r="A41" s="89">
        <f t="shared" si="3"/>
        <v>28</v>
      </c>
      <c r="B41" s="30">
        <f t="shared" si="4"/>
        <v>37419.5</v>
      </c>
      <c r="C41" s="78">
        <f t="shared" si="0"/>
        <v>0.52392995088483241</v>
      </c>
      <c r="D41" s="85">
        <f t="shared" si="5"/>
        <v>2275</v>
      </c>
      <c r="E41" s="82">
        <f t="shared" si="1"/>
        <v>2.2749999999999999</v>
      </c>
      <c r="F41" s="83">
        <f>B41/Summary!C$23</f>
        <v>0.53380171184022829</v>
      </c>
      <c r="G41" s="84">
        <f>G40+('development plan (Wind)'!B40/Summary!C$23)*Summary!C$27</f>
        <v>5104.0242883962028</v>
      </c>
      <c r="H41" s="84">
        <f t="shared" si="6"/>
        <v>9741.8066666666728</v>
      </c>
      <c r="I41" s="86">
        <f>B40*Summary!C$16*Summary!C$17*24*375*1000*B$6</f>
        <v>31630050000</v>
      </c>
      <c r="J41" s="86">
        <f t="shared" si="2"/>
        <v>45500050000</v>
      </c>
    </row>
    <row r="42" spans="1:10">
      <c r="A42" s="89">
        <f t="shared" si="3"/>
        <v>29</v>
      </c>
      <c r="B42" s="30">
        <f t="shared" si="4"/>
        <v>39796.5</v>
      </c>
      <c r="C42" s="78">
        <f t="shared" si="0"/>
        <v>0.55314887504353938</v>
      </c>
      <c r="D42" s="85">
        <f t="shared" si="5"/>
        <v>2377</v>
      </c>
      <c r="E42" s="82">
        <f t="shared" si="1"/>
        <v>2.3769999999999998</v>
      </c>
      <c r="F42" s="83">
        <f>B42/Summary!C$23</f>
        <v>0.56771041369472186</v>
      </c>
      <c r="G42" s="84">
        <f>G41+('development plan (Wind)'!B41/Summary!C$23)*Summary!C$27</f>
        <v>5581.1218770782625</v>
      </c>
      <c r="H42" s="84">
        <f t="shared" si="6"/>
        <v>10089.72833333334</v>
      </c>
      <c r="I42" s="86">
        <f>B41*Summary!C$16*Summary!C$17*24*375*1000*B$6</f>
        <v>33677550000</v>
      </c>
      <c r="J42" s="86">
        <f t="shared" si="2"/>
        <v>47547550000</v>
      </c>
    </row>
    <row r="43" spans="1:10">
      <c r="A43" s="128">
        <f t="shared" si="3"/>
        <v>30</v>
      </c>
      <c r="B43" s="129">
        <f t="shared" si="4"/>
        <v>42280.5</v>
      </c>
      <c r="C43" s="130">
        <f t="shared" si="0"/>
        <v>0.58332346360821286</v>
      </c>
      <c r="D43" s="132">
        <f t="shared" si="5"/>
        <v>2484</v>
      </c>
      <c r="E43" s="135">
        <f t="shared" si="1"/>
        <v>2.484</v>
      </c>
      <c r="F43" s="138">
        <f>B43/Summary!C$23</f>
        <v>0.6031455064194009</v>
      </c>
      <c r="G43" s="140">
        <f>G42+('development plan (Wind)'!B42/Summary!C$23)*Summary!C$27</f>
        <v>6088.5261499302669</v>
      </c>
      <c r="H43" s="140">
        <f t="shared" si="6"/>
        <v>10437.650000000007</v>
      </c>
      <c r="I43" s="86">
        <f>B42*Summary!C$16*Summary!C$17*24*375*1000*B$6</f>
        <v>35816850000</v>
      </c>
      <c r="J43" s="86">
        <f t="shared" si="2"/>
        <v>49686850000</v>
      </c>
    </row>
    <row r="44" spans="1:10">
      <c r="A44" s="89">
        <f t="shared" si="3"/>
        <v>31</v>
      </c>
      <c r="B44" s="30">
        <f t="shared" si="4"/>
        <v>44876.5</v>
      </c>
      <c r="C44" s="78">
        <f t="shared" si="0"/>
        <v>0.61448772107943184</v>
      </c>
      <c r="D44" s="85">
        <f t="shared" si="5"/>
        <v>2596</v>
      </c>
      <c r="E44" s="82">
        <f t="shared" si="1"/>
        <v>2.5960000000000001</v>
      </c>
      <c r="F44" s="83">
        <f>B44/Summary!C$23</f>
        <v>0.64017831669044223</v>
      </c>
      <c r="G44" s="84">
        <f>G43+('development plan (Wind)'!B43/Summary!C$23)*Summary!C$27</f>
        <v>6627.6013539888945</v>
      </c>
      <c r="H44" s="84">
        <f t="shared" si="6"/>
        <v>10785.571666666674</v>
      </c>
      <c r="I44" s="86">
        <f>B43*Summary!C$16*Summary!C$17*24*375*1000*B$6</f>
        <v>38052450000</v>
      </c>
      <c r="J44" s="86">
        <f t="shared" si="2"/>
        <v>51922450000</v>
      </c>
    </row>
    <row r="45" spans="1:10">
      <c r="A45" s="89">
        <f t="shared" si="3"/>
        <v>32</v>
      </c>
      <c r="B45" s="30">
        <f t="shared" si="4"/>
        <v>47588.5</v>
      </c>
      <c r="C45" s="78">
        <f t="shared" si="0"/>
        <v>0.64667712734838056</v>
      </c>
      <c r="D45" s="85">
        <f t="shared" si="5"/>
        <v>2712</v>
      </c>
      <c r="E45" s="82">
        <f t="shared" si="1"/>
        <v>2.7120000000000002</v>
      </c>
      <c r="F45" s="83">
        <f>B45/Summary!C$23</f>
        <v>0.67886590584878748</v>
      </c>
      <c r="G45" s="84">
        <f>G44+('development plan (Wind)'!B44/Summary!C$23)*Summary!C$27</f>
        <v>7199.7754861523508</v>
      </c>
      <c r="H45" s="84">
        <f t="shared" si="6"/>
        <v>11133.493333333341</v>
      </c>
      <c r="I45" s="86">
        <f>B44*Summary!C$16*Summary!C$17*24*375*1000*B$6</f>
        <v>40388850000</v>
      </c>
      <c r="J45" s="86">
        <f t="shared" si="2"/>
        <v>54258850000</v>
      </c>
    </row>
    <row r="46" spans="1:10">
      <c r="A46" s="89">
        <f t="shared" si="3"/>
        <v>33</v>
      </c>
      <c r="B46" s="30">
        <f t="shared" si="4"/>
        <v>50422.5</v>
      </c>
      <c r="C46" s="78">
        <f t="shared" si="0"/>
        <v>0.67992730366492782</v>
      </c>
      <c r="D46" s="85">
        <f t="shared" si="5"/>
        <v>2834</v>
      </c>
      <c r="E46" s="82">
        <f t="shared" si="1"/>
        <v>2.8340000000000001</v>
      </c>
      <c r="F46" s="83">
        <f>B46/Summary!C$23</f>
        <v>0.71929386590584876</v>
      </c>
      <c r="G46" s="84">
        <f>G45+('development plan (Wind)'!B45/Summary!C$23)*Summary!C$27</f>
        <v>7806.5275432080625</v>
      </c>
      <c r="H46" s="84">
        <f t="shared" si="6"/>
        <v>11481.415000000008</v>
      </c>
      <c r="I46" s="86">
        <f>B45*Summary!C$16*Summary!C$17*24*375*1000*B$6</f>
        <v>42829650000</v>
      </c>
      <c r="J46" s="86">
        <f t="shared" si="2"/>
        <v>56699650000</v>
      </c>
    </row>
    <row r="47" spans="1:10">
      <c r="A47" s="89">
        <f t="shared" si="3"/>
        <v>34</v>
      </c>
      <c r="B47" s="30">
        <f t="shared" si="4"/>
        <v>53384.5</v>
      </c>
      <c r="C47" s="78">
        <f t="shared" si="0"/>
        <v>0.71427614750254664</v>
      </c>
      <c r="D47" s="85">
        <f t="shared" si="5"/>
        <v>2962</v>
      </c>
      <c r="E47" s="82">
        <f t="shared" si="1"/>
        <v>2.9620000000000002</v>
      </c>
      <c r="F47" s="83">
        <f>B47/Summary!C$23</f>
        <v>0.76154778887303853</v>
      </c>
      <c r="G47" s="84">
        <f>G46+('development plan (Wind)'!B46/Summary!C$23)*Summary!C$27</f>
        <v>8449.413021777289</v>
      </c>
      <c r="H47" s="84">
        <f t="shared" si="6"/>
        <v>11829.336666666675</v>
      </c>
      <c r="I47" s="86">
        <f>B46*Summary!C$16*Summary!C$17*24*375*1000*B$6</f>
        <v>45380250000</v>
      </c>
      <c r="J47" s="86">
        <f t="shared" si="2"/>
        <v>59250250000</v>
      </c>
    </row>
    <row r="48" spans="1:10">
      <c r="A48" s="128">
        <f t="shared" si="3"/>
        <v>35</v>
      </c>
      <c r="B48" s="129">
        <f t="shared" si="4"/>
        <v>56479.5</v>
      </c>
      <c r="C48" s="130">
        <f t="shared" si="0"/>
        <v>0.74976350738351327</v>
      </c>
      <c r="D48" s="132">
        <f t="shared" si="5"/>
        <v>3095</v>
      </c>
      <c r="E48" s="135">
        <f t="shared" si="1"/>
        <v>3.0950000000000002</v>
      </c>
      <c r="F48" s="138">
        <f>B48/Summary!C$23</f>
        <v>0.8056990014265335</v>
      </c>
      <c r="G48" s="140">
        <f>G47+('development plan (Wind)'!B47/Summary!C$23)*Summary!C$27</f>
        <v>9130.0639183151216</v>
      </c>
      <c r="H48" s="140">
        <f t="shared" si="6"/>
        <v>12177.258333333342</v>
      </c>
      <c r="I48" s="86">
        <f>B47*Summary!C$16*Summary!C$17*24*375*1000*B$6</f>
        <v>48046050000</v>
      </c>
      <c r="J48" s="86">
        <f t="shared" si="2"/>
        <v>61916050000</v>
      </c>
    </row>
    <row r="49" spans="1:10">
      <c r="A49" s="89">
        <f t="shared" si="3"/>
        <v>36</v>
      </c>
      <c r="B49" s="30">
        <f t="shared" si="4"/>
        <v>59714.5</v>
      </c>
      <c r="C49" s="78">
        <f t="shared" si="0"/>
        <v>0.78642989395267549</v>
      </c>
      <c r="D49" s="85">
        <f t="shared" si="5"/>
        <v>3235</v>
      </c>
      <c r="E49" s="82">
        <f t="shared" si="1"/>
        <v>3.2349999999999999</v>
      </c>
      <c r="F49" s="83">
        <f>B49/Summary!C$23</f>
        <v>0.85184736091298141</v>
      </c>
      <c r="G49" s="84">
        <f>G48+('development plan (Wind)'!B48/Summary!C$23)*Summary!C$27</f>
        <v>9850.1759791381792</v>
      </c>
      <c r="H49" s="84">
        <f t="shared" si="6"/>
        <v>12525.180000000009</v>
      </c>
      <c r="I49" s="86">
        <f>B48*Summary!C$16*Summary!C$17*24*375*1000*B$6</f>
        <v>50831550000</v>
      </c>
      <c r="J49" s="86">
        <f t="shared" si="2"/>
        <v>64701550000</v>
      </c>
    </row>
    <row r="50" spans="1:10">
      <c r="A50" s="89">
        <f t="shared" si="3"/>
        <v>37</v>
      </c>
      <c r="B50" s="30">
        <f t="shared" si="4"/>
        <v>63094.5</v>
      </c>
      <c r="C50" s="78">
        <f t="shared" si="0"/>
        <v>0.8243183713717176</v>
      </c>
      <c r="D50" s="85">
        <f t="shared" si="5"/>
        <v>3380</v>
      </c>
      <c r="E50" s="82">
        <f t="shared" si="1"/>
        <v>3.38</v>
      </c>
      <c r="F50" s="83">
        <f>B50/Summary!C$23</f>
        <v>0.90006419400855919</v>
      </c>
      <c r="G50" s="84">
        <f>G49+('development plan (Wind)'!B49/Summary!C$23)*Summary!C$27</f>
        <v>10611.534200369219</v>
      </c>
      <c r="H50" s="84">
        <f t="shared" si="6"/>
        <v>12873.101666666676</v>
      </c>
      <c r="I50" s="86">
        <f>B49*Summary!C$16*Summary!C$17*24*375*1000*B$6</f>
        <v>53743050000</v>
      </c>
      <c r="J50" s="86">
        <f t="shared" si="2"/>
        <v>67613050000</v>
      </c>
    </row>
    <row r="51" spans="1:10">
      <c r="A51" s="89">
        <f t="shared" si="3"/>
        <v>38</v>
      </c>
      <c r="B51" s="30">
        <f t="shared" si="4"/>
        <v>66626.5</v>
      </c>
      <c r="C51" s="78">
        <f t="shared" si="0"/>
        <v>0.86347229258798019</v>
      </c>
      <c r="D51" s="85">
        <f t="shared" si="5"/>
        <v>3532</v>
      </c>
      <c r="E51" s="82">
        <f t="shared" si="1"/>
        <v>3.532</v>
      </c>
      <c r="F51" s="83">
        <f>B51/Summary!C$23</f>
        <v>0.95044935805991437</v>
      </c>
      <c r="G51" s="84">
        <f>G50+('development plan (Wind)'!B50/Summary!C$23)*Summary!C$27</f>
        <v>11415.987327992521</v>
      </c>
      <c r="H51" s="84">
        <f t="shared" si="6"/>
        <v>13221.023333333344</v>
      </c>
      <c r="I51" s="86">
        <f>B50*Summary!C$16*Summary!C$17*24*375*1000*B$6</f>
        <v>56785050000</v>
      </c>
      <c r="J51" s="86">
        <f t="shared" si="2"/>
        <v>70655050000</v>
      </c>
    </row>
    <row r="52" spans="1:10">
      <c r="A52" s="89">
        <f t="shared" si="3"/>
        <v>39</v>
      </c>
      <c r="B52" s="30">
        <f t="shared" si="4"/>
        <v>70317.5</v>
      </c>
      <c r="C52" s="78">
        <f t="shared" si="0"/>
        <v>0.90393714159785465</v>
      </c>
      <c r="D52" s="85">
        <f t="shared" si="5"/>
        <v>3691</v>
      </c>
      <c r="E52" s="82">
        <f t="shared" si="1"/>
        <v>3.6909999999999998</v>
      </c>
      <c r="F52" s="83">
        <f>B52/Summary!C$23</f>
        <v>1.0031027104136947</v>
      </c>
      <c r="G52" s="84">
        <f>G51+('development plan (Wind)'!B51/Summary!C$23)*Summary!C$27</f>
        <v>12265.473357798512</v>
      </c>
      <c r="H52" s="84">
        <f t="shared" si="6"/>
        <v>13568.945000000011</v>
      </c>
      <c r="I52" s="86">
        <f>B51*Summary!C$16*Summary!C$17*24*375*1000*B$6</f>
        <v>59963850000</v>
      </c>
      <c r="J52" s="86">
        <f t="shared" si="2"/>
        <v>73833850000</v>
      </c>
    </row>
    <row r="53" spans="1:10">
      <c r="A53" s="89">
        <f t="shared" si="3"/>
        <v>40</v>
      </c>
      <c r="B53" s="30">
        <f t="shared" si="4"/>
        <v>74174.5</v>
      </c>
      <c r="C53" s="78">
        <f t="shared" si="0"/>
        <v>0.94576026706565208</v>
      </c>
      <c r="D53" s="85">
        <f t="shared" si="5"/>
        <v>3857</v>
      </c>
      <c r="E53" s="82">
        <f t="shared" si="1"/>
        <v>3.8570000000000002</v>
      </c>
      <c r="F53" s="83">
        <f>B53/Summary!C$23</f>
        <v>1.0581241084165478</v>
      </c>
      <c r="G53" s="84">
        <f>G52+('development plan (Wind)'!B52/Summary!C$23)*Summary!C$27</f>
        <v>13162.019535383748</v>
      </c>
      <c r="H53" s="84">
        <f t="shared" si="6"/>
        <v>13916.866666666678</v>
      </c>
      <c r="I53" s="86">
        <f>B52*Summary!C$16*Summary!C$17*24*375*1000*B$6</f>
        <v>63285750000</v>
      </c>
      <c r="J53" s="86">
        <f t="shared" si="2"/>
        <v>77155750000</v>
      </c>
    </row>
    <row r="54" spans="1:10">
      <c r="A54" s="89">
        <f t="shared" si="3"/>
        <v>41</v>
      </c>
      <c r="B54" s="30">
        <f t="shared" si="4"/>
        <v>78205.5</v>
      </c>
      <c r="C54" s="78">
        <f t="shared" si="0"/>
        <v>0.98899065492507587</v>
      </c>
      <c r="D54" s="85">
        <f t="shared" si="5"/>
        <v>4031</v>
      </c>
      <c r="E54" s="82">
        <f t="shared" si="1"/>
        <v>4.0309999999999997</v>
      </c>
      <c r="F54" s="83">
        <f>B54/Summary!C$23</f>
        <v>1.1156276747503566</v>
      </c>
      <c r="G54" s="84">
        <f>G53+('development plan (Wind)'!B53/Summary!C$23)*Summary!C$27</f>
        <v>14107.742356150926</v>
      </c>
      <c r="H54" s="84">
        <f t="shared" si="6"/>
        <v>14264.788333333345</v>
      </c>
      <c r="I54" s="86">
        <f>B53*Summary!C$16*Summary!C$17*24*375*1000*B$6</f>
        <v>66757050000</v>
      </c>
      <c r="J54" s="86">
        <f t="shared" si="2"/>
        <v>80627050000</v>
      </c>
    </row>
    <row r="55" spans="1:10">
      <c r="A55" s="89">
        <f t="shared" si="3"/>
        <v>42</v>
      </c>
      <c r="B55" s="30">
        <f t="shared" si="4"/>
        <v>82417.5</v>
      </c>
      <c r="C55" s="78">
        <f t="shared" si="0"/>
        <v>1.0336796059923981</v>
      </c>
      <c r="D55" s="85">
        <f t="shared" si="5"/>
        <v>4212</v>
      </c>
      <c r="E55" s="82">
        <f t="shared" si="1"/>
        <v>4.2119999999999997</v>
      </c>
      <c r="F55" s="83">
        <f>B55/Summary!C$23</f>
        <v>1.1757132667617689</v>
      </c>
      <c r="G55" s="84">
        <f>G54+('development plan (Wind)'!B54/Summary!C$23)*Summary!C$27</f>
        <v>15104.860315281187</v>
      </c>
      <c r="H55" s="84">
        <f t="shared" si="6"/>
        <v>14612.710000000012</v>
      </c>
      <c r="I55" s="86">
        <f>B54*Summary!C$16*Summary!C$17*24*375*1000*B$6</f>
        <v>70384950000</v>
      </c>
      <c r="J55" s="86">
        <f t="shared" si="2"/>
        <v>84254950000</v>
      </c>
    </row>
    <row r="56" spans="1:10">
      <c r="A56" s="89">
        <f t="shared" si="3"/>
        <v>43</v>
      </c>
      <c r="B56" s="30">
        <f t="shared" si="4"/>
        <v>86819.5</v>
      </c>
      <c r="C56" s="78">
        <f t="shared" si="0"/>
        <v>1.0798796145591756</v>
      </c>
      <c r="D56" s="85">
        <f t="shared" si="5"/>
        <v>4402</v>
      </c>
      <c r="E56" s="82">
        <f t="shared" si="1"/>
        <v>4.4020000000000001</v>
      </c>
      <c r="F56" s="83">
        <f>B56/Summary!C$23</f>
        <v>1.238509272467903</v>
      </c>
      <c r="G56" s="84">
        <f>G55+('development plan (Wind)'!B55/Summary!C$23)*Summary!C$27</f>
        <v>16155.681157761808</v>
      </c>
      <c r="H56" s="84">
        <f t="shared" si="6"/>
        <v>14960.631666666679</v>
      </c>
      <c r="I56" s="86">
        <f>B55*Summary!C$16*Summary!C$17*24*375*1000*B$6</f>
        <v>74175750000</v>
      </c>
      <c r="J56" s="86">
        <f t="shared" si="2"/>
        <v>88045750000</v>
      </c>
    </row>
    <row r="57" spans="1:10">
      <c r="A57" s="89">
        <f t="shared" si="3"/>
        <v>44</v>
      </c>
      <c r="B57" s="30">
        <f t="shared" si="4"/>
        <v>91419.5</v>
      </c>
      <c r="C57" s="78">
        <f t="shared" si="0"/>
        <v>1.1276458985018922</v>
      </c>
      <c r="D57" s="85">
        <f t="shared" si="5"/>
        <v>4600</v>
      </c>
      <c r="E57" s="82">
        <f t="shared" si="1"/>
        <v>4.5999999999999996</v>
      </c>
      <c r="F57" s="83">
        <f>B57/Summary!C$23</f>
        <v>1.3041298145506419</v>
      </c>
      <c r="G57" s="84">
        <f>G56+('development plan (Wind)'!B56/Summary!C$23)*Summary!C$27</f>
        <v>17262.627378330817</v>
      </c>
      <c r="H57" s="84">
        <f t="shared" si="6"/>
        <v>15308.553333333346</v>
      </c>
      <c r="I57" s="86">
        <f>B56*Summary!C$16*Summary!C$17*24*375*1000*B$6</f>
        <v>78137550000</v>
      </c>
      <c r="J57" s="86">
        <f t="shared" si="2"/>
        <v>92007550000</v>
      </c>
    </row>
    <row r="58" spans="1:10">
      <c r="A58" s="89">
        <f t="shared" si="3"/>
        <v>45</v>
      </c>
      <c r="B58" s="30">
        <f t="shared" si="4"/>
        <v>96226.5</v>
      </c>
      <c r="C58" s="78">
        <f t="shared" si="0"/>
        <v>1.1770352823036263</v>
      </c>
      <c r="D58" s="85">
        <f t="shared" si="5"/>
        <v>4807</v>
      </c>
      <c r="E58" s="82">
        <f t="shared" si="1"/>
        <v>4.8070000000000004</v>
      </c>
      <c r="F58" s="83">
        <f>B58/Summary!C$23</f>
        <v>1.372703281027104</v>
      </c>
      <c r="G58" s="84">
        <f>G57+('development plan (Wind)'!B57/Summary!C$23)*Summary!C$27</f>
        <v>18428.223471504683</v>
      </c>
      <c r="H58" s="84">
        <f t="shared" si="6"/>
        <v>15656.475000000013</v>
      </c>
      <c r="I58" s="86">
        <f>B57*Summary!C$16*Summary!C$17*24*375*1000*B$6</f>
        <v>82277550000</v>
      </c>
      <c r="J58" s="86">
        <f t="shared" si="2"/>
        <v>96147550000</v>
      </c>
    </row>
    <row r="59" spans="1:10">
      <c r="A59" s="89">
        <f t="shared" si="3"/>
        <v>46</v>
      </c>
      <c r="B59" s="30">
        <f t="shared" si="4"/>
        <v>101249.5</v>
      </c>
      <c r="C59" s="78">
        <f t="shared" si="0"/>
        <v>1.2281068190772542</v>
      </c>
      <c r="D59" s="85">
        <f t="shared" si="5"/>
        <v>5023</v>
      </c>
      <c r="E59" s="82">
        <f t="shared" si="1"/>
        <v>5.0229999999999997</v>
      </c>
      <c r="F59" s="83">
        <f>B59/Summary!C$23</f>
        <v>1.4443580599144079</v>
      </c>
      <c r="G59" s="84">
        <f>G58+('development plan (Wind)'!B58/Summary!C$23)*Summary!C$27</f>
        <v>19655.108681550628</v>
      </c>
      <c r="H59" s="84">
        <f t="shared" si="6"/>
        <v>16004.39666666668</v>
      </c>
      <c r="I59" s="86">
        <f>B58*Summary!C$16*Summary!C$17*24*375*1000*B$6</f>
        <v>86603850000</v>
      </c>
      <c r="J59" s="86">
        <f t="shared" si="2"/>
        <v>100473850000</v>
      </c>
    </row>
    <row r="60" spans="1:10">
      <c r="A60" s="89">
        <f t="shared" si="3"/>
        <v>47</v>
      </c>
      <c r="B60" s="30">
        <f t="shared" si="4"/>
        <v>106498.5</v>
      </c>
      <c r="C60" s="78">
        <f t="shared" si="0"/>
        <v>1.2809215534771736</v>
      </c>
      <c r="D60" s="85">
        <f t="shared" si="5"/>
        <v>5249</v>
      </c>
      <c r="E60" s="82">
        <f t="shared" si="1"/>
        <v>5.2489999999999997</v>
      </c>
      <c r="F60" s="83">
        <f>B60/Summary!C$23</f>
        <v>1.5192368045649072</v>
      </c>
      <c r="G60" s="84">
        <f>G59+('development plan (Wind)'!B59/Summary!C$23)*Summary!C$27</f>
        <v>20946.037002486617</v>
      </c>
      <c r="H60" s="84">
        <f t="shared" si="6"/>
        <v>16352.318333333347</v>
      </c>
      <c r="I60" s="86">
        <f>B59*Summary!C$16*Summary!C$17*24*375*1000*B$6</f>
        <v>91124550000</v>
      </c>
      <c r="J60" s="86">
        <f t="shared" si="2"/>
        <v>104994550000</v>
      </c>
    </row>
    <row r="61" spans="1:10">
      <c r="A61" s="89">
        <f t="shared" si="3"/>
        <v>48</v>
      </c>
      <c r="B61" s="30">
        <f t="shared" si="4"/>
        <v>111983.5</v>
      </c>
      <c r="C61" s="78">
        <f t="shared" si="0"/>
        <v>1.335543077707485</v>
      </c>
      <c r="D61" s="85">
        <f t="shared" si="5"/>
        <v>5485</v>
      </c>
      <c r="E61" s="82">
        <f t="shared" si="1"/>
        <v>5.4850000000000003</v>
      </c>
      <c r="F61" s="83">
        <f>B61/Summary!C$23</f>
        <v>1.5974821683309557</v>
      </c>
      <c r="G61" s="84">
        <f>G60+('development plan (Wind)'!B60/Summary!C$23)*Summary!C$27</f>
        <v>22303.889928053668</v>
      </c>
      <c r="H61" s="84">
        <f t="shared" si="6"/>
        <v>16700.240000000013</v>
      </c>
      <c r="I61" s="86">
        <f>B60*Summary!C$16*Summary!C$17*24*375*1000*B$6</f>
        <v>95848650000</v>
      </c>
      <c r="J61" s="86">
        <f t="shared" si="2"/>
        <v>109718650000</v>
      </c>
    </row>
    <row r="62" spans="1:10">
      <c r="A62" s="89">
        <f t="shared" si="3"/>
        <v>49</v>
      </c>
      <c r="B62" s="30">
        <f t="shared" si="4"/>
        <v>117715.5</v>
      </c>
      <c r="C62" s="78">
        <f t="shared" si="0"/>
        <v>1.3920372715679419</v>
      </c>
      <c r="D62" s="85">
        <f t="shared" si="5"/>
        <v>5732</v>
      </c>
      <c r="E62" s="82">
        <f t="shared" si="1"/>
        <v>5.7320000000000002</v>
      </c>
      <c r="F62" s="83">
        <f>B62/Summary!C$23</f>
        <v>1.6792510699001426</v>
      </c>
      <c r="G62" s="84">
        <f>G61+('development plan (Wind)'!B61/Summary!C$23)*Summary!C$27</f>
        <v>23731.676451715859</v>
      </c>
      <c r="H62" s="84">
        <f t="shared" si="6"/>
        <v>17048.161666666678</v>
      </c>
      <c r="I62" s="86">
        <f>B61*Summary!C$16*Summary!C$17*24*375*1000*B$6</f>
        <v>100785150000</v>
      </c>
      <c r="J62" s="86">
        <f t="shared" si="2"/>
        <v>114655150000</v>
      </c>
    </row>
    <row r="63" spans="1:10">
      <c r="A63" s="128">
        <f t="shared" si="3"/>
        <v>50</v>
      </c>
      <c r="B63" s="129">
        <f t="shared" si="4"/>
        <v>123705.5</v>
      </c>
      <c r="C63" s="130">
        <f t="shared" si="0"/>
        <v>1.4504728066163906</v>
      </c>
      <c r="D63" s="132">
        <f t="shared" si="5"/>
        <v>5990</v>
      </c>
      <c r="E63" s="135">
        <f t="shared" si="1"/>
        <v>5.99</v>
      </c>
      <c r="F63" s="138">
        <f>B63/Summary!C$23</f>
        <v>1.7647004279600571</v>
      </c>
      <c r="G63" s="140">
        <f>G62+('development plan (Wind)'!B62/Summary!C$23)*Summary!C$27</f>
        <v>25232.545816632628</v>
      </c>
      <c r="H63" s="140">
        <f t="shared" si="6"/>
        <v>17396.083333333343</v>
      </c>
      <c r="I63" s="86">
        <f>B62*Summary!C$16*Summary!C$17*24*375*1000*B$6</f>
        <v>105943950000</v>
      </c>
      <c r="J63" s="86">
        <f t="shared" si="2"/>
        <v>119813950000</v>
      </c>
    </row>
    <row r="64" spans="1:10">
      <c r="A64" s="89">
        <f t="shared" si="3"/>
        <v>51</v>
      </c>
      <c r="B64" s="30">
        <f t="shared" si="4"/>
        <v>129965.5</v>
      </c>
      <c r="C64" s="78">
        <f t="shared" si="0"/>
        <v>1.5109208724669967</v>
      </c>
      <c r="D64" s="85">
        <f t="shared" si="5"/>
        <v>6260</v>
      </c>
      <c r="E64" s="82">
        <f t="shared" si="1"/>
        <v>6.26</v>
      </c>
      <c r="F64" s="83">
        <f>B64/Summary!C$23</f>
        <v>1.8540014265335236</v>
      </c>
      <c r="G64" s="84">
        <f>G63+('development plan (Wind)'!B63/Summary!C$23)*Summary!C$27</f>
        <v>26809.787515658765</v>
      </c>
      <c r="H64" s="84">
        <f t="shared" si="6"/>
        <v>17744.005000000008</v>
      </c>
      <c r="I64" s="86">
        <f>B63*Summary!C$16*Summary!C$17*24*375*1000*B$6</f>
        <v>111334950000</v>
      </c>
      <c r="J64" s="86">
        <f t="shared" si="2"/>
        <v>125204950000</v>
      </c>
    </row>
    <row r="65" spans="1:10">
      <c r="A65" s="89">
        <f t="shared" si="3"/>
        <v>52</v>
      </c>
      <c r="B65" s="30">
        <f t="shared" si="4"/>
        <v>136506.5</v>
      </c>
      <c r="C65" s="78">
        <f t="shared" si="0"/>
        <v>1.5734556394021451</v>
      </c>
      <c r="D65" s="85">
        <f t="shared" si="5"/>
        <v>6541</v>
      </c>
      <c r="E65" s="82">
        <f t="shared" si="1"/>
        <v>6.5410000000000004</v>
      </c>
      <c r="F65" s="83">
        <f>B65/Summary!C$23</f>
        <v>1.9473109843081313</v>
      </c>
      <c r="G65" s="84">
        <f>G64+('development plan (Wind)'!B64/Summary!C$23)*Summary!C$27</f>
        <v>28466.84404131673</v>
      </c>
      <c r="H65" s="84">
        <f t="shared" si="6"/>
        <v>18091.926666666674</v>
      </c>
      <c r="I65" s="86">
        <f>B64*Summary!C$16*Summary!C$17*24*375*1000*B$6</f>
        <v>116968950000</v>
      </c>
      <c r="J65" s="86">
        <f t="shared" si="2"/>
        <v>130838950000</v>
      </c>
    </row>
    <row r="66" spans="1:10">
      <c r="A66" s="89">
        <f t="shared" si="3"/>
        <v>53</v>
      </c>
      <c r="B66" s="30">
        <f t="shared" si="4"/>
        <v>143342.5</v>
      </c>
      <c r="C66" s="78">
        <f t="shared" si="0"/>
        <v>1.638153285741468</v>
      </c>
      <c r="D66" s="85">
        <f t="shared" si="5"/>
        <v>6836</v>
      </c>
      <c r="E66" s="82">
        <f t="shared" si="1"/>
        <v>6.8360000000000003</v>
      </c>
      <c r="F66" s="83">
        <f>B66/Summary!C$23</f>
        <v>2.0448288159771755</v>
      </c>
      <c r="G66" s="84">
        <f>G65+('development plan (Wind)'!B65/Summary!C$23)*Summary!C$27</f>
        <v>30207.298135824341</v>
      </c>
      <c r="H66" s="84">
        <f t="shared" si="6"/>
        <v>18439.848333333339</v>
      </c>
      <c r="I66" s="86">
        <f>B65*Summary!C$16*Summary!C$17*24*375*1000*B$6</f>
        <v>122855850000</v>
      </c>
      <c r="J66" s="86">
        <f t="shared" si="2"/>
        <v>136725850000</v>
      </c>
    </row>
    <row r="67" spans="1:10">
      <c r="A67" s="89">
        <f t="shared" si="3"/>
        <v>54</v>
      </c>
      <c r="B67" s="30">
        <f t="shared" si="4"/>
        <v>150485.5</v>
      </c>
      <c r="C67" s="78">
        <f t="shared" si="0"/>
        <v>1.7050938478069344</v>
      </c>
      <c r="D67" s="85">
        <f t="shared" si="5"/>
        <v>7143</v>
      </c>
      <c r="E67" s="82">
        <f t="shared" si="1"/>
        <v>7.1429999999999998</v>
      </c>
      <c r="F67" s="83">
        <f>B67/Summary!C$23</f>
        <v>2.1467261055634808</v>
      </c>
      <c r="G67" s="84">
        <f>G66+('development plan (Wind)'!B66/Summary!C$23)*Summary!C$27</f>
        <v>32034.911041011695</v>
      </c>
      <c r="H67" s="84">
        <f t="shared" si="6"/>
        <v>18787.770000000004</v>
      </c>
      <c r="I67" s="86">
        <f>B66*Summary!C$16*Summary!C$17*24*375*1000*B$6</f>
        <v>129008250000</v>
      </c>
      <c r="J67" s="86">
        <f t="shared" si="2"/>
        <v>142878250000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2"/>
  <sheetViews>
    <sheetView showGridLines="0" topLeftCell="A6" workbookViewId="0">
      <selection activeCell="I19" sqref="I19"/>
    </sheetView>
  </sheetViews>
  <sheetFormatPr defaultColWidth="17.28515625" defaultRowHeight="15" customHeight="1"/>
  <cols>
    <col min="1" max="1" width="5.42578125" style="192" customWidth="1"/>
    <col min="2" max="2" width="34.42578125" customWidth="1"/>
    <col min="3" max="3" width="16.5703125" customWidth="1"/>
    <col min="4" max="4" width="14.5703125" customWidth="1"/>
    <col min="5" max="5" width="14.42578125" customWidth="1"/>
    <col min="6" max="8" width="14.5703125" customWidth="1"/>
    <col min="9" max="9" width="20" customWidth="1"/>
    <col min="10" max="11" width="18" customWidth="1"/>
    <col min="12" max="12" width="21" customWidth="1"/>
    <col min="13" max="13" width="20" customWidth="1"/>
    <col min="14" max="14" width="16.28515625" customWidth="1"/>
    <col min="15" max="15" width="14.85546875" customWidth="1"/>
    <col min="16" max="16" width="14.42578125" customWidth="1"/>
    <col min="17" max="17" width="13.85546875" customWidth="1"/>
    <col min="18" max="18" width="15.140625" customWidth="1"/>
    <col min="19" max="19" width="15" customWidth="1"/>
    <col min="20" max="20" width="13.5703125" customWidth="1"/>
    <col min="21" max="21" width="14.140625" customWidth="1"/>
    <col min="22" max="22" width="11.7109375" customWidth="1"/>
    <col min="23" max="23" width="13" customWidth="1"/>
  </cols>
  <sheetData>
    <row r="1" spans="1:24" ht="28.5" customHeight="1">
      <c r="A1" s="191"/>
      <c r="B1" s="237" t="s">
        <v>27</v>
      </c>
      <c r="C1" s="231"/>
      <c r="D1" s="231"/>
      <c r="E1" s="231"/>
      <c r="F1" s="231"/>
      <c r="G1" s="231"/>
      <c r="H1" s="231"/>
      <c r="I1" s="231"/>
      <c r="J1" s="231"/>
      <c r="K1" s="231"/>
      <c r="L1" s="231"/>
      <c r="M1" s="231"/>
      <c r="N1" s="231"/>
      <c r="O1" s="236"/>
      <c r="P1" s="236"/>
      <c r="Q1" s="236"/>
      <c r="R1" s="236"/>
      <c r="S1" s="191"/>
      <c r="T1" s="191"/>
      <c r="U1" s="191"/>
      <c r="V1" s="191"/>
      <c r="W1" s="191"/>
      <c r="X1" s="192"/>
    </row>
    <row r="2" spans="1:24" s="192" customFormat="1" ht="21" customHeight="1">
      <c r="A2" s="191"/>
      <c r="B2" s="235"/>
      <c r="C2" s="235"/>
      <c r="D2" s="235"/>
      <c r="E2" s="235"/>
      <c r="F2" s="235"/>
      <c r="G2" s="235"/>
      <c r="H2" s="235"/>
      <c r="I2" s="235"/>
      <c r="J2" s="235"/>
      <c r="K2" s="235"/>
      <c r="L2" s="235"/>
      <c r="M2" s="235"/>
      <c r="N2" s="235"/>
      <c r="O2" s="236"/>
      <c r="P2" s="236"/>
      <c r="Q2" s="236"/>
      <c r="R2" s="236"/>
      <c r="S2" s="191"/>
      <c r="T2" s="191"/>
      <c r="U2" s="191"/>
      <c r="V2" s="191"/>
      <c r="W2" s="191"/>
    </row>
    <row r="3" spans="1:24" ht="18.75" customHeight="1">
      <c r="A3" s="191"/>
      <c r="B3" s="259" t="s">
        <v>47</v>
      </c>
      <c r="C3" s="260"/>
      <c r="D3" s="239"/>
      <c r="E3" s="239"/>
      <c r="F3" s="239"/>
      <c r="G3" s="239"/>
      <c r="H3" s="239"/>
      <c r="I3" s="240"/>
      <c r="J3" s="240"/>
      <c r="K3" s="239"/>
      <c r="L3" s="239"/>
      <c r="M3" s="239"/>
      <c r="N3" s="239"/>
      <c r="O3" s="239"/>
      <c r="P3" s="239"/>
      <c r="Q3" s="239"/>
      <c r="R3" s="239"/>
      <c r="S3" s="191"/>
      <c r="T3" s="191"/>
      <c r="U3" s="191"/>
      <c r="V3" s="191"/>
      <c r="W3" s="191"/>
    </row>
    <row r="4" spans="1:24" ht="16.5" customHeight="1">
      <c r="A4" s="191"/>
      <c r="B4" s="257" t="s">
        <v>55</v>
      </c>
      <c r="C4" s="258"/>
      <c r="D4" s="239"/>
      <c r="E4" s="239"/>
      <c r="F4" s="239"/>
      <c r="G4" s="239"/>
      <c r="H4" s="239"/>
      <c r="I4" s="240"/>
      <c r="J4" s="240"/>
      <c r="K4" s="239"/>
      <c r="L4" s="239"/>
      <c r="M4" s="239"/>
      <c r="N4" s="239"/>
      <c r="O4" s="239"/>
      <c r="P4" s="239"/>
      <c r="Q4" s="239"/>
      <c r="R4" s="239"/>
      <c r="S4" s="191"/>
      <c r="T4" s="191"/>
      <c r="U4" s="191"/>
      <c r="V4" s="191"/>
      <c r="W4" s="191"/>
    </row>
    <row r="5" spans="1:24" s="192" customFormat="1" ht="16.5" customHeight="1" thickBot="1">
      <c r="A5" s="191"/>
      <c r="B5" s="245"/>
      <c r="C5" s="238"/>
      <c r="D5" s="239"/>
      <c r="E5" s="239"/>
      <c r="F5" s="239"/>
      <c r="G5" s="239"/>
      <c r="H5" s="239"/>
      <c r="I5" s="240"/>
      <c r="J5" s="240"/>
      <c r="K5" s="239"/>
      <c r="L5" s="239"/>
      <c r="M5" s="239"/>
      <c r="N5" s="239"/>
      <c r="O5" s="239"/>
      <c r="P5" s="239"/>
      <c r="Q5" s="239"/>
      <c r="R5" s="239"/>
      <c r="S5" s="191"/>
      <c r="T5" s="191"/>
      <c r="U5" s="191"/>
      <c r="V5" s="191"/>
      <c r="W5" s="191"/>
    </row>
    <row r="6" spans="1:24" ht="16.5" customHeight="1" thickBot="1">
      <c r="A6" s="191"/>
      <c r="B6" s="246" t="s">
        <v>79</v>
      </c>
      <c r="C6" s="247"/>
      <c r="D6" s="239"/>
      <c r="E6" s="239"/>
      <c r="F6" s="239"/>
      <c r="G6" s="239"/>
      <c r="H6" s="239"/>
      <c r="I6" s="240"/>
      <c r="J6" s="240"/>
      <c r="K6" s="239"/>
      <c r="L6" s="239"/>
      <c r="M6" s="239"/>
      <c r="N6" s="239"/>
      <c r="O6" s="239"/>
      <c r="P6" s="239"/>
      <c r="Q6" s="239"/>
      <c r="R6" s="239"/>
      <c r="S6" s="191"/>
      <c r="T6" s="191"/>
      <c r="U6" s="191"/>
      <c r="V6" s="191"/>
      <c r="W6" s="191"/>
    </row>
    <row r="7" spans="1:24" ht="30" customHeight="1">
      <c r="A7" s="191"/>
      <c r="B7" s="61" t="s">
        <v>81</v>
      </c>
      <c r="C7" s="62">
        <v>20</v>
      </c>
      <c r="D7" s="197" t="s">
        <v>161</v>
      </c>
      <c r="E7" s="200"/>
      <c r="F7" s="200"/>
      <c r="G7" s="200"/>
      <c r="H7" s="200"/>
      <c r="I7" s="191"/>
      <c r="J7" s="191"/>
      <c r="K7" s="200"/>
      <c r="L7" s="191"/>
      <c r="M7" s="191"/>
      <c r="N7" s="191"/>
      <c r="O7" s="191"/>
      <c r="P7" s="191"/>
      <c r="Q7" s="191"/>
      <c r="R7" s="191"/>
      <c r="S7" s="191"/>
      <c r="T7" s="191"/>
      <c r="U7" s="191"/>
      <c r="V7" s="191"/>
      <c r="W7" s="191"/>
    </row>
    <row r="8" spans="1:24" ht="30" customHeight="1">
      <c r="A8" s="191"/>
      <c r="B8" s="87" t="s">
        <v>192</v>
      </c>
      <c r="C8" s="76">
        <f>Summary!C31</f>
        <v>693.5</v>
      </c>
      <c r="D8" s="205"/>
      <c r="E8" s="205"/>
      <c r="F8" s="205"/>
      <c r="G8" s="205"/>
      <c r="H8" s="205"/>
      <c r="I8" s="191"/>
      <c r="J8" s="191"/>
      <c r="K8" s="205"/>
      <c r="L8" s="191"/>
      <c r="M8" s="191"/>
      <c r="N8" s="191"/>
      <c r="O8" s="191"/>
      <c r="P8" s="191"/>
      <c r="Q8" s="191"/>
      <c r="R8" s="191"/>
      <c r="S8" s="191"/>
      <c r="T8" s="191"/>
      <c r="U8" s="191"/>
      <c r="V8" s="191"/>
      <c r="W8" s="191"/>
    </row>
    <row r="9" spans="1:24" ht="30" customHeight="1">
      <c r="A9" s="191"/>
      <c r="B9" s="88" t="s">
        <v>210</v>
      </c>
      <c r="C9" s="92">
        <v>20</v>
      </c>
      <c r="D9" s="241"/>
      <c r="E9" s="241"/>
      <c r="F9" s="241"/>
      <c r="G9" s="241"/>
      <c r="H9" s="200"/>
      <c r="I9" s="191"/>
      <c r="J9" s="191"/>
      <c r="K9" s="200"/>
      <c r="L9" s="191"/>
      <c r="M9" s="191"/>
      <c r="N9" s="191"/>
      <c r="O9" s="191"/>
      <c r="P9" s="191"/>
      <c r="Q9" s="191"/>
      <c r="R9" s="191"/>
      <c r="S9" s="191"/>
      <c r="T9" s="191"/>
      <c r="U9" s="191"/>
      <c r="V9" s="191"/>
      <c r="W9" s="191"/>
    </row>
    <row r="10" spans="1:24" ht="21.75" customHeight="1">
      <c r="A10" s="191"/>
      <c r="B10" s="87" t="s">
        <v>224</v>
      </c>
      <c r="C10" s="99">
        <f>C9*C8*1000000</f>
        <v>13870000000</v>
      </c>
      <c r="D10" s="242"/>
      <c r="E10" s="242"/>
      <c r="F10" s="242"/>
      <c r="G10" s="242"/>
      <c r="H10" s="200"/>
      <c r="I10" s="191"/>
      <c r="J10" s="191"/>
      <c r="K10" s="200"/>
      <c r="L10" s="191"/>
      <c r="M10" s="191"/>
      <c r="N10" s="191"/>
      <c r="O10" s="191"/>
      <c r="P10" s="191"/>
      <c r="Q10" s="191"/>
      <c r="R10" s="191"/>
      <c r="S10" s="191"/>
      <c r="T10" s="191"/>
      <c r="U10" s="191"/>
      <c r="V10" s="191"/>
      <c r="W10" s="191"/>
    </row>
    <row r="11" spans="1:24" ht="30" customHeight="1">
      <c r="A11" s="191"/>
      <c r="B11" s="88" t="s">
        <v>231</v>
      </c>
      <c r="C11" s="92">
        <v>7.0000000000000007E-2</v>
      </c>
      <c r="D11" s="241"/>
      <c r="E11" s="241"/>
      <c r="F11" s="241"/>
      <c r="G11" s="241"/>
      <c r="H11" s="200"/>
      <c r="I11" s="191"/>
      <c r="J11" s="191"/>
      <c r="K11" s="200"/>
      <c r="L11" s="191"/>
      <c r="M11" s="191"/>
      <c r="N11" s="191"/>
      <c r="O11" s="191"/>
      <c r="P11" s="191"/>
      <c r="Q11" s="191"/>
      <c r="R11" s="191"/>
      <c r="S11" s="191"/>
      <c r="T11" s="191"/>
      <c r="U11" s="191"/>
      <c r="V11" s="191"/>
      <c r="W11" s="191"/>
    </row>
    <row r="12" spans="1:24" ht="30" customHeight="1">
      <c r="A12" s="191"/>
      <c r="B12" s="87" t="s">
        <v>232</v>
      </c>
      <c r="C12" s="97"/>
      <c r="D12" s="200"/>
      <c r="E12" s="200"/>
      <c r="F12" s="200"/>
      <c r="G12" s="200"/>
      <c r="H12" s="200"/>
      <c r="I12" s="191"/>
      <c r="J12" s="191"/>
      <c r="K12" s="200"/>
      <c r="L12" s="191"/>
      <c r="M12" s="191"/>
      <c r="N12" s="191"/>
      <c r="O12" s="191"/>
      <c r="P12" s="191"/>
      <c r="Q12" s="191"/>
      <c r="R12" s="191"/>
      <c r="S12" s="191"/>
      <c r="T12" s="191"/>
      <c r="U12" s="191"/>
      <c r="V12" s="191"/>
      <c r="W12" s="191"/>
    </row>
    <row r="13" spans="1:24" ht="30" customHeight="1">
      <c r="A13" s="191"/>
      <c r="B13" s="100" t="s">
        <v>67</v>
      </c>
      <c r="C13" s="97">
        <v>4</v>
      </c>
      <c r="D13" s="200"/>
      <c r="E13" s="200"/>
      <c r="F13" s="200"/>
      <c r="G13" s="200"/>
      <c r="H13" s="241"/>
      <c r="I13" s="191"/>
      <c r="J13" s="191"/>
      <c r="K13" s="200"/>
      <c r="L13" s="191"/>
      <c r="M13" s="191"/>
      <c r="N13" s="191"/>
      <c r="O13" s="191"/>
      <c r="P13" s="191"/>
      <c r="Q13" s="191"/>
      <c r="R13" s="191"/>
      <c r="S13" s="191"/>
      <c r="T13" s="191"/>
      <c r="U13" s="191"/>
      <c r="V13" s="191"/>
      <c r="W13" s="191"/>
    </row>
    <row r="14" spans="1:24" ht="30" customHeight="1">
      <c r="A14" s="191"/>
      <c r="B14" s="100" t="s">
        <v>73</v>
      </c>
      <c r="C14" s="76">
        <f>Summary!C16</f>
        <v>5</v>
      </c>
      <c r="D14" s="200"/>
      <c r="E14" s="200"/>
      <c r="F14" s="200"/>
      <c r="G14" s="200"/>
      <c r="H14" s="200"/>
      <c r="I14" s="191"/>
      <c r="J14" s="191"/>
      <c r="K14" s="200"/>
      <c r="L14" s="191"/>
      <c r="M14" s="191"/>
      <c r="N14" s="191"/>
      <c r="O14" s="191"/>
      <c r="P14" s="191"/>
      <c r="Q14" s="191"/>
      <c r="R14" s="191"/>
      <c r="S14" s="191"/>
      <c r="T14" s="191"/>
      <c r="U14" s="191"/>
      <c r="V14" s="191"/>
      <c r="W14" s="191"/>
    </row>
    <row r="15" spans="1:24">
      <c r="A15" s="191"/>
      <c r="B15" s="100" t="s">
        <v>233</v>
      </c>
      <c r="C15" s="99">
        <f>C14*1000000*C13</f>
        <v>20000000</v>
      </c>
      <c r="D15" s="243"/>
      <c r="E15" s="243"/>
      <c r="F15" s="243"/>
      <c r="G15" s="243"/>
      <c r="H15" s="205"/>
      <c r="I15" s="191"/>
      <c r="J15" s="191"/>
      <c r="K15" s="205"/>
      <c r="L15" s="191"/>
      <c r="M15" s="191"/>
      <c r="N15" s="191"/>
      <c r="O15" s="191"/>
      <c r="P15" s="191"/>
      <c r="Q15" s="191"/>
      <c r="R15" s="191"/>
      <c r="S15" s="191"/>
      <c r="T15" s="191"/>
      <c r="U15" s="191"/>
      <c r="V15" s="191"/>
      <c r="W15" s="191"/>
    </row>
    <row r="16" spans="1:24" ht="30" customHeight="1">
      <c r="A16" s="191"/>
      <c r="B16" s="100" t="s">
        <v>241</v>
      </c>
      <c r="C16" s="76">
        <f>C10/C15</f>
        <v>693.5</v>
      </c>
      <c r="D16" s="205"/>
      <c r="E16" s="205"/>
      <c r="F16" s="205"/>
      <c r="G16" s="205"/>
      <c r="H16" s="205"/>
      <c r="I16" s="191"/>
      <c r="J16" s="191"/>
      <c r="K16" s="205"/>
      <c r="L16" s="191"/>
      <c r="M16" s="191"/>
      <c r="N16" s="191"/>
      <c r="O16" s="191"/>
      <c r="P16" s="191"/>
      <c r="Q16" s="191"/>
      <c r="R16" s="191"/>
      <c r="S16" s="191"/>
      <c r="T16" s="191"/>
      <c r="U16" s="191"/>
      <c r="V16" s="191"/>
      <c r="W16" s="191"/>
    </row>
    <row r="17" spans="1:23" ht="43.5" customHeight="1" thickBot="1">
      <c r="A17" s="191"/>
      <c r="B17" s="105" t="s">
        <v>88</v>
      </c>
      <c r="C17" s="112">
        <v>1000</v>
      </c>
      <c r="D17" s="205"/>
      <c r="E17" s="205"/>
      <c r="F17" s="205"/>
      <c r="G17" s="205"/>
      <c r="H17" s="205"/>
      <c r="I17" s="191"/>
      <c r="J17" s="191"/>
      <c r="K17" s="205"/>
      <c r="L17" s="191"/>
      <c r="M17" s="191"/>
      <c r="N17" s="191"/>
      <c r="O17" s="191"/>
      <c r="P17" s="191"/>
      <c r="Q17" s="191"/>
      <c r="R17" s="191"/>
      <c r="S17" s="191"/>
      <c r="T17" s="191"/>
      <c r="U17" s="191"/>
      <c r="V17" s="191"/>
      <c r="W17" s="191"/>
    </row>
    <row r="18" spans="1:23">
      <c r="A18" s="191"/>
      <c r="B18" s="248"/>
      <c r="C18" s="249"/>
      <c r="D18" s="205"/>
      <c r="E18" s="205"/>
      <c r="F18" s="205"/>
      <c r="G18" s="205"/>
      <c r="H18" s="205"/>
      <c r="I18" s="191"/>
      <c r="J18" s="191"/>
      <c r="K18" s="205"/>
      <c r="L18" s="191"/>
      <c r="M18" s="191"/>
      <c r="N18" s="191"/>
      <c r="O18" s="191"/>
      <c r="P18" s="191"/>
      <c r="Q18" s="191"/>
      <c r="R18" s="191"/>
      <c r="S18" s="191"/>
      <c r="T18" s="191"/>
      <c r="U18" s="191"/>
      <c r="V18" s="191"/>
      <c r="W18" s="191"/>
    </row>
    <row r="19" spans="1:23" ht="15.75" thickBot="1">
      <c r="A19" s="191"/>
      <c r="B19" s="248"/>
      <c r="C19" s="249"/>
      <c r="D19" s="205"/>
      <c r="E19" s="205"/>
      <c r="F19" s="205"/>
      <c r="G19" s="205"/>
      <c r="H19" s="205"/>
      <c r="I19" s="191"/>
      <c r="J19" s="191"/>
      <c r="K19" s="205"/>
      <c r="L19" s="191"/>
      <c r="M19" s="191"/>
      <c r="N19" s="191"/>
      <c r="O19" s="191"/>
      <c r="P19" s="191"/>
      <c r="Q19" s="191"/>
      <c r="R19" s="191"/>
      <c r="S19" s="191"/>
      <c r="T19" s="191"/>
      <c r="U19" s="191"/>
      <c r="V19" s="244" t="s">
        <v>270</v>
      </c>
      <c r="W19" s="234"/>
    </row>
    <row r="20" spans="1:23" ht="75.75" customHeight="1" thickBot="1">
      <c r="A20" s="229"/>
      <c r="B20" s="43" t="s">
        <v>46</v>
      </c>
      <c r="C20" s="43" t="s">
        <v>272</v>
      </c>
      <c r="D20" s="43" t="s">
        <v>273</v>
      </c>
      <c r="E20" s="43" t="s">
        <v>274</v>
      </c>
      <c r="F20" s="43" t="s">
        <v>175</v>
      </c>
      <c r="G20" s="43" t="s">
        <v>176</v>
      </c>
      <c r="H20" s="43" t="s">
        <v>275</v>
      </c>
      <c r="I20" s="43" t="s">
        <v>276</v>
      </c>
      <c r="J20" s="43" t="s">
        <v>277</v>
      </c>
      <c r="K20" s="43" t="s">
        <v>278</v>
      </c>
      <c r="L20" s="43" t="s">
        <v>279</v>
      </c>
      <c r="M20" s="43" t="s">
        <v>280</v>
      </c>
      <c r="N20" s="43" t="s">
        <v>281</v>
      </c>
      <c r="O20" s="43" t="s">
        <v>282</v>
      </c>
      <c r="P20" s="43" t="s">
        <v>283</v>
      </c>
      <c r="Q20" s="43" t="s">
        <v>284</v>
      </c>
      <c r="R20" s="43" t="s">
        <v>285</v>
      </c>
      <c r="S20" s="250" t="s">
        <v>286</v>
      </c>
      <c r="T20" s="250" t="s">
        <v>287</v>
      </c>
      <c r="U20" s="250" t="s">
        <v>288</v>
      </c>
      <c r="V20" s="250" t="s">
        <v>289</v>
      </c>
      <c r="W20" s="250" t="s">
        <v>290</v>
      </c>
    </row>
    <row r="21" spans="1:23">
      <c r="A21" s="191"/>
      <c r="B21" s="54">
        <v>1</v>
      </c>
      <c r="C21" s="115">
        <f>E21</f>
        <v>693.5</v>
      </c>
      <c r="D21" s="48">
        <f t="shared" ref="D21:D122" si="0">H21/K21</f>
        <v>0</v>
      </c>
      <c r="E21" s="115">
        <f>M21/C$15</f>
        <v>693.5</v>
      </c>
      <c r="F21" s="116">
        <f t="shared" ref="F21:F122" si="1">E21*C$17/1000000</f>
        <v>0.69350000000000001</v>
      </c>
      <c r="G21" s="118">
        <f>C21/Summary!C$23</f>
        <v>9.8930099857346653E-3</v>
      </c>
      <c r="H21" s="119">
        <v>0</v>
      </c>
      <c r="I21" s="119">
        <f>Summary!C32</f>
        <v>49.716666666666669</v>
      </c>
      <c r="J21" s="119">
        <f>Summary!C33</f>
        <v>298.20499999999998</v>
      </c>
      <c r="K21" s="119">
        <f t="shared" ref="K21:K122" si="2">SUM(I21:J21)</f>
        <v>347.92166666666662</v>
      </c>
      <c r="L21" s="120"/>
      <c r="M21" s="122">
        <f t="shared" ref="M21:M122" si="3">C$10+L21</f>
        <v>13870000000</v>
      </c>
      <c r="N21" s="120">
        <f t="shared" ref="N21:N122" ca="1" si="4">ROUNDUP(IF(B21&gt;$C$7,OFFSET(E21,-1*$C$7,0),0),0)</f>
        <v>0</v>
      </c>
      <c r="O21" s="48">
        <f t="shared" ref="O21:O122" si="5">H21/I21*100%</f>
        <v>0</v>
      </c>
      <c r="P21" s="115">
        <f>C21*Summary!$C$16</f>
        <v>3467.5</v>
      </c>
      <c r="Q21" s="115">
        <f>P21*Summary!$C$17</f>
        <v>1387</v>
      </c>
      <c r="R21" s="48">
        <f>Q21/'Alberta Electricity Profile'!$C$33</f>
        <v>9.3068509696034349E-2</v>
      </c>
      <c r="S21" s="251">
        <f>P21/'Alberta Electricity Profile'!$D$49</f>
        <v>2.6562128953678099E-2</v>
      </c>
      <c r="T21" s="252">
        <f t="shared" ref="T21:T122" si="6">$K$21</f>
        <v>347.92166666666662</v>
      </c>
      <c r="U21" s="253">
        <v>0</v>
      </c>
      <c r="V21" s="253">
        <f>U21/Q21*1000</f>
        <v>0</v>
      </c>
      <c r="W21" s="253"/>
    </row>
    <row r="22" spans="1:23">
      <c r="A22" s="191"/>
      <c r="B22" s="124">
        <f t="shared" ref="B22:B122" si="7">B21+1</f>
        <v>2</v>
      </c>
      <c r="C22" s="115">
        <f t="shared" ref="C22:C122" ca="1" si="8">C21+E22-N22</f>
        <v>1430.5</v>
      </c>
      <c r="D22" s="48">
        <f t="shared" si="0"/>
        <v>1.270703529117796E-2</v>
      </c>
      <c r="E22" s="120">
        <f t="shared" ref="E22:E122" si="9">ROUNDDOWN(M22/C$15,0)</f>
        <v>737</v>
      </c>
      <c r="F22" s="116">
        <f t="shared" si="1"/>
        <v>0.73699999999999999</v>
      </c>
      <c r="G22" s="118">
        <f ca="1">C22/Summary!C$23</f>
        <v>2.0406562054208273E-2</v>
      </c>
      <c r="H22" s="119">
        <f>H21+('Dev Plan (Wind)'!C21/Summary!C$23)*Summary!C$27</f>
        <v>8.8421057937975753</v>
      </c>
      <c r="I22" s="119">
        <f t="shared" ref="I22:I122" si="10">I21+$I$21</f>
        <v>99.433333333333337</v>
      </c>
      <c r="J22" s="119">
        <f t="shared" ref="J22:J122" si="11">J21+$J$21</f>
        <v>596.41</v>
      </c>
      <c r="K22" s="119">
        <f t="shared" si="2"/>
        <v>695.84333333333325</v>
      </c>
      <c r="L22" s="122">
        <f>C21*Summary!C$16*Summary!C$17*24*375*1000*C$11</f>
        <v>873810000.00000012</v>
      </c>
      <c r="M22" s="122">
        <f t="shared" si="3"/>
        <v>14743810000</v>
      </c>
      <c r="N22" s="120">
        <f t="shared" ca="1" si="4"/>
        <v>0</v>
      </c>
      <c r="O22" s="48">
        <f t="shared" si="5"/>
        <v>8.8924966079090603E-2</v>
      </c>
      <c r="P22" s="115">
        <f ca="1">C22*Summary!$C$16</f>
        <v>7152.5</v>
      </c>
      <c r="Q22" s="115">
        <f ca="1">P22*Summary!$C$17</f>
        <v>2861</v>
      </c>
      <c r="R22" s="48">
        <f ca="1">Q22/'Alberta Electricity Profile'!$C$33</f>
        <v>0.19197477018050058</v>
      </c>
      <c r="S22" s="254">
        <f ca="1">P22/'Alberta Electricity Profile'!$D$49</f>
        <v>5.4790375585056263E-2</v>
      </c>
      <c r="T22" s="255">
        <f t="shared" si="6"/>
        <v>347.92166666666662</v>
      </c>
      <c r="U22" s="255">
        <f t="shared" ref="U22:U122" si="12">H22-H21</f>
        <v>8.8421057937975753</v>
      </c>
      <c r="V22" s="256">
        <f t="shared" ref="V22:V122" si="13">U22/Q21*1000</f>
        <v>6.3749861527019291</v>
      </c>
      <c r="W22" s="256">
        <f t="shared" ref="W22:W122" si="14">(H22-H21)/C21*1000*1000</f>
        <v>12749.972305403859</v>
      </c>
    </row>
    <row r="23" spans="1:23">
      <c r="A23" s="191"/>
      <c r="B23" s="124">
        <f t="shared" si="7"/>
        <v>3</v>
      </c>
      <c r="C23" s="115">
        <f t="shared" ca="1" si="8"/>
        <v>2213.5</v>
      </c>
      <c r="D23" s="48">
        <f t="shared" ca="1" si="0"/>
        <v>2.5945439037214114E-2</v>
      </c>
      <c r="E23" s="120">
        <f t="shared" ca="1" si="9"/>
        <v>783</v>
      </c>
      <c r="F23" s="116">
        <f t="shared" ca="1" si="1"/>
        <v>0.78300000000000003</v>
      </c>
      <c r="G23" s="118">
        <f ca="1">C23/Summary!C$23</f>
        <v>3.1576319543509271E-2</v>
      </c>
      <c r="H23" s="119">
        <f ca="1">H22+('Dev Plan (Wind)'!C22/Summary!C$23)*Summary!C$27</f>
        <v>27.080941176677793</v>
      </c>
      <c r="I23" s="119">
        <f t="shared" si="10"/>
        <v>149.15</v>
      </c>
      <c r="J23" s="119">
        <f t="shared" si="11"/>
        <v>894.61500000000001</v>
      </c>
      <c r="K23" s="119">
        <f t="shared" si="2"/>
        <v>1043.7650000000001</v>
      </c>
      <c r="L23" s="122">
        <f ca="1">C22*Summary!C$16*Summary!C$17*24*375*1000*C$11</f>
        <v>1802430000.0000002</v>
      </c>
      <c r="M23" s="122">
        <f t="shared" ca="1" si="3"/>
        <v>15672430000</v>
      </c>
      <c r="N23" s="120">
        <f t="shared" ca="1" si="4"/>
        <v>0</v>
      </c>
      <c r="O23" s="48">
        <f t="shared" ca="1" si="5"/>
        <v>0.18156849598845318</v>
      </c>
      <c r="P23" s="115">
        <f ca="1">C23*Summary!$C$16</f>
        <v>11067.5</v>
      </c>
      <c r="Q23" s="115">
        <f ca="1">P23*Summary!$C$17</f>
        <v>4427</v>
      </c>
      <c r="R23" s="48">
        <f ca="1">Q23/'Alberta Electricity Profile'!$C$33</f>
        <v>0.29705428437227405</v>
      </c>
      <c r="S23" s="254">
        <f ca="1">P23/'Alberta Electricity Profile'!$D$49</f>
        <v>8.4780493783657498E-2</v>
      </c>
      <c r="T23" s="255">
        <f t="shared" si="6"/>
        <v>347.92166666666662</v>
      </c>
      <c r="U23" s="255">
        <f t="shared" ca="1" si="12"/>
        <v>18.238835382880218</v>
      </c>
      <c r="V23" s="256">
        <f t="shared" ca="1" si="13"/>
        <v>6.3749861527019283</v>
      </c>
      <c r="W23" s="256">
        <f t="shared" ca="1" si="14"/>
        <v>12749.972305403857</v>
      </c>
    </row>
    <row r="24" spans="1:23">
      <c r="A24" s="191"/>
      <c r="B24" s="124">
        <f t="shared" si="7"/>
        <v>4</v>
      </c>
      <c r="C24" s="115">
        <f t="shared" ca="1" si="8"/>
        <v>3045.5</v>
      </c>
      <c r="D24" s="48">
        <f t="shared" ca="1" si="0"/>
        <v>3.9738115050817882E-2</v>
      </c>
      <c r="E24" s="120">
        <f t="shared" ca="1" si="9"/>
        <v>832</v>
      </c>
      <c r="F24" s="116">
        <f t="shared" ca="1" si="1"/>
        <v>0.83199999999999996</v>
      </c>
      <c r="G24" s="118">
        <f ca="1">C24/Summary!C$23</f>
        <v>4.3445078459343797E-2</v>
      </c>
      <c r="H24" s="119">
        <f ca="1">H23+('Dev Plan (Wind)'!C23/Summary!C$23)*Summary!C$27</f>
        <v>55.303004874689229</v>
      </c>
      <c r="I24" s="119">
        <f t="shared" si="10"/>
        <v>198.86666666666667</v>
      </c>
      <c r="J24" s="119">
        <f t="shared" si="11"/>
        <v>1192.82</v>
      </c>
      <c r="K24" s="119">
        <f t="shared" si="2"/>
        <v>1391.6866666666665</v>
      </c>
      <c r="L24" s="122">
        <f ca="1">C23*Summary!C$16*Summary!C$17*24*375*1000*C$11</f>
        <v>2789010000.0000005</v>
      </c>
      <c r="M24" s="122">
        <f t="shared" ca="1" si="3"/>
        <v>16659010000</v>
      </c>
      <c r="N24" s="120">
        <f t="shared" ca="1" si="4"/>
        <v>0</v>
      </c>
      <c r="O24" s="48">
        <f t="shared" ca="1" si="5"/>
        <v>0.27809087265180638</v>
      </c>
      <c r="P24" s="115">
        <f ca="1">C24*Summary!$C$16</f>
        <v>15227.5</v>
      </c>
      <c r="Q24" s="115">
        <f ca="1">P24*Summary!$C$17</f>
        <v>6091</v>
      </c>
      <c r="R24" s="48">
        <f ca="1">Q24/'Alberta Electricity Profile'!$C$33</f>
        <v>0.40870965577400525</v>
      </c>
      <c r="S24" s="254">
        <f ca="1">P24/'Alberta Electricity Profile'!$D$49</f>
        <v>0.11664738821690937</v>
      </c>
      <c r="T24" s="255">
        <f t="shared" si="6"/>
        <v>347.92166666666662</v>
      </c>
      <c r="U24" s="255">
        <f t="shared" ca="1" si="12"/>
        <v>28.222063698011436</v>
      </c>
      <c r="V24" s="256">
        <f t="shared" ca="1" si="13"/>
        <v>6.3749861527019283</v>
      </c>
      <c r="W24" s="256">
        <f t="shared" ca="1" si="14"/>
        <v>12749.972305403857</v>
      </c>
    </row>
    <row r="25" spans="1:23">
      <c r="A25" s="191"/>
      <c r="B25" s="124">
        <f t="shared" si="7"/>
        <v>5</v>
      </c>
      <c r="C25" s="115">
        <f t="shared" ca="1" si="8"/>
        <v>3930.5</v>
      </c>
      <c r="D25" s="48">
        <f t="shared" ca="1" si="0"/>
        <v>5.4111631754732159E-2</v>
      </c>
      <c r="E25" s="120">
        <f t="shared" ca="1" si="9"/>
        <v>885</v>
      </c>
      <c r="F25" s="116">
        <f t="shared" ca="1" si="1"/>
        <v>0.88500000000000001</v>
      </c>
      <c r="G25" s="118">
        <f ca="1">C25/Summary!C$23</f>
        <v>5.6069900142653353E-2</v>
      </c>
      <c r="H25" s="119">
        <f ca="1">H24+('Dev Plan (Wind)'!C24/Summary!C$23)*Summary!C$27</f>
        <v>94.133045530796679</v>
      </c>
      <c r="I25" s="119">
        <f t="shared" si="10"/>
        <v>248.58333333333334</v>
      </c>
      <c r="J25" s="119">
        <f t="shared" si="11"/>
        <v>1491.0249999999999</v>
      </c>
      <c r="K25" s="119">
        <f t="shared" si="2"/>
        <v>1739.6083333333331</v>
      </c>
      <c r="L25" s="122">
        <f ca="1">C24*Summary!C$16*Summary!C$17*24*375*1000*C$11</f>
        <v>3837330000.0000005</v>
      </c>
      <c r="M25" s="122">
        <f t="shared" ca="1" si="3"/>
        <v>17707330000</v>
      </c>
      <c r="N25" s="120">
        <f t="shared" ca="1" si="4"/>
        <v>0</v>
      </c>
      <c r="O25" s="48">
        <f t="shared" ca="1" si="5"/>
        <v>0.37867802426066377</v>
      </c>
      <c r="P25" s="115">
        <f ca="1">C25*Summary!$C$16</f>
        <v>19652.5</v>
      </c>
      <c r="Q25" s="115">
        <f ca="1">P25*Summary!$C$17</f>
        <v>7861</v>
      </c>
      <c r="R25" s="48">
        <f ca="1">Q25/'Alberta Electricity Profile'!$C$33</f>
        <v>0.52747768905589476</v>
      </c>
      <c r="S25" s="254">
        <f ca="1">P25/'Alberta Electricity Profile'!$D$49</f>
        <v>0.15054426510804869</v>
      </c>
      <c r="T25" s="255">
        <f t="shared" si="6"/>
        <v>347.92166666666662</v>
      </c>
      <c r="U25" s="255">
        <f t="shared" ca="1" si="12"/>
        <v>38.83004065610745</v>
      </c>
      <c r="V25" s="256">
        <f t="shared" ca="1" si="13"/>
        <v>6.3749861527019291</v>
      </c>
      <c r="W25" s="256">
        <f t="shared" ca="1" si="14"/>
        <v>12749.972305403859</v>
      </c>
    </row>
    <row r="26" spans="1:23">
      <c r="A26" s="191"/>
      <c r="B26" s="124">
        <f t="shared" si="7"/>
        <v>6</v>
      </c>
      <c r="C26" s="115">
        <f t="shared" ca="1" si="8"/>
        <v>4871.5</v>
      </c>
      <c r="D26" s="48">
        <f t="shared" ca="1" si="0"/>
        <v>6.9099276023427955E-2</v>
      </c>
      <c r="E26" s="120">
        <f t="shared" ca="1" si="9"/>
        <v>941</v>
      </c>
      <c r="F26" s="116">
        <f t="shared" ca="1" si="1"/>
        <v>0.94099999999999995</v>
      </c>
      <c r="G26" s="118">
        <f ca="1">C26/Summary!C$23</f>
        <v>6.9493580599144081E-2</v>
      </c>
      <c r="H26" s="119">
        <f ca="1">H25+('Dev Plan (Wind)'!C25/Summary!C$23)*Summary!C$27</f>
        <v>144.24681167718654</v>
      </c>
      <c r="I26" s="119">
        <f t="shared" si="10"/>
        <v>298.3</v>
      </c>
      <c r="J26" s="119">
        <f t="shared" si="11"/>
        <v>1789.2299999999998</v>
      </c>
      <c r="K26" s="119">
        <f t="shared" si="2"/>
        <v>2087.5299999999997</v>
      </c>
      <c r="L26" s="122">
        <f ca="1">C25*Summary!C$16*Summary!C$17*24*375*1000*C$11</f>
        <v>4952430000</v>
      </c>
      <c r="M26" s="122">
        <f t="shared" ca="1" si="3"/>
        <v>18822430000</v>
      </c>
      <c r="N26" s="120">
        <f t="shared" ca="1" si="4"/>
        <v>0</v>
      </c>
      <c r="O26" s="48">
        <f t="shared" ca="1" si="5"/>
        <v>0.4835628953308298</v>
      </c>
      <c r="P26" s="115">
        <f ca="1">C26*Summary!$C$16</f>
        <v>24357.5</v>
      </c>
      <c r="Q26" s="115">
        <f ca="1">P26*Summary!$C$17</f>
        <v>9743</v>
      </c>
      <c r="R26" s="48">
        <f ca="1">Q26/'Alberta Electricity Profile'!$C$33</f>
        <v>0.65376098772059321</v>
      </c>
      <c r="S26" s="254">
        <f ca="1">P26/'Alberta Electricity Profile'!$D$49</f>
        <v>0.18658602912450303</v>
      </c>
      <c r="T26" s="255">
        <f t="shared" si="6"/>
        <v>347.92166666666662</v>
      </c>
      <c r="U26" s="255">
        <f t="shared" ca="1" si="12"/>
        <v>50.113766146389864</v>
      </c>
      <c r="V26" s="256">
        <f t="shared" ca="1" si="13"/>
        <v>6.3749861527019291</v>
      </c>
      <c r="W26" s="256">
        <f t="shared" ca="1" si="14"/>
        <v>12749.972305403859</v>
      </c>
    </row>
    <row r="27" spans="1:23">
      <c r="A27" s="191"/>
      <c r="B27" s="124">
        <f t="shared" si="7"/>
        <v>7</v>
      </c>
      <c r="C27" s="115">
        <f t="shared" ca="1" si="8"/>
        <v>5871.5</v>
      </c>
      <c r="D27" s="48">
        <f t="shared" ca="1" si="0"/>
        <v>8.4731019131822127E-2</v>
      </c>
      <c r="E27" s="120">
        <f t="shared" ca="1" si="9"/>
        <v>1000</v>
      </c>
      <c r="F27" s="116">
        <f t="shared" ca="1" si="1"/>
        <v>1</v>
      </c>
      <c r="G27" s="118">
        <f ca="1">C27/Summary!C$23</f>
        <v>8.3758915834522107E-2</v>
      </c>
      <c r="H27" s="119">
        <f ca="1">H26+('Dev Plan (Wind)'!C26/Summary!C$23)*Summary!C$27</f>
        <v>206.35830176296145</v>
      </c>
      <c r="I27" s="119">
        <f t="shared" si="10"/>
        <v>348.01666666666665</v>
      </c>
      <c r="J27" s="119">
        <f t="shared" si="11"/>
        <v>2087.4349999999999</v>
      </c>
      <c r="K27" s="119">
        <f t="shared" si="2"/>
        <v>2435.4516666666668</v>
      </c>
      <c r="L27" s="122">
        <f ca="1">C26*Summary!C$16*Summary!C$17*24*375*1000*C$11</f>
        <v>6138090000.000001</v>
      </c>
      <c r="M27" s="122">
        <f t="shared" ca="1" si="3"/>
        <v>20008090000</v>
      </c>
      <c r="N27" s="120">
        <f t="shared" ca="1" si="4"/>
        <v>0</v>
      </c>
      <c r="O27" s="48">
        <f t="shared" ca="1" si="5"/>
        <v>0.59295522751677066</v>
      </c>
      <c r="P27" s="115">
        <f ca="1">C27*Summary!$C$16</f>
        <v>29357.5</v>
      </c>
      <c r="Q27" s="115">
        <f ca="1">P27*Summary!$C$17</f>
        <v>11743</v>
      </c>
      <c r="R27" s="48">
        <f ca="1">Q27/'Alberta Electricity Profile'!$C$33</f>
        <v>0.78796215527075086</v>
      </c>
      <c r="S27" s="254">
        <f ca="1">P27/'Alberta Electricity Profile'!$D$49</f>
        <v>0.22488758493370001</v>
      </c>
      <c r="T27" s="255">
        <f t="shared" si="6"/>
        <v>347.92166666666662</v>
      </c>
      <c r="U27" s="255">
        <f t="shared" ca="1" si="12"/>
        <v>62.111490085774903</v>
      </c>
      <c r="V27" s="256">
        <f t="shared" ca="1" si="13"/>
        <v>6.37498615270193</v>
      </c>
      <c r="W27" s="256">
        <f t="shared" ca="1" si="14"/>
        <v>12749.97230540386</v>
      </c>
    </row>
    <row r="28" spans="1:23">
      <c r="A28" s="191"/>
      <c r="B28" s="124">
        <f t="shared" si="7"/>
        <v>8</v>
      </c>
      <c r="C28" s="115">
        <f t="shared" ca="1" si="8"/>
        <v>6934.5</v>
      </c>
      <c r="D28" s="48">
        <f t="shared" ca="1" si="0"/>
        <v>0.10103558900499882</v>
      </c>
      <c r="E28" s="120">
        <f t="shared" ca="1" si="9"/>
        <v>1063</v>
      </c>
      <c r="F28" s="116">
        <f t="shared" ca="1" si="1"/>
        <v>1.0629999999999999</v>
      </c>
      <c r="G28" s="118">
        <f ca="1">C28/Summary!C$23</f>
        <v>9.8922967189728955E-2</v>
      </c>
      <c r="H28" s="119">
        <f ca="1">H27+('Dev Plan (Wind)'!C27/Summary!C$23)*Summary!C$27</f>
        <v>281.21976415414019</v>
      </c>
      <c r="I28" s="119">
        <f t="shared" si="10"/>
        <v>397.73333333333335</v>
      </c>
      <c r="J28" s="119">
        <f t="shared" si="11"/>
        <v>2385.64</v>
      </c>
      <c r="K28" s="119">
        <f t="shared" si="2"/>
        <v>2783.373333333333</v>
      </c>
      <c r="L28" s="122">
        <f ca="1">C27*Summary!C$16*Summary!C$17*24*375*1000*C$11</f>
        <v>7398090000.000001</v>
      </c>
      <c r="M28" s="122">
        <f t="shared" ca="1" si="3"/>
        <v>21268090000</v>
      </c>
      <c r="N28" s="120">
        <f t="shared" ca="1" si="4"/>
        <v>0</v>
      </c>
      <c r="O28" s="48">
        <f t="shared" ca="1" si="5"/>
        <v>0.70705606139995014</v>
      </c>
      <c r="P28" s="115">
        <f ca="1">C28*Summary!$C$16</f>
        <v>34672.5</v>
      </c>
      <c r="Q28" s="115">
        <f ca="1">P28*Summary!$C$17</f>
        <v>13869</v>
      </c>
      <c r="R28" s="48">
        <f ca="1">Q28/'Alberta Electricity Profile'!$C$33</f>
        <v>0.9306179963765685</v>
      </c>
      <c r="S28" s="254">
        <f ca="1">P28/'Alberta Electricity Profile'!$D$49</f>
        <v>0.26560213875887639</v>
      </c>
      <c r="T28" s="255">
        <f t="shared" si="6"/>
        <v>347.92166666666662</v>
      </c>
      <c r="U28" s="255">
        <f t="shared" ca="1" si="12"/>
        <v>74.861462391178748</v>
      </c>
      <c r="V28" s="256">
        <f t="shared" ca="1" si="13"/>
        <v>6.3749861527019283</v>
      </c>
      <c r="W28" s="256">
        <f t="shared" ca="1" si="14"/>
        <v>12749.972305403857</v>
      </c>
    </row>
    <row r="29" spans="1:23">
      <c r="A29" s="191"/>
      <c r="B29" s="124">
        <f t="shared" si="7"/>
        <v>9</v>
      </c>
      <c r="C29" s="115">
        <f t="shared" ca="1" si="8"/>
        <v>8064.5</v>
      </c>
      <c r="D29" s="48">
        <f t="shared" ca="1" si="0"/>
        <v>0.11804523275704244</v>
      </c>
      <c r="E29" s="120">
        <f t="shared" ca="1" si="9"/>
        <v>1130</v>
      </c>
      <c r="F29" s="116">
        <f t="shared" ca="1" si="1"/>
        <v>1.1299999999999999</v>
      </c>
      <c r="G29" s="118">
        <f ca="1">C29/Summary!C$23</f>
        <v>0.11504279600570613</v>
      </c>
      <c r="H29" s="119">
        <f ca="1">H28+('Dev Plan (Wind)'!C28/Summary!C$23)*Summary!C$27</f>
        <v>369.6344471059632</v>
      </c>
      <c r="I29" s="119">
        <f t="shared" si="10"/>
        <v>447.45000000000005</v>
      </c>
      <c r="J29" s="119">
        <f t="shared" si="11"/>
        <v>2683.8449999999998</v>
      </c>
      <c r="K29" s="119">
        <f t="shared" si="2"/>
        <v>3131.2950000000001</v>
      </c>
      <c r="L29" s="122">
        <f ca="1">C28*Summary!C$16*Summary!C$17*24*375*1000*C$11</f>
        <v>8737470000</v>
      </c>
      <c r="M29" s="122">
        <f t="shared" ca="1" si="3"/>
        <v>22607470000</v>
      </c>
      <c r="N29" s="120">
        <f t="shared" ca="1" si="4"/>
        <v>0</v>
      </c>
      <c r="O29" s="48">
        <f t="shared" ca="1" si="5"/>
        <v>0.82609106516027075</v>
      </c>
      <c r="P29" s="115">
        <f ca="1">C29*Summary!$C$16</f>
        <v>40322.5</v>
      </c>
      <c r="Q29" s="115">
        <f ca="1">P29*Summary!$C$17</f>
        <v>16129</v>
      </c>
      <c r="R29" s="48">
        <f ca="1">Q29/'Alberta Electricity Profile'!$C$33</f>
        <v>1.0822653157082467</v>
      </c>
      <c r="S29" s="254">
        <f ca="1">P29/'Alberta Electricity Profile'!$D$49</f>
        <v>0.30888289682326897</v>
      </c>
      <c r="T29" s="255">
        <f t="shared" si="6"/>
        <v>347.92166666666662</v>
      </c>
      <c r="U29" s="255">
        <f t="shared" ca="1" si="12"/>
        <v>88.414682951823011</v>
      </c>
      <c r="V29" s="256">
        <f t="shared" ca="1" si="13"/>
        <v>6.3749861527019256</v>
      </c>
      <c r="W29" s="256">
        <f t="shared" ca="1" si="14"/>
        <v>12749.972305403851</v>
      </c>
    </row>
    <row r="30" spans="1:23">
      <c r="A30" s="191"/>
      <c r="B30" s="124">
        <f t="shared" si="7"/>
        <v>10</v>
      </c>
      <c r="C30" s="115">
        <f t="shared" ca="1" si="8"/>
        <v>9265.5</v>
      </c>
      <c r="D30" s="48">
        <f t="shared" ca="1" si="0"/>
        <v>0.13579395709653783</v>
      </c>
      <c r="E30" s="120">
        <f t="shared" ca="1" si="9"/>
        <v>1201</v>
      </c>
      <c r="F30" s="116">
        <f t="shared" ca="1" si="1"/>
        <v>1.2010000000000001</v>
      </c>
      <c r="G30" s="118">
        <f ca="1">C30/Summary!C$23</f>
        <v>0.13217546362339516</v>
      </c>
      <c r="H30" s="119">
        <f ca="1">H29+('Dev Plan (Wind)'!C29/Summary!C$23)*Summary!C$27</f>
        <v>472.45659876289261</v>
      </c>
      <c r="I30" s="119">
        <f t="shared" si="10"/>
        <v>497.16666666666674</v>
      </c>
      <c r="J30" s="119">
        <f t="shared" si="11"/>
        <v>2982.0499999999997</v>
      </c>
      <c r="K30" s="119">
        <f t="shared" si="2"/>
        <v>3479.2166666666662</v>
      </c>
      <c r="L30" s="122">
        <f ca="1">C29*Summary!C$16*Summary!C$17*24*375*1000*C$11</f>
        <v>10161270000.000002</v>
      </c>
      <c r="M30" s="122">
        <f t="shared" ca="1" si="3"/>
        <v>24031270000</v>
      </c>
      <c r="N30" s="120">
        <f t="shared" ca="1" si="4"/>
        <v>0</v>
      </c>
      <c r="O30" s="48">
        <f t="shared" ca="1" si="5"/>
        <v>0.95029822077685389</v>
      </c>
      <c r="P30" s="115">
        <f ca="1">C30*Summary!$C$16</f>
        <v>46327.5</v>
      </c>
      <c r="Q30" s="115">
        <f ca="1">P30*Summary!$C$17</f>
        <v>18531</v>
      </c>
      <c r="R30" s="48">
        <f ca="1">Q30/'Alberta Electricity Profile'!$C$33</f>
        <v>1.243440917935986</v>
      </c>
      <c r="S30" s="254">
        <f ca="1">P30/'Alberta Electricity Profile'!$D$49</f>
        <v>0.35488306535011455</v>
      </c>
      <c r="T30" s="255">
        <f t="shared" si="6"/>
        <v>347.92166666666662</v>
      </c>
      <c r="U30" s="255">
        <f t="shared" ca="1" si="12"/>
        <v>102.82215165692941</v>
      </c>
      <c r="V30" s="256">
        <f t="shared" ca="1" si="13"/>
        <v>6.3749861527019283</v>
      </c>
      <c r="W30" s="256">
        <f t="shared" ca="1" si="14"/>
        <v>12749.972305403857</v>
      </c>
    </row>
    <row r="31" spans="1:23">
      <c r="A31" s="191"/>
      <c r="B31" s="124">
        <f t="shared" si="7"/>
        <v>11</v>
      </c>
      <c r="C31" s="115">
        <f t="shared" ca="1" si="8"/>
        <v>10542.5</v>
      </c>
      <c r="D31" s="48">
        <f t="shared" ca="1" si="0"/>
        <v>0.15431672851088793</v>
      </c>
      <c r="E31" s="120">
        <f t="shared" ca="1" si="9"/>
        <v>1277</v>
      </c>
      <c r="F31" s="116">
        <f t="shared" ca="1" si="1"/>
        <v>1.2769999999999999</v>
      </c>
      <c r="G31" s="118">
        <f ca="1">C31/Summary!C$23</f>
        <v>0.15039229671897289</v>
      </c>
      <c r="H31" s="119">
        <f ca="1">H30+('Dev Plan (Wind)'!C30/Summary!C$23)*Summary!C$27</f>
        <v>590.59146715861209</v>
      </c>
      <c r="I31" s="119">
        <f t="shared" si="10"/>
        <v>546.88333333333344</v>
      </c>
      <c r="J31" s="119">
        <f t="shared" si="11"/>
        <v>3280.2549999999997</v>
      </c>
      <c r="K31" s="119">
        <f t="shared" si="2"/>
        <v>3827.1383333333333</v>
      </c>
      <c r="L31" s="122">
        <f ca="1">C30*Summary!C$16*Summary!C$17*24*375*1000*C$11</f>
        <v>11674530000.000002</v>
      </c>
      <c r="M31" s="122">
        <f t="shared" ca="1" si="3"/>
        <v>25544530000</v>
      </c>
      <c r="N31" s="120">
        <f t="shared" ca="1" si="4"/>
        <v>0</v>
      </c>
      <c r="O31" s="48">
        <f t="shared" ca="1" si="5"/>
        <v>1.0799222268465767</v>
      </c>
      <c r="P31" s="115">
        <f ca="1">C31*Summary!$C$16</f>
        <v>52712.5</v>
      </c>
      <c r="Q31" s="115">
        <f ca="1">P31*Summary!$C$17</f>
        <v>21085</v>
      </c>
      <c r="R31" s="48">
        <f ca="1">Q31/'Alberta Electricity Profile'!$C$33</f>
        <v>1.4148158088975373</v>
      </c>
      <c r="S31" s="254">
        <f ca="1">P31/'Alberta Electricity Profile'!$D$49</f>
        <v>0.40379415211845904</v>
      </c>
      <c r="T31" s="255">
        <f t="shared" si="6"/>
        <v>347.92166666666662</v>
      </c>
      <c r="U31" s="255">
        <f t="shared" ca="1" si="12"/>
        <v>118.13486839571948</v>
      </c>
      <c r="V31" s="256">
        <f t="shared" ca="1" si="13"/>
        <v>6.3749861527019309</v>
      </c>
      <c r="W31" s="256">
        <f t="shared" ca="1" si="14"/>
        <v>12749.972305403862</v>
      </c>
    </row>
    <row r="32" spans="1:23">
      <c r="A32" s="191"/>
      <c r="B32" s="124">
        <f t="shared" si="7"/>
        <v>12</v>
      </c>
      <c r="C32" s="115">
        <f t="shared" ca="1" si="8"/>
        <v>11899.5</v>
      </c>
      <c r="D32" s="48">
        <f t="shared" ca="1" si="0"/>
        <v>0.17365212720016776</v>
      </c>
      <c r="E32" s="120">
        <f t="shared" ca="1" si="9"/>
        <v>1357</v>
      </c>
      <c r="F32" s="116">
        <f t="shared" ca="1" si="1"/>
        <v>1.357</v>
      </c>
      <c r="G32" s="118">
        <f ca="1">C32/Summary!C$23</f>
        <v>0.16975035663338089</v>
      </c>
      <c r="H32" s="119">
        <f ca="1">H31+('Dev Plan (Wind)'!C31/Summary!C$23)*Summary!C$27</f>
        <v>725.00805018833228</v>
      </c>
      <c r="I32" s="119">
        <f t="shared" si="10"/>
        <v>596.60000000000014</v>
      </c>
      <c r="J32" s="119">
        <f t="shared" si="11"/>
        <v>3578.4599999999996</v>
      </c>
      <c r="K32" s="119">
        <f t="shared" si="2"/>
        <v>4175.0599999999995</v>
      </c>
      <c r="L32" s="122">
        <f ca="1">C31*Summary!C$16*Summary!C$17*24*375*1000*C$11</f>
        <v>13283550000.000002</v>
      </c>
      <c r="M32" s="122">
        <f t="shared" ca="1" si="3"/>
        <v>27153550000</v>
      </c>
      <c r="N32" s="120">
        <f t="shared" ca="1" si="4"/>
        <v>0</v>
      </c>
      <c r="O32" s="48">
        <f t="shared" ca="1" si="5"/>
        <v>1.215233071049836</v>
      </c>
      <c r="P32" s="115">
        <f ca="1">C32*Summary!$C$16</f>
        <v>59497.5</v>
      </c>
      <c r="Q32" s="115">
        <f ca="1">P32*Summary!$C$17</f>
        <v>23799</v>
      </c>
      <c r="R32" s="48">
        <f ca="1">Q32/'Alberta Electricity Profile'!$C$33</f>
        <v>1.5969267932631015</v>
      </c>
      <c r="S32" s="254">
        <f ca="1">P32/'Alberta Electricity Profile'!$D$49</f>
        <v>0.45576936335153934</v>
      </c>
      <c r="T32" s="255">
        <f t="shared" si="6"/>
        <v>347.92166666666662</v>
      </c>
      <c r="U32" s="255">
        <f t="shared" ca="1" si="12"/>
        <v>134.41658302972019</v>
      </c>
      <c r="V32" s="256">
        <f t="shared" ca="1" si="13"/>
        <v>6.3749861527019291</v>
      </c>
      <c r="W32" s="256">
        <f t="shared" ca="1" si="14"/>
        <v>12749.972305403859</v>
      </c>
    </row>
    <row r="33" spans="1:23">
      <c r="A33" s="191"/>
      <c r="B33" s="124">
        <f t="shared" si="7"/>
        <v>13</v>
      </c>
      <c r="C33" s="115">
        <f t="shared" ca="1" si="8"/>
        <v>13342.5</v>
      </c>
      <c r="D33" s="48">
        <f t="shared" ca="1" si="0"/>
        <v>0.1938381382568399</v>
      </c>
      <c r="E33" s="120">
        <f t="shared" ca="1" si="9"/>
        <v>1443</v>
      </c>
      <c r="F33" s="116">
        <f t="shared" ca="1" si="1"/>
        <v>1.4430000000000001</v>
      </c>
      <c r="G33" s="118">
        <f ca="1">C33/Summary!C$23</f>
        <v>0.19033523537803138</v>
      </c>
      <c r="H33" s="119">
        <f ca="1">H32+('Dev Plan (Wind)'!C32/Summary!C$23)*Summary!C$27</f>
        <v>876.72634563648546</v>
      </c>
      <c r="I33" s="119">
        <f t="shared" si="10"/>
        <v>646.31666666666683</v>
      </c>
      <c r="J33" s="119">
        <f t="shared" si="11"/>
        <v>3876.6649999999995</v>
      </c>
      <c r="K33" s="119">
        <f t="shared" si="2"/>
        <v>4522.9816666666666</v>
      </c>
      <c r="L33" s="122">
        <f ca="1">C32*Summary!C$16*Summary!C$17*24*375*1000*C$11</f>
        <v>14993370000.000002</v>
      </c>
      <c r="M33" s="122">
        <f t="shared" ca="1" si="3"/>
        <v>28863370000</v>
      </c>
      <c r="N33" s="120">
        <f t="shared" ca="1" si="4"/>
        <v>0</v>
      </c>
      <c r="O33" s="48">
        <f t="shared" ca="1" si="5"/>
        <v>1.3564965764508914</v>
      </c>
      <c r="P33" s="115">
        <f ca="1">C33*Summary!$C$16</f>
        <v>66712.5</v>
      </c>
      <c r="Q33" s="115">
        <f ca="1">P33*Summary!$C$17</f>
        <v>26685</v>
      </c>
      <c r="R33" s="48">
        <f ca="1">Q33/'Alberta Electricity Profile'!$C$33</f>
        <v>1.7905790780379789</v>
      </c>
      <c r="S33" s="254">
        <f ca="1">P33/'Alberta Electricity Profile'!$D$49</f>
        <v>0.51103850838421061</v>
      </c>
      <c r="T33" s="255">
        <f t="shared" si="6"/>
        <v>347.92166666666662</v>
      </c>
      <c r="U33" s="255">
        <f t="shared" ca="1" si="12"/>
        <v>151.71829544815319</v>
      </c>
      <c r="V33" s="256">
        <f t="shared" ca="1" si="13"/>
        <v>6.3749861527019283</v>
      </c>
      <c r="W33" s="256">
        <f t="shared" ca="1" si="14"/>
        <v>12749.972305403857</v>
      </c>
    </row>
    <row r="34" spans="1:23">
      <c r="A34" s="191"/>
      <c r="B34" s="124">
        <f t="shared" si="7"/>
        <v>14</v>
      </c>
      <c r="C34" s="115">
        <f t="shared" ca="1" si="8"/>
        <v>14876.5</v>
      </c>
      <c r="D34" s="48">
        <f t="shared" ca="1" si="0"/>
        <v>0.2149175993613785</v>
      </c>
      <c r="E34" s="120">
        <f t="shared" ca="1" si="9"/>
        <v>1534</v>
      </c>
      <c r="F34" s="116">
        <f t="shared" ca="1" si="1"/>
        <v>1.534</v>
      </c>
      <c r="G34" s="118">
        <f ca="1">C34/Summary!C$23</f>
        <v>0.21221825962910129</v>
      </c>
      <c r="H34" s="119">
        <f ca="1">H33+('Dev Plan (Wind)'!C33/Summary!C$23)*Summary!C$27</f>
        <v>1046.8428511213365</v>
      </c>
      <c r="I34" s="119">
        <f t="shared" si="10"/>
        <v>696.03333333333353</v>
      </c>
      <c r="J34" s="119">
        <f t="shared" si="11"/>
        <v>4174.87</v>
      </c>
      <c r="K34" s="119">
        <f t="shared" si="2"/>
        <v>4870.9033333333336</v>
      </c>
      <c r="L34" s="122">
        <f ca="1">C33*Summary!C$16*Summary!C$17*24*375*1000*C$11</f>
        <v>16811550000.000002</v>
      </c>
      <c r="M34" s="122">
        <f t="shared" ca="1" si="3"/>
        <v>30681550000</v>
      </c>
      <c r="N34" s="120">
        <f t="shared" ca="1" si="4"/>
        <v>0</v>
      </c>
      <c r="O34" s="48">
        <f t="shared" ca="1" si="5"/>
        <v>1.5040125249576211</v>
      </c>
      <c r="P34" s="115">
        <f ca="1">C34*Summary!$C$16</f>
        <v>74382.5</v>
      </c>
      <c r="Q34" s="115">
        <f ca="1">P34*Summary!$C$17</f>
        <v>29753</v>
      </c>
      <c r="R34" s="48">
        <f ca="1">Q34/'Alberta Electricity Profile'!$C$33</f>
        <v>1.9964436690599208</v>
      </c>
      <c r="S34" s="254">
        <f ca="1">P34/'Alberta Electricity Profile'!$D$49</f>
        <v>0.56979309499551867</v>
      </c>
      <c r="T34" s="255">
        <f t="shared" si="6"/>
        <v>347.92166666666662</v>
      </c>
      <c r="U34" s="255">
        <f t="shared" ca="1" si="12"/>
        <v>170.11650548485102</v>
      </c>
      <c r="V34" s="256">
        <f t="shared" ca="1" si="13"/>
        <v>6.3749861527019309</v>
      </c>
      <c r="W34" s="256">
        <f t="shared" ca="1" si="14"/>
        <v>12749.972305403862</v>
      </c>
    </row>
    <row r="35" spans="1:23">
      <c r="A35" s="191"/>
      <c r="B35" s="124">
        <f t="shared" si="7"/>
        <v>15</v>
      </c>
      <c r="C35" s="115">
        <f t="shared" ca="1" si="8"/>
        <v>16506.5</v>
      </c>
      <c r="D35" s="48">
        <f t="shared" ca="1" si="0"/>
        <v>0.23693414017957626</v>
      </c>
      <c r="E35" s="120">
        <f t="shared" ca="1" si="9"/>
        <v>1630</v>
      </c>
      <c r="F35" s="116">
        <f t="shared" ca="1" si="1"/>
        <v>1.63</v>
      </c>
      <c r="G35" s="118">
        <f ca="1">C35/Summary!C$23</f>
        <v>0.23547075606276746</v>
      </c>
      <c r="H35" s="119">
        <f ca="1">H34+('Dev Plan (Wind)'!C34/Summary!C$23)*Summary!C$27</f>
        <v>1236.517814122677</v>
      </c>
      <c r="I35" s="119">
        <f t="shared" si="10"/>
        <v>745.75000000000023</v>
      </c>
      <c r="J35" s="119">
        <f t="shared" si="11"/>
        <v>4473.0749999999998</v>
      </c>
      <c r="K35" s="119">
        <f t="shared" si="2"/>
        <v>5218.8249999999998</v>
      </c>
      <c r="L35" s="122">
        <f ca="1">C34*Summary!C$16*Summary!C$17*24*375*1000*C$11</f>
        <v>18744390000</v>
      </c>
      <c r="M35" s="122">
        <f t="shared" ca="1" si="3"/>
        <v>32614390000</v>
      </c>
      <c r="N35" s="120">
        <f t="shared" ca="1" si="4"/>
        <v>0</v>
      </c>
      <c r="O35" s="48">
        <f t="shared" ca="1" si="5"/>
        <v>1.6580862408617856</v>
      </c>
      <c r="P35" s="115">
        <f ca="1">C35*Summary!$C$16</f>
        <v>82532.5</v>
      </c>
      <c r="Q35" s="115">
        <f ca="1">P35*Summary!$C$17</f>
        <v>33013</v>
      </c>
      <c r="R35" s="48">
        <f ca="1">Q35/'Alberta Electricity Profile'!$C$33</f>
        <v>2.2151915721666779</v>
      </c>
      <c r="S35" s="254">
        <f ca="1">P35/'Alberta Electricity Profile'!$D$49</f>
        <v>0.63222463096450976</v>
      </c>
      <c r="T35" s="255">
        <f t="shared" si="6"/>
        <v>347.92166666666662</v>
      </c>
      <c r="U35" s="255">
        <f t="shared" ca="1" si="12"/>
        <v>189.67496300134053</v>
      </c>
      <c r="V35" s="256">
        <f t="shared" ca="1" si="13"/>
        <v>6.37498615270193</v>
      </c>
      <c r="W35" s="256">
        <f t="shared" ca="1" si="14"/>
        <v>12749.97230540386</v>
      </c>
    </row>
    <row r="36" spans="1:23">
      <c r="A36" s="191"/>
      <c r="B36" s="124">
        <f t="shared" si="7"/>
        <v>16</v>
      </c>
      <c r="C36" s="115">
        <f t="shared" ca="1" si="8"/>
        <v>18239.5</v>
      </c>
      <c r="D36" s="48">
        <f t="shared" ca="1" si="0"/>
        <v>0.25993193486713229</v>
      </c>
      <c r="E36" s="120">
        <f t="shared" ca="1" si="9"/>
        <v>1733</v>
      </c>
      <c r="F36" s="116">
        <f t="shared" ca="1" si="1"/>
        <v>1.7330000000000001</v>
      </c>
      <c r="G36" s="118">
        <f ca="1">C36/Summary!C$23</f>
        <v>0.26019258202567758</v>
      </c>
      <c r="H36" s="119">
        <f ca="1">H35+('Dev Plan (Wind)'!C35/Summary!C$23)*Summary!C$27</f>
        <v>1446.9752319818258</v>
      </c>
      <c r="I36" s="119">
        <f t="shared" si="10"/>
        <v>795.46666666666692</v>
      </c>
      <c r="J36" s="119">
        <f t="shared" si="11"/>
        <v>4771.28</v>
      </c>
      <c r="K36" s="119">
        <f t="shared" si="2"/>
        <v>5566.7466666666669</v>
      </c>
      <c r="L36" s="122">
        <f ca="1">C35*Summary!C$16*Summary!C$17*24*375*1000*C$11</f>
        <v>20798190000.000004</v>
      </c>
      <c r="M36" s="122">
        <f t="shared" ca="1" si="3"/>
        <v>34668190000</v>
      </c>
      <c r="N36" s="120">
        <f t="shared" ca="1" si="4"/>
        <v>0</v>
      </c>
      <c r="O36" s="48">
        <f t="shared" ca="1" si="5"/>
        <v>1.8190268588440648</v>
      </c>
      <c r="P36" s="115">
        <f ca="1">C36*Summary!$C$16</f>
        <v>91197.5</v>
      </c>
      <c r="Q36" s="115">
        <f ca="1">P36*Summary!$C$17</f>
        <v>36479</v>
      </c>
      <c r="R36" s="48">
        <f ca="1">Q36/'Alberta Electricity Profile'!$C$33</f>
        <v>2.4477621955311011</v>
      </c>
      <c r="S36" s="254">
        <f ca="1">P36/'Alberta Electricity Profile'!$D$49</f>
        <v>0.69860122718184814</v>
      </c>
      <c r="T36" s="255">
        <f t="shared" si="6"/>
        <v>347.92166666666662</v>
      </c>
      <c r="U36" s="255">
        <f t="shared" ca="1" si="12"/>
        <v>210.45741785914879</v>
      </c>
      <c r="V36" s="256">
        <f t="shared" ca="1" si="13"/>
        <v>6.3749861527019291</v>
      </c>
      <c r="W36" s="256">
        <f t="shared" ca="1" si="14"/>
        <v>12749.972305403859</v>
      </c>
    </row>
    <row r="37" spans="1:23">
      <c r="A37" s="191"/>
      <c r="B37" s="124">
        <f t="shared" si="7"/>
        <v>17</v>
      </c>
      <c r="C37" s="115">
        <f t="shared" ca="1" si="8"/>
        <v>20081.5</v>
      </c>
      <c r="D37" s="48">
        <f t="shared" ca="1" si="0"/>
        <v>0.28395985323148404</v>
      </c>
      <c r="E37" s="120">
        <f t="shared" ca="1" si="9"/>
        <v>1842</v>
      </c>
      <c r="F37" s="116">
        <f t="shared" ca="1" si="1"/>
        <v>1.8420000000000001</v>
      </c>
      <c r="G37" s="118">
        <f ca="1">C37/Summary!C$23</f>
        <v>0.28646932952924392</v>
      </c>
      <c r="H37" s="119">
        <f ca="1">H36+('Dev Plan (Wind)'!C36/Summary!C$23)*Summary!C$27</f>
        <v>1679.5283518462395</v>
      </c>
      <c r="I37" s="119">
        <f t="shared" si="10"/>
        <v>845.18333333333362</v>
      </c>
      <c r="J37" s="119">
        <f t="shared" si="11"/>
        <v>5069.4849999999997</v>
      </c>
      <c r="K37" s="119">
        <f t="shared" si="2"/>
        <v>5914.6683333333331</v>
      </c>
      <c r="L37" s="122">
        <f ca="1">C36*Summary!C$16*Summary!C$17*24*375*1000*C$11</f>
        <v>22981770000.000004</v>
      </c>
      <c r="M37" s="122">
        <f t="shared" ca="1" si="3"/>
        <v>36851770000</v>
      </c>
      <c r="N37" s="120">
        <f t="shared" ca="1" si="4"/>
        <v>0</v>
      </c>
      <c r="O37" s="48">
        <f t="shared" ca="1" si="5"/>
        <v>1.9871763741747221</v>
      </c>
      <c r="P37" s="115">
        <f ca="1">C37*Summary!$C$16</f>
        <v>100407.5</v>
      </c>
      <c r="Q37" s="115">
        <f ca="1">P37*Summary!$C$17</f>
        <v>40163</v>
      </c>
      <c r="R37" s="48">
        <f ca="1">Q37/'Alberta Electricity Profile'!$C$33</f>
        <v>2.6949607461584915</v>
      </c>
      <c r="S37" s="254">
        <f ca="1">P37/'Alberta Electricity Profile'!$D$49</f>
        <v>0.76915269298238897</v>
      </c>
      <c r="T37" s="255">
        <f t="shared" si="6"/>
        <v>347.92166666666662</v>
      </c>
      <c r="U37" s="255">
        <f t="shared" ca="1" si="12"/>
        <v>232.5531198644137</v>
      </c>
      <c r="V37" s="256">
        <f t="shared" ca="1" si="13"/>
        <v>6.37498615270193</v>
      </c>
      <c r="W37" s="256">
        <f t="shared" ca="1" si="14"/>
        <v>12749.97230540386</v>
      </c>
    </row>
    <row r="38" spans="1:23">
      <c r="A38" s="191"/>
      <c r="B38" s="124">
        <f t="shared" si="7"/>
        <v>18</v>
      </c>
      <c r="C38" s="115">
        <f t="shared" ca="1" si="8"/>
        <v>22039.5</v>
      </c>
      <c r="D38" s="48">
        <f t="shared" ca="1" si="0"/>
        <v>0.30906812048963878</v>
      </c>
      <c r="E38" s="120">
        <f t="shared" ca="1" si="9"/>
        <v>1958</v>
      </c>
      <c r="F38" s="116">
        <f t="shared" ca="1" si="1"/>
        <v>1.958</v>
      </c>
      <c r="G38" s="118">
        <f ca="1">C38/Summary!C$23</f>
        <v>0.31440085592011413</v>
      </c>
      <c r="H38" s="119">
        <f ca="1">H37+('Dev Plan (Wind)'!C37/Summary!C$23)*Summary!C$27</f>
        <v>1935.566920697207</v>
      </c>
      <c r="I38" s="119">
        <f t="shared" si="10"/>
        <v>894.90000000000032</v>
      </c>
      <c r="J38" s="119">
        <f t="shared" si="11"/>
        <v>5367.69</v>
      </c>
      <c r="K38" s="119">
        <f t="shared" si="2"/>
        <v>6262.59</v>
      </c>
      <c r="L38" s="122">
        <f ca="1">C37*Summary!C$16*Summary!C$17*24*375*1000*C$11</f>
        <v>25302690000.000004</v>
      </c>
      <c r="M38" s="122">
        <f t="shared" ca="1" si="3"/>
        <v>39172690000</v>
      </c>
      <c r="N38" s="120">
        <f t="shared" ca="1" si="4"/>
        <v>0</v>
      </c>
      <c r="O38" s="48">
        <f t="shared" ca="1" si="5"/>
        <v>2.1628862674010576</v>
      </c>
      <c r="P38" s="115">
        <f ca="1">C38*Summary!$C$16</f>
        <v>110197.5</v>
      </c>
      <c r="Q38" s="115">
        <f ca="1">P38*Summary!$C$17</f>
        <v>44079</v>
      </c>
      <c r="R38" s="48">
        <f ca="1">Q38/'Alberta Electricity Profile'!$C$33</f>
        <v>2.9577266322217004</v>
      </c>
      <c r="S38" s="254">
        <f ca="1">P38/'Alberta Electricity Profile'!$D$49</f>
        <v>0.84414713925679663</v>
      </c>
      <c r="T38" s="255">
        <f t="shared" si="6"/>
        <v>347.92166666666662</v>
      </c>
      <c r="U38" s="255">
        <f t="shared" ca="1" si="12"/>
        <v>256.03856885096752</v>
      </c>
      <c r="V38" s="256">
        <f t="shared" ca="1" si="13"/>
        <v>6.3749861527019274</v>
      </c>
      <c r="W38" s="256">
        <f t="shared" ca="1" si="14"/>
        <v>12749.972305403855</v>
      </c>
    </row>
    <row r="39" spans="1:23">
      <c r="A39" s="191"/>
      <c r="B39" s="124">
        <f t="shared" si="7"/>
        <v>19</v>
      </c>
      <c r="C39" s="115">
        <f t="shared" ca="1" si="8"/>
        <v>24120.5</v>
      </c>
      <c r="D39" s="48">
        <f t="shared" ca="1" si="0"/>
        <v>0.33530988932356803</v>
      </c>
      <c r="E39" s="120">
        <f t="shared" ca="1" si="9"/>
        <v>2081</v>
      </c>
      <c r="F39" s="116">
        <f t="shared" ca="1" si="1"/>
        <v>2.081</v>
      </c>
      <c r="G39" s="118">
        <f ca="1">C39/Summary!C$23</f>
        <v>0.34408701854493579</v>
      </c>
      <c r="H39" s="119">
        <f ca="1">H38+('Dev Plan (Wind)'!C38/Summary!C$23)*Summary!C$27</f>
        <v>2216.5699353221553</v>
      </c>
      <c r="I39" s="119">
        <f t="shared" si="10"/>
        <v>944.61666666666702</v>
      </c>
      <c r="J39" s="119">
        <f t="shared" si="11"/>
        <v>5665.8949999999995</v>
      </c>
      <c r="K39" s="119">
        <f t="shared" si="2"/>
        <v>6610.5116666666663</v>
      </c>
      <c r="L39" s="122">
        <f ca="1">C38*Summary!C$16*Summary!C$17*24*375*1000*C$11</f>
        <v>27769770000.000004</v>
      </c>
      <c r="M39" s="122">
        <f t="shared" ca="1" si="3"/>
        <v>41639770000</v>
      </c>
      <c r="N39" s="120">
        <f t="shared" ca="1" si="4"/>
        <v>0</v>
      </c>
      <c r="O39" s="48">
        <f t="shared" ca="1" si="5"/>
        <v>2.3465285057312362</v>
      </c>
      <c r="P39" s="115">
        <f ca="1">C39*Summary!$C$16</f>
        <v>120602.5</v>
      </c>
      <c r="Q39" s="115">
        <f ca="1">P39*Summary!$C$17</f>
        <v>48241</v>
      </c>
      <c r="R39" s="48">
        <f ca="1">Q39/'Alberta Electricity Profile'!$C$33</f>
        <v>3.2369992618935783</v>
      </c>
      <c r="S39" s="254">
        <f ca="1">P39/'Alberta Electricity Profile'!$D$49</f>
        <v>0.92385267689573547</v>
      </c>
      <c r="T39" s="255">
        <f t="shared" si="6"/>
        <v>347.92166666666662</v>
      </c>
      <c r="U39" s="255">
        <f t="shared" ca="1" si="12"/>
        <v>281.00301462494826</v>
      </c>
      <c r="V39" s="256">
        <f t="shared" ca="1" si="13"/>
        <v>6.3749861527019274</v>
      </c>
      <c r="W39" s="256">
        <f t="shared" ca="1" si="14"/>
        <v>12749.972305403855</v>
      </c>
    </row>
    <row r="40" spans="1:23">
      <c r="A40" s="191"/>
      <c r="B40" s="124">
        <f t="shared" si="7"/>
        <v>20</v>
      </c>
      <c r="C40" s="115">
        <f t="shared" ca="1" si="8"/>
        <v>26333.5</v>
      </c>
      <c r="D40" s="48">
        <f t="shared" ca="1" si="0"/>
        <v>0.36274050801396618</v>
      </c>
      <c r="E40" s="120">
        <f t="shared" ca="1" si="9"/>
        <v>2213</v>
      </c>
      <c r="F40" s="116">
        <f t="shared" ca="1" si="1"/>
        <v>2.2130000000000001</v>
      </c>
      <c r="G40" s="118">
        <f ca="1">C40/Summary!C$23</f>
        <v>0.37565620542082739</v>
      </c>
      <c r="H40" s="119">
        <f ca="1">H39+('Dev Plan (Wind)'!C39/Summary!C$23)*Summary!C$27</f>
        <v>2524.1056423146492</v>
      </c>
      <c r="I40" s="119">
        <f t="shared" si="10"/>
        <v>994.33333333333371</v>
      </c>
      <c r="J40" s="119">
        <f t="shared" si="11"/>
        <v>5964.0999999999995</v>
      </c>
      <c r="K40" s="119">
        <f t="shared" si="2"/>
        <v>6958.4333333333334</v>
      </c>
      <c r="L40" s="122">
        <f ca="1">C39*Summary!C$16*Summary!C$17*24*375*1000*C$11</f>
        <v>30391830000.000004</v>
      </c>
      <c r="M40" s="122">
        <f t="shared" ca="1" si="3"/>
        <v>44261830000</v>
      </c>
      <c r="N40" s="120">
        <f t="shared" ca="1" si="4"/>
        <v>0</v>
      </c>
      <c r="O40" s="48">
        <f t="shared" ca="1" si="5"/>
        <v>2.5384904213690729</v>
      </c>
      <c r="P40" s="115">
        <f ca="1">C40*Summary!$C$16</f>
        <v>131667.5</v>
      </c>
      <c r="Q40" s="115">
        <f ca="1">P40*Summary!$C$17</f>
        <v>52667</v>
      </c>
      <c r="R40" s="48">
        <f ca="1">Q40/'Alberta Electricity Profile'!$C$33</f>
        <v>3.5339864456820775</v>
      </c>
      <c r="S40" s="254">
        <f ca="1">P40/'Alberta Electricity Profile'!$D$49</f>
        <v>1.0086140199014884</v>
      </c>
      <c r="T40" s="255">
        <f t="shared" si="6"/>
        <v>347.92166666666662</v>
      </c>
      <c r="U40" s="255">
        <f t="shared" ca="1" si="12"/>
        <v>307.53570699249394</v>
      </c>
      <c r="V40" s="256">
        <f t="shared" ca="1" si="13"/>
        <v>6.3749861527019327</v>
      </c>
      <c r="W40" s="256">
        <f t="shared" ca="1" si="14"/>
        <v>12749.972305403866</v>
      </c>
    </row>
    <row r="41" spans="1:23">
      <c r="A41" s="191"/>
      <c r="B41" s="124">
        <f t="shared" si="7"/>
        <v>21</v>
      </c>
      <c r="C41" s="115">
        <f t="shared" ca="1" si="8"/>
        <v>27991.5</v>
      </c>
      <c r="D41" s="48">
        <f t="shared" ca="1" si="0"/>
        <v>0.39142048778344357</v>
      </c>
      <c r="E41" s="120">
        <f t="shared" ca="1" si="9"/>
        <v>2352</v>
      </c>
      <c r="F41" s="116">
        <f t="shared" ca="1" si="1"/>
        <v>2.3519999999999999</v>
      </c>
      <c r="G41" s="118">
        <f ca="1">C41/Summary!C$23</f>
        <v>0.39930813124108416</v>
      </c>
      <c r="H41" s="119">
        <f ca="1">H40+('Dev Plan (Wind)'!C40/Summary!C$23)*Summary!C$27</f>
        <v>2859.8570380190017</v>
      </c>
      <c r="I41" s="119">
        <f t="shared" si="10"/>
        <v>1044.0500000000004</v>
      </c>
      <c r="J41" s="119">
        <f t="shared" si="11"/>
        <v>6262.3049999999994</v>
      </c>
      <c r="K41" s="119">
        <f t="shared" si="2"/>
        <v>7306.3549999999996</v>
      </c>
      <c r="L41" s="122">
        <f ca="1">C40*Summary!C$16*Summary!C$17*24*375*1000*C$11</f>
        <v>33180210000.000004</v>
      </c>
      <c r="M41" s="122">
        <f t="shared" ca="1" si="3"/>
        <v>47050210000</v>
      </c>
      <c r="N41" s="120">
        <f t="shared" ca="1" si="4"/>
        <v>694</v>
      </c>
      <c r="O41" s="48">
        <f t="shared" ca="1" si="5"/>
        <v>2.7391954772463012</v>
      </c>
      <c r="P41" s="115">
        <f ca="1">C41*Summary!$C$16</f>
        <v>139957.5</v>
      </c>
      <c r="Q41" s="115">
        <f ca="1">P41*Summary!$C$17</f>
        <v>55983</v>
      </c>
      <c r="R41" s="48">
        <f ca="1">Q41/'Alberta Electricity Profile'!$C$33</f>
        <v>3.7564919814802389</v>
      </c>
      <c r="S41" s="254">
        <f ca="1">P41/'Alberta Electricity Profile'!$D$49</f>
        <v>1.0721179994331369</v>
      </c>
      <c r="T41" s="255">
        <f t="shared" si="6"/>
        <v>347.92166666666662</v>
      </c>
      <c r="U41" s="255">
        <f t="shared" ca="1" si="12"/>
        <v>335.75139570435249</v>
      </c>
      <c r="V41" s="256">
        <f t="shared" ca="1" si="13"/>
        <v>6.3749861527019291</v>
      </c>
      <c r="W41" s="256">
        <f t="shared" ca="1" si="14"/>
        <v>12749.972305403859</v>
      </c>
    </row>
    <row r="42" spans="1:23">
      <c r="A42" s="191"/>
      <c r="B42" s="124">
        <f t="shared" si="7"/>
        <v>22</v>
      </c>
      <c r="C42" s="115">
        <f t="shared" ca="1" si="8"/>
        <v>29710.5</v>
      </c>
      <c r="D42" s="48">
        <f t="shared" ca="1" si="0"/>
        <v>0.4202549800445825</v>
      </c>
      <c r="E42" s="120">
        <f t="shared" ca="1" si="9"/>
        <v>2456</v>
      </c>
      <c r="F42" s="116">
        <f t="shared" ca="1" si="1"/>
        <v>2.456</v>
      </c>
      <c r="G42" s="118">
        <f ca="1">C42/Summary!C$23</f>
        <v>0.42383024251069901</v>
      </c>
      <c r="H42" s="119">
        <f ca="1">H41+('Dev Plan (Wind)'!C41/Summary!C$23)*Summary!C$27</f>
        <v>3216.7478878057136</v>
      </c>
      <c r="I42" s="119">
        <f t="shared" si="10"/>
        <v>1093.7666666666671</v>
      </c>
      <c r="J42" s="119">
        <f t="shared" si="11"/>
        <v>6560.5099999999993</v>
      </c>
      <c r="K42" s="119">
        <f t="shared" si="2"/>
        <v>7654.2766666666666</v>
      </c>
      <c r="L42" s="122">
        <f ca="1">C41*Summary!C$16*Summary!C$17*24*375*1000*C$11</f>
        <v>35269290000</v>
      </c>
      <c r="M42" s="122">
        <f t="shared" ca="1" si="3"/>
        <v>49139290000</v>
      </c>
      <c r="N42" s="120">
        <f t="shared" ca="1" si="4"/>
        <v>737</v>
      </c>
      <c r="O42" s="48">
        <f t="shared" ca="1" si="5"/>
        <v>2.9409818253183606</v>
      </c>
      <c r="P42" s="115">
        <f ca="1">C42*Summary!$C$16</f>
        <v>148552.5</v>
      </c>
      <c r="Q42" s="115">
        <f ca="1">P42*Summary!$C$17</f>
        <v>59421</v>
      </c>
      <c r="R42" s="48">
        <f ca="1">Q42/'Alberta Electricity Profile'!$C$33</f>
        <v>3.9871837884989598</v>
      </c>
      <c r="S42" s="254">
        <f ca="1">P42/'Alberta Electricity Profile'!$D$49</f>
        <v>1.1379583738691466</v>
      </c>
      <c r="T42" s="255">
        <f t="shared" si="6"/>
        <v>347.92166666666662</v>
      </c>
      <c r="U42" s="255">
        <f t="shared" ca="1" si="12"/>
        <v>356.8908497867119</v>
      </c>
      <c r="V42" s="256">
        <f t="shared" ca="1" si="13"/>
        <v>6.3749861527019256</v>
      </c>
      <c r="W42" s="256">
        <f t="shared" ca="1" si="14"/>
        <v>12749.972305403851</v>
      </c>
    </row>
    <row r="43" spans="1:23">
      <c r="A43" s="191"/>
      <c r="B43" s="124">
        <f t="shared" si="7"/>
        <v>23</v>
      </c>
      <c r="C43" s="115">
        <f t="shared" ca="1" si="8"/>
        <v>31492.5</v>
      </c>
      <c r="D43" s="48">
        <f t="shared" ca="1" si="0"/>
        <v>0.44932102282544634</v>
      </c>
      <c r="E43" s="120">
        <f t="shared" ca="1" si="9"/>
        <v>2565</v>
      </c>
      <c r="F43" s="116">
        <f t="shared" ca="1" si="1"/>
        <v>2.5649999999999999</v>
      </c>
      <c r="G43" s="118">
        <f ca="1">C43/Summary!C$23</f>
        <v>0.44925106990014263</v>
      </c>
      <c r="H43" s="119">
        <f ca="1">H42+('Dev Plan (Wind)'!C42/Summary!C$23)*Summary!C$27</f>
        <v>3595.5559399854151</v>
      </c>
      <c r="I43" s="119">
        <f t="shared" si="10"/>
        <v>1143.4833333333338</v>
      </c>
      <c r="J43" s="119">
        <f t="shared" si="11"/>
        <v>6858.7149999999992</v>
      </c>
      <c r="K43" s="119">
        <f t="shared" si="2"/>
        <v>8002.1983333333328</v>
      </c>
      <c r="L43" s="122">
        <f ca="1">C42*Summary!C$16*Summary!C$17*24*375*1000*C$11</f>
        <v>37435230000</v>
      </c>
      <c r="M43" s="122">
        <f t="shared" ca="1" si="3"/>
        <v>51305230000</v>
      </c>
      <c r="N43" s="120">
        <f t="shared" ca="1" si="4"/>
        <v>783</v>
      </c>
      <c r="O43" s="48">
        <f t="shared" ca="1" si="5"/>
        <v>3.1443885845752715</v>
      </c>
      <c r="P43" s="115">
        <f ca="1">C43*Summary!$C$16</f>
        <v>157462.5</v>
      </c>
      <c r="Q43" s="115">
        <f ca="1">P43*Summary!$C$17</f>
        <v>62985</v>
      </c>
      <c r="R43" s="48">
        <f ca="1">Q43/'Alberta Electricity Profile'!$C$33</f>
        <v>4.2263302690733413</v>
      </c>
      <c r="S43" s="254">
        <f ca="1">P43/'Alberta Electricity Profile'!$D$49</f>
        <v>1.2062117463211355</v>
      </c>
      <c r="T43" s="255">
        <f t="shared" si="6"/>
        <v>347.92166666666662</v>
      </c>
      <c r="U43" s="255">
        <f t="shared" ca="1" si="12"/>
        <v>378.80805217970146</v>
      </c>
      <c r="V43" s="256">
        <f t="shared" ca="1" si="13"/>
        <v>6.3749861527019309</v>
      </c>
      <c r="W43" s="256">
        <f t="shared" ca="1" si="14"/>
        <v>12749.972305403862</v>
      </c>
    </row>
    <row r="44" spans="1:23">
      <c r="A44" s="191"/>
      <c r="B44" s="124">
        <f t="shared" si="7"/>
        <v>24</v>
      </c>
      <c r="C44" s="115">
        <f t="shared" ca="1" si="8"/>
        <v>33337.5</v>
      </c>
      <c r="D44" s="48">
        <f t="shared" ca="1" si="0"/>
        <v>0.47868586832444882</v>
      </c>
      <c r="E44" s="120">
        <f t="shared" ca="1" si="9"/>
        <v>2677</v>
      </c>
      <c r="F44" s="116">
        <f t="shared" ca="1" si="1"/>
        <v>2.677</v>
      </c>
      <c r="G44" s="118">
        <f ca="1">C44/Summary!C$23</f>
        <v>0.47557061340941514</v>
      </c>
      <c r="H44" s="119">
        <f ca="1">H43+('Dev Plan (Wind)'!C43/Summary!C$23)*Summary!C$27</f>
        <v>3997.084442813346</v>
      </c>
      <c r="I44" s="119">
        <f t="shared" si="10"/>
        <v>1193.2000000000005</v>
      </c>
      <c r="J44" s="119">
        <f t="shared" si="11"/>
        <v>7156.9199999999992</v>
      </c>
      <c r="K44" s="119">
        <f t="shared" si="2"/>
        <v>8350.119999999999</v>
      </c>
      <c r="L44" s="122">
        <f ca="1">C43*Summary!C$16*Summary!C$17*24*375*1000*C$11</f>
        <v>39680550000</v>
      </c>
      <c r="M44" s="122">
        <f t="shared" ca="1" si="3"/>
        <v>53550550000</v>
      </c>
      <c r="N44" s="120">
        <f t="shared" ca="1" si="4"/>
        <v>832</v>
      </c>
      <c r="O44" s="48">
        <f t="shared" ca="1" si="5"/>
        <v>3.3498863918985453</v>
      </c>
      <c r="P44" s="115">
        <f ca="1">C44*Summary!$C$16</f>
        <v>166687.5</v>
      </c>
      <c r="Q44" s="115">
        <f ca="1">P44*Summary!$C$17</f>
        <v>66675</v>
      </c>
      <c r="R44" s="48">
        <f ca="1">Q44/'Alberta Electricity Profile'!$C$33</f>
        <v>4.473931423203382</v>
      </c>
      <c r="S44" s="254">
        <f ca="1">P44/'Alberta Electricity Profile'!$D$49</f>
        <v>1.2768781167891039</v>
      </c>
      <c r="T44" s="255">
        <f t="shared" si="6"/>
        <v>347.92166666666662</v>
      </c>
      <c r="U44" s="255">
        <f t="shared" ca="1" si="12"/>
        <v>401.52850282793088</v>
      </c>
      <c r="V44" s="256">
        <f t="shared" ca="1" si="13"/>
        <v>6.3749861527019274</v>
      </c>
      <c r="W44" s="256">
        <f t="shared" ca="1" si="14"/>
        <v>12749.972305403855</v>
      </c>
    </row>
    <row r="45" spans="1:23">
      <c r="A45" s="191"/>
      <c r="B45" s="124">
        <f t="shared" si="7"/>
        <v>25</v>
      </c>
      <c r="C45" s="115">
        <f t="shared" ca="1" si="8"/>
        <v>35245.5</v>
      </c>
      <c r="D45" s="48">
        <f t="shared" ca="1" si="0"/>
        <v>0.50840600838825767</v>
      </c>
      <c r="E45" s="120">
        <f t="shared" ca="1" si="9"/>
        <v>2793</v>
      </c>
      <c r="F45" s="116">
        <f t="shared" ca="1" si="1"/>
        <v>2.7930000000000001</v>
      </c>
      <c r="G45" s="118">
        <f ca="1">C45/Summary!C$23</f>
        <v>0.50278887303851638</v>
      </c>
      <c r="H45" s="119">
        <f ca="1">H44+('Dev Plan (Wind)'!C44/Summary!C$23)*Summary!C$27</f>
        <v>4422.1366445447475</v>
      </c>
      <c r="I45" s="119">
        <f t="shared" si="10"/>
        <v>1242.9166666666672</v>
      </c>
      <c r="J45" s="119">
        <f t="shared" si="11"/>
        <v>7455.1249999999991</v>
      </c>
      <c r="K45" s="119">
        <f t="shared" si="2"/>
        <v>8698.0416666666661</v>
      </c>
      <c r="L45" s="122">
        <f ca="1">C44*Summary!C$16*Summary!C$17*24*375*1000*C$11</f>
        <v>42005250000.000008</v>
      </c>
      <c r="M45" s="122">
        <f t="shared" ca="1" si="3"/>
        <v>55875250000.000008</v>
      </c>
      <c r="N45" s="120">
        <f t="shared" ca="1" si="4"/>
        <v>885</v>
      </c>
      <c r="O45" s="48">
        <f t="shared" ca="1" si="5"/>
        <v>3.5578705822686523</v>
      </c>
      <c r="P45" s="115">
        <f ca="1">C45*Summary!$C$16</f>
        <v>176227.5</v>
      </c>
      <c r="Q45" s="115">
        <f ca="1">P45*Summary!$C$17</f>
        <v>70491</v>
      </c>
      <c r="R45" s="48">
        <f ca="1">Q45/'Alberta Electricity Profile'!$C$33</f>
        <v>4.7299872508890823</v>
      </c>
      <c r="S45" s="254">
        <f ca="1">P45/'Alberta Electricity Profile'!$D$49</f>
        <v>1.3499574852730518</v>
      </c>
      <c r="T45" s="255">
        <f t="shared" si="6"/>
        <v>347.92166666666662</v>
      </c>
      <c r="U45" s="255">
        <f t="shared" ca="1" si="12"/>
        <v>425.05220173140151</v>
      </c>
      <c r="V45" s="256">
        <f t="shared" ca="1" si="13"/>
        <v>6.3749861527019354</v>
      </c>
      <c r="W45" s="256">
        <f t="shared" ca="1" si="14"/>
        <v>12749.972305403871</v>
      </c>
    </row>
    <row r="46" spans="1:23">
      <c r="A46" s="191"/>
      <c r="B46" s="124">
        <f t="shared" si="7"/>
        <v>26</v>
      </c>
      <c r="C46" s="115">
        <f t="shared" ca="1" si="8"/>
        <v>37217.5</v>
      </c>
      <c r="D46" s="48">
        <f t="shared" ca="1" si="0"/>
        <v>0.53852924381020695</v>
      </c>
      <c r="E46" s="120">
        <f t="shared" ca="1" si="9"/>
        <v>2913</v>
      </c>
      <c r="F46" s="116">
        <f t="shared" ca="1" si="1"/>
        <v>2.9129999999999998</v>
      </c>
      <c r="G46" s="118">
        <f ca="1">C46/Summary!C$23</f>
        <v>0.53092011412268192</v>
      </c>
      <c r="H46" s="119">
        <f ca="1">H45+('Dev Plan (Wind)'!C45/Summary!C$23)*Summary!C$27</f>
        <v>4871.515793434859</v>
      </c>
      <c r="I46" s="119">
        <f t="shared" si="10"/>
        <v>1292.6333333333339</v>
      </c>
      <c r="J46" s="119">
        <f t="shared" si="11"/>
        <v>7753.329999999999</v>
      </c>
      <c r="K46" s="119">
        <f t="shared" si="2"/>
        <v>9045.9633333333331</v>
      </c>
      <c r="L46" s="122">
        <f ca="1">C45*Summary!C$16*Summary!C$17*24*375*1000*C$11</f>
        <v>44409330000.000008</v>
      </c>
      <c r="M46" s="122">
        <f t="shared" ca="1" si="3"/>
        <v>58279330000.000008</v>
      </c>
      <c r="N46" s="120">
        <f t="shared" ca="1" si="4"/>
        <v>941</v>
      </c>
      <c r="O46" s="48">
        <f t="shared" ca="1" si="5"/>
        <v>3.7686756698998352</v>
      </c>
      <c r="P46" s="115">
        <f ca="1">C46*Summary!$C$16</f>
        <v>186087.5</v>
      </c>
      <c r="Q46" s="115">
        <f ca="1">P46*Summary!$C$17</f>
        <v>74435</v>
      </c>
      <c r="R46" s="48">
        <f ca="1">Q46/'Alberta Electricity Profile'!$C$33</f>
        <v>4.9946319532979935</v>
      </c>
      <c r="S46" s="254">
        <f ca="1">P46/'Alberta Electricity Profile'!$D$49</f>
        <v>1.4254881533287882</v>
      </c>
      <c r="T46" s="255">
        <f t="shared" si="6"/>
        <v>347.92166666666662</v>
      </c>
      <c r="U46" s="255">
        <f t="shared" ca="1" si="12"/>
        <v>449.37914889011154</v>
      </c>
      <c r="V46" s="256">
        <f t="shared" ca="1" si="13"/>
        <v>6.3749861527019265</v>
      </c>
      <c r="W46" s="256">
        <f t="shared" ca="1" si="14"/>
        <v>12749.972305403853</v>
      </c>
    </row>
    <row r="47" spans="1:23">
      <c r="A47" s="191"/>
      <c r="B47" s="124">
        <f t="shared" si="7"/>
        <v>27</v>
      </c>
      <c r="C47" s="115">
        <f t="shared" ca="1" si="8"/>
        <v>39255.5</v>
      </c>
      <c r="D47" s="48">
        <f t="shared" ca="1" si="0"/>
        <v>0.56909765104759391</v>
      </c>
      <c r="E47" s="120">
        <f t="shared" ca="1" si="9"/>
        <v>3038</v>
      </c>
      <c r="F47" s="116">
        <f t="shared" ca="1" si="1"/>
        <v>3.0379999999999998</v>
      </c>
      <c r="G47" s="118">
        <f ca="1">C47/Summary!C$23</f>
        <v>0.55999286733238229</v>
      </c>
      <c r="H47" s="119">
        <f ca="1">H46+('Dev Plan (Wind)'!C46/Summary!C$23)*Summary!C$27</f>
        <v>5346.0378877112271</v>
      </c>
      <c r="I47" s="119">
        <f t="shared" si="10"/>
        <v>1342.3500000000006</v>
      </c>
      <c r="J47" s="119">
        <f t="shared" si="11"/>
        <v>8051.5349999999989</v>
      </c>
      <c r="K47" s="119">
        <f t="shared" si="2"/>
        <v>9393.8850000000002</v>
      </c>
      <c r="L47" s="122">
        <f ca="1">C46*Summary!C$16*Summary!C$17*24*375*1000*C$11</f>
        <v>46894050000.000008</v>
      </c>
      <c r="M47" s="122">
        <f t="shared" ca="1" si="3"/>
        <v>60764050000.000008</v>
      </c>
      <c r="N47" s="120">
        <f t="shared" ca="1" si="4"/>
        <v>1000</v>
      </c>
      <c r="O47" s="48">
        <f t="shared" ca="1" si="5"/>
        <v>3.9825961095923006</v>
      </c>
      <c r="P47" s="115">
        <f ca="1">C47*Summary!$C$16</f>
        <v>196277.5</v>
      </c>
      <c r="Q47" s="115">
        <f ca="1">P47*Summary!$C$17</f>
        <v>78511</v>
      </c>
      <c r="R47" s="48">
        <f ca="1">Q47/'Alberta Electricity Profile'!$C$33</f>
        <v>5.268133932765215</v>
      </c>
      <c r="S47" s="254">
        <f ca="1">P47/'Alberta Electricity Profile'!$D$49</f>
        <v>1.5035467240679317</v>
      </c>
      <c r="T47" s="255">
        <f t="shared" si="6"/>
        <v>347.92166666666662</v>
      </c>
      <c r="U47" s="255">
        <f t="shared" ca="1" si="12"/>
        <v>474.52209427636808</v>
      </c>
      <c r="V47" s="256">
        <f t="shared" ca="1" si="13"/>
        <v>6.3749861527019291</v>
      </c>
      <c r="W47" s="256">
        <f t="shared" ca="1" si="14"/>
        <v>12749.972305403859</v>
      </c>
    </row>
    <row r="48" spans="1:23">
      <c r="A48" s="191"/>
      <c r="B48" s="124">
        <f t="shared" si="7"/>
        <v>28</v>
      </c>
      <c r="C48" s="115">
        <f t="shared" ca="1" si="8"/>
        <v>41358.5</v>
      </c>
      <c r="D48" s="48">
        <f t="shared" ca="1" si="0"/>
        <v>0.60014991321383993</v>
      </c>
      <c r="E48" s="120">
        <f t="shared" ca="1" si="9"/>
        <v>3166</v>
      </c>
      <c r="F48" s="116">
        <f t="shared" ca="1" si="1"/>
        <v>3.1659999999999999</v>
      </c>
      <c r="G48" s="118">
        <f ca="1">C48/Summary!C$23</f>
        <v>0.58999286733238232</v>
      </c>
      <c r="H48" s="119">
        <f ca="1">H47+('Dev Plan (Wind)'!C47/Summary!C$23)*Summary!C$27</f>
        <v>5846.5444255460079</v>
      </c>
      <c r="I48" s="119">
        <f t="shared" si="10"/>
        <v>1392.0666666666673</v>
      </c>
      <c r="J48" s="119">
        <f t="shared" si="11"/>
        <v>8349.74</v>
      </c>
      <c r="K48" s="119">
        <f t="shared" si="2"/>
        <v>9741.8066666666673</v>
      </c>
      <c r="L48" s="122">
        <f ca="1">C47*Summary!C$16*Summary!C$17*24*375*1000*C$11</f>
        <v>49461930000.000008</v>
      </c>
      <c r="M48" s="122">
        <f t="shared" ca="1" si="3"/>
        <v>63331930000.000008</v>
      </c>
      <c r="N48" s="120">
        <f t="shared" ca="1" si="4"/>
        <v>1063</v>
      </c>
      <c r="O48" s="48">
        <f t="shared" ca="1" si="5"/>
        <v>4.199902609223221</v>
      </c>
      <c r="P48" s="115">
        <f ca="1">C48*Summary!$C$16</f>
        <v>206792.5</v>
      </c>
      <c r="Q48" s="115">
        <f ca="1">P48*Summary!$C$17</f>
        <v>82717</v>
      </c>
      <c r="R48" s="48">
        <f ca="1">Q48/'Alberta Electricity Profile'!$C$33</f>
        <v>5.5503589881231967</v>
      </c>
      <c r="S48" s="254">
        <f ca="1">P48/'Alberta Electricity Profile'!$D$49</f>
        <v>1.5840948959346728</v>
      </c>
      <c r="T48" s="255">
        <f t="shared" si="6"/>
        <v>347.92166666666662</v>
      </c>
      <c r="U48" s="255">
        <f t="shared" ca="1" si="12"/>
        <v>500.50653783478083</v>
      </c>
      <c r="V48" s="256">
        <f t="shared" ca="1" si="13"/>
        <v>6.3749861527019247</v>
      </c>
      <c r="W48" s="256">
        <f t="shared" ca="1" si="14"/>
        <v>12749.97230540385</v>
      </c>
    </row>
    <row r="49" spans="1:23">
      <c r="A49" s="191"/>
      <c r="B49" s="124">
        <f t="shared" si="7"/>
        <v>29</v>
      </c>
      <c r="C49" s="115">
        <f t="shared" ca="1" si="8"/>
        <v>43527.5</v>
      </c>
      <c r="D49" s="48">
        <f t="shared" ca="1" si="0"/>
        <v>0.63171811416188306</v>
      </c>
      <c r="E49" s="120">
        <f t="shared" ca="1" si="9"/>
        <v>3299</v>
      </c>
      <c r="F49" s="116">
        <f t="shared" ca="1" si="1"/>
        <v>3.2989999999999999</v>
      </c>
      <c r="G49" s="118">
        <f ca="1">C49/Summary!C$23</f>
        <v>0.6209343794579173</v>
      </c>
      <c r="H49" s="119">
        <f ca="1">H48+('Dev Plan (Wind)'!C48/Summary!C$23)*Summary!C$27</f>
        <v>6373.8641551390538</v>
      </c>
      <c r="I49" s="119">
        <f t="shared" si="10"/>
        <v>1441.783333333334</v>
      </c>
      <c r="J49" s="119">
        <f t="shared" si="11"/>
        <v>8647.9449999999997</v>
      </c>
      <c r="K49" s="119">
        <f t="shared" si="2"/>
        <v>10089.728333333334</v>
      </c>
      <c r="L49" s="122">
        <f ca="1">C48*Summary!C$16*Summary!C$17*24*375*1000*C$11</f>
        <v>52111710000.000008</v>
      </c>
      <c r="M49" s="122">
        <f t="shared" ca="1" si="3"/>
        <v>65981710000.000008</v>
      </c>
      <c r="N49" s="120">
        <f t="shared" ca="1" si="4"/>
        <v>1130</v>
      </c>
      <c r="O49" s="48">
        <f t="shared" ca="1" si="5"/>
        <v>4.420819694456438</v>
      </c>
      <c r="P49" s="115">
        <f ca="1">C49*Summary!$C$16</f>
        <v>217637.5</v>
      </c>
      <c r="Q49" s="115">
        <f ca="1">P49*Summary!$C$17</f>
        <v>87055</v>
      </c>
      <c r="R49" s="48">
        <f ca="1">Q49/'Alberta Electricity Profile'!$C$33</f>
        <v>5.8414413205394888</v>
      </c>
      <c r="S49" s="254">
        <f ca="1">P49/'Alberta Electricity Profile'!$D$49</f>
        <v>1.667170970484821</v>
      </c>
      <c r="T49" s="255">
        <f t="shared" si="6"/>
        <v>347.92166666666662</v>
      </c>
      <c r="U49" s="255">
        <f t="shared" ca="1" si="12"/>
        <v>527.31972959304585</v>
      </c>
      <c r="V49" s="256">
        <f t="shared" ca="1" si="13"/>
        <v>6.3749861527019336</v>
      </c>
      <c r="W49" s="256">
        <f t="shared" ca="1" si="14"/>
        <v>12749.972305403868</v>
      </c>
    </row>
    <row r="50" spans="1:23">
      <c r="A50" s="191"/>
      <c r="B50" s="164">
        <f t="shared" si="7"/>
        <v>30</v>
      </c>
      <c r="C50" s="115">
        <f t="shared" ca="1" si="8"/>
        <v>45761.5</v>
      </c>
      <c r="D50" s="48">
        <f t="shared" ca="1" si="0"/>
        <v>0.66383128143428072</v>
      </c>
      <c r="E50" s="120">
        <f t="shared" ca="1" si="9"/>
        <v>3435</v>
      </c>
      <c r="F50" s="116">
        <f t="shared" ca="1" si="1"/>
        <v>3.4350000000000001</v>
      </c>
      <c r="G50" s="118">
        <f ca="1">C50/Summary!C$23</f>
        <v>0.65280313837375181</v>
      </c>
      <c r="H50" s="119">
        <f ca="1">H49+('Dev Plan (Wind)'!C49/Summary!C$23)*Summary!C$27</f>
        <v>6928.8385746625199</v>
      </c>
      <c r="I50" s="119">
        <f t="shared" si="10"/>
        <v>1491.5000000000007</v>
      </c>
      <c r="J50" s="119">
        <f t="shared" si="11"/>
        <v>8946.15</v>
      </c>
      <c r="K50" s="119">
        <f t="shared" si="2"/>
        <v>10437.65</v>
      </c>
      <c r="L50" s="122">
        <f ca="1">C49*Summary!C$16*Summary!C$17*24*375*1000*C$11</f>
        <v>54844650000.000008</v>
      </c>
      <c r="M50" s="122">
        <f t="shared" ca="1" si="3"/>
        <v>68714650000.000008</v>
      </c>
      <c r="N50" s="120">
        <f t="shared" ca="1" si="4"/>
        <v>1201</v>
      </c>
      <c r="O50" s="48">
        <f t="shared" ca="1" si="5"/>
        <v>4.6455505026232098</v>
      </c>
      <c r="P50" s="115">
        <f ca="1">C50*Summary!$C$16</f>
        <v>228807.5</v>
      </c>
      <c r="Q50" s="115">
        <f ca="1">P50*Summary!$C$17</f>
        <v>91523</v>
      </c>
      <c r="R50" s="48">
        <f ca="1">Q50/'Alberta Electricity Profile'!$C$33</f>
        <v>6.1412467288465411</v>
      </c>
      <c r="S50" s="254">
        <f ca="1">P50/'Alberta Electricity Profile'!$D$49</f>
        <v>1.7527366461625671</v>
      </c>
      <c r="T50" s="255">
        <f t="shared" si="6"/>
        <v>347.92166666666662</v>
      </c>
      <c r="U50" s="255">
        <f t="shared" ca="1" si="12"/>
        <v>554.97441952346617</v>
      </c>
      <c r="V50" s="256">
        <f t="shared" ca="1" si="13"/>
        <v>6.3749861527019256</v>
      </c>
      <c r="W50" s="256">
        <f t="shared" ca="1" si="14"/>
        <v>12749.972305403851</v>
      </c>
    </row>
    <row r="51" spans="1:23">
      <c r="A51" s="191"/>
      <c r="B51" s="124">
        <f t="shared" si="7"/>
        <v>31</v>
      </c>
      <c r="C51" s="115">
        <f t="shared" ca="1" si="8"/>
        <v>48060.5</v>
      </c>
      <c r="D51" s="48">
        <f t="shared" ca="1" si="0"/>
        <v>0.69651351495195901</v>
      </c>
      <c r="E51" s="120">
        <f t="shared" ca="1" si="9"/>
        <v>3576</v>
      </c>
      <c r="F51" s="116">
        <f t="shared" ca="1" si="1"/>
        <v>3.5760000000000001</v>
      </c>
      <c r="G51" s="118">
        <f ca="1">C51/Summary!C$23</f>
        <v>0.68559914407988587</v>
      </c>
      <c r="H51" s="119">
        <f ca="1">H50+('Dev Plan (Wind)'!C50/Summary!C$23)*Summary!C$27</f>
        <v>7512.2964323162587</v>
      </c>
      <c r="I51" s="119">
        <f t="shared" si="10"/>
        <v>1541.2166666666674</v>
      </c>
      <c r="J51" s="119">
        <f t="shared" si="11"/>
        <v>9244.3549999999996</v>
      </c>
      <c r="K51" s="119">
        <f t="shared" si="2"/>
        <v>10785.571666666667</v>
      </c>
      <c r="L51" s="122">
        <f ca="1">C50*Summary!C$16*Summary!C$17*24*375*1000*C$11</f>
        <v>57659490000.000008</v>
      </c>
      <c r="M51" s="122">
        <f t="shared" ca="1" si="3"/>
        <v>71529490000</v>
      </c>
      <c r="N51" s="120">
        <f t="shared" ca="1" si="4"/>
        <v>1277</v>
      </c>
      <c r="O51" s="48">
        <f t="shared" ca="1" si="5"/>
        <v>4.8742636871192166</v>
      </c>
      <c r="P51" s="115">
        <f ca="1">C51*Summary!$C$16</f>
        <v>240302.5</v>
      </c>
      <c r="Q51" s="115">
        <f ca="1">P51*Summary!$C$17</f>
        <v>96121</v>
      </c>
      <c r="R51" s="48">
        <f ca="1">Q51/'Alberta Electricity Profile'!$C$33</f>
        <v>6.4497752130443535</v>
      </c>
      <c r="S51" s="254">
        <f ca="1">P51/'Alberta Electricity Profile'!$D$49</f>
        <v>1.8407919229679111</v>
      </c>
      <c r="T51" s="255">
        <f t="shared" si="6"/>
        <v>347.92166666666662</v>
      </c>
      <c r="U51" s="255">
        <f t="shared" ca="1" si="12"/>
        <v>583.45785765373876</v>
      </c>
      <c r="V51" s="256">
        <f t="shared" ca="1" si="13"/>
        <v>6.37498615270193</v>
      </c>
      <c r="W51" s="256">
        <f t="shared" ca="1" si="14"/>
        <v>12749.97230540386</v>
      </c>
    </row>
    <row r="52" spans="1:23">
      <c r="A52" s="191"/>
      <c r="B52" s="124">
        <f t="shared" si="7"/>
        <v>32</v>
      </c>
      <c r="C52" s="115">
        <f t="shared" ca="1" si="8"/>
        <v>50424.5</v>
      </c>
      <c r="D52" s="48">
        <f t="shared" ca="1" si="0"/>
        <v>0.72978590214572847</v>
      </c>
      <c r="E52" s="120">
        <f t="shared" ca="1" si="9"/>
        <v>3721</v>
      </c>
      <c r="F52" s="116">
        <f t="shared" ca="1" si="1"/>
        <v>3.7210000000000001</v>
      </c>
      <c r="G52" s="118">
        <f ca="1">C52/Summary!C$23</f>
        <v>0.71932239657631958</v>
      </c>
      <c r="H52" s="119">
        <f ca="1">H51+('Dev Plan (Wind)'!C51/Summary!C$23)*Summary!C$27</f>
        <v>8125.0664763001205</v>
      </c>
      <c r="I52" s="119">
        <f t="shared" si="10"/>
        <v>1590.9333333333341</v>
      </c>
      <c r="J52" s="119">
        <f t="shared" si="11"/>
        <v>9542.56</v>
      </c>
      <c r="K52" s="119">
        <f t="shared" si="2"/>
        <v>11133.493333333334</v>
      </c>
      <c r="L52" s="122">
        <f ca="1">C51*Summary!C$16*Summary!C$17*24*375*1000*C$11</f>
        <v>60556230000.000008</v>
      </c>
      <c r="M52" s="122">
        <f t="shared" ca="1" si="3"/>
        <v>74426230000</v>
      </c>
      <c r="N52" s="120">
        <f t="shared" ca="1" si="4"/>
        <v>1357</v>
      </c>
      <c r="O52" s="48">
        <f t="shared" ca="1" si="5"/>
        <v>5.1071068196656784</v>
      </c>
      <c r="P52" s="115">
        <f ca="1">C52*Summary!$C$16</f>
        <v>252122.5</v>
      </c>
      <c r="Q52" s="115">
        <f ca="1">P52*Summary!$C$17</f>
        <v>100849</v>
      </c>
      <c r="R52" s="48">
        <f ca="1">Q52/'Alberta Electricity Profile'!$C$33</f>
        <v>6.7670267731329261</v>
      </c>
      <c r="S52" s="254">
        <f ca="1">P52/'Alberta Electricity Profile'!$D$49</f>
        <v>1.9313368009008527</v>
      </c>
      <c r="T52" s="255">
        <f t="shared" si="6"/>
        <v>347.92166666666662</v>
      </c>
      <c r="U52" s="255">
        <f t="shared" ca="1" si="12"/>
        <v>612.7700439838618</v>
      </c>
      <c r="V52" s="256">
        <f t="shared" ca="1" si="13"/>
        <v>6.3749861527019256</v>
      </c>
      <c r="W52" s="256">
        <f t="shared" ca="1" si="14"/>
        <v>12749.972305403851</v>
      </c>
    </row>
    <row r="53" spans="1:23">
      <c r="A53" s="191"/>
      <c r="B53" s="124">
        <f t="shared" si="7"/>
        <v>33</v>
      </c>
      <c r="C53" s="115">
        <f t="shared" ca="1" si="8"/>
        <v>52851.5</v>
      </c>
      <c r="D53" s="48">
        <f t="shared" ca="1" si="0"/>
        <v>0.76366697439418019</v>
      </c>
      <c r="E53" s="120">
        <f t="shared" ca="1" si="9"/>
        <v>3870</v>
      </c>
      <c r="F53" s="116">
        <f t="shared" ca="1" si="1"/>
        <v>3.87</v>
      </c>
      <c r="G53" s="118">
        <f ca="1">C53/Summary!C$23</f>
        <v>0.75394436519258201</v>
      </c>
      <c r="H53" s="119">
        <f ca="1">H52+('Dev Plan (Wind)'!C52/Summary!C$23)*Summary!C$27</f>
        <v>8767.9774548139576</v>
      </c>
      <c r="I53" s="119">
        <f t="shared" si="10"/>
        <v>1640.6500000000008</v>
      </c>
      <c r="J53" s="119">
        <f t="shared" si="11"/>
        <v>9840.7649999999994</v>
      </c>
      <c r="K53" s="119">
        <f t="shared" si="2"/>
        <v>11481.415000000001</v>
      </c>
      <c r="L53" s="122">
        <f ca="1">C52*Summary!C$16*Summary!C$17*24*375*1000*C$11</f>
        <v>63534870000.000008</v>
      </c>
      <c r="M53" s="122">
        <f t="shared" ca="1" si="3"/>
        <v>77404870000</v>
      </c>
      <c r="N53" s="120">
        <f t="shared" ca="1" si="4"/>
        <v>1443</v>
      </c>
      <c r="O53" s="48">
        <f t="shared" ca="1" si="5"/>
        <v>5.3442095845024555</v>
      </c>
      <c r="P53" s="115">
        <f ca="1">C53*Summary!$C$16</f>
        <v>264257.5</v>
      </c>
      <c r="Q53" s="115">
        <f ca="1">P53*Summary!$C$17</f>
        <v>105703</v>
      </c>
      <c r="R53" s="48">
        <f ca="1">Q53/'Alberta Electricity Profile'!$C$33</f>
        <v>7.0927330067771592</v>
      </c>
      <c r="S53" s="254">
        <f ca="1">P53/'Alberta Electricity Profile'!$D$49</f>
        <v>2.0242946768497738</v>
      </c>
      <c r="T53" s="255">
        <f t="shared" si="6"/>
        <v>347.92166666666662</v>
      </c>
      <c r="U53" s="255">
        <f t="shared" ca="1" si="12"/>
        <v>642.91097851383711</v>
      </c>
      <c r="V53" s="256">
        <f t="shared" ca="1" si="13"/>
        <v>6.3749861527019318</v>
      </c>
      <c r="W53" s="256">
        <f t="shared" ca="1" si="14"/>
        <v>12749.972305403864</v>
      </c>
    </row>
    <row r="54" spans="1:23">
      <c r="A54" s="191"/>
      <c r="B54" s="124">
        <f t="shared" si="7"/>
        <v>34</v>
      </c>
      <c r="C54" s="115">
        <f t="shared" ca="1" si="8"/>
        <v>55340.5</v>
      </c>
      <c r="D54" s="48">
        <f t="shared" ca="1" si="0"/>
        <v>0.79817092726075733</v>
      </c>
      <c r="E54" s="120">
        <f t="shared" ca="1" si="9"/>
        <v>4023</v>
      </c>
      <c r="F54" s="116">
        <f t="shared" ca="1" si="1"/>
        <v>4.0229999999999997</v>
      </c>
      <c r="G54" s="118">
        <f ca="1">C54/Summary!C$23</f>
        <v>0.78945078459343798</v>
      </c>
      <c r="H54" s="119">
        <f ca="1">H53+('Dev Plan (Wind)'!C53/Summary!C$23)*Summary!C$27</f>
        <v>9441.8326161130099</v>
      </c>
      <c r="I54" s="119">
        <f t="shared" si="10"/>
        <v>1690.3666666666675</v>
      </c>
      <c r="J54" s="119">
        <f t="shared" si="11"/>
        <v>10138.969999999999</v>
      </c>
      <c r="K54" s="119">
        <f t="shared" si="2"/>
        <v>11829.336666666666</v>
      </c>
      <c r="L54" s="122">
        <f ca="1">C53*Summary!C$16*Summary!C$17*24*375*1000*C$11</f>
        <v>66592890000.000008</v>
      </c>
      <c r="M54" s="122">
        <f t="shared" ca="1" si="3"/>
        <v>80462890000</v>
      </c>
      <c r="N54" s="120">
        <f t="shared" ca="1" si="4"/>
        <v>1534</v>
      </c>
      <c r="O54" s="48">
        <f t="shared" ca="1" si="5"/>
        <v>5.5856713234483673</v>
      </c>
      <c r="P54" s="115">
        <f ca="1">C54*Summary!$C$16</f>
        <v>276702.5</v>
      </c>
      <c r="Q54" s="115">
        <f ca="1">P54*Summary!$C$17</f>
        <v>110681</v>
      </c>
      <c r="R54" s="48">
        <f ca="1">Q54/'Alberta Electricity Profile'!$C$33</f>
        <v>7.4267597128095018</v>
      </c>
      <c r="S54" s="254">
        <f ca="1">P54/'Alberta Electricity Profile'!$D$49</f>
        <v>2.119627249258865</v>
      </c>
      <c r="T54" s="255">
        <f t="shared" si="6"/>
        <v>347.92166666666662</v>
      </c>
      <c r="U54" s="255">
        <f t="shared" ca="1" si="12"/>
        <v>673.85516129905227</v>
      </c>
      <c r="V54" s="256">
        <f t="shared" ca="1" si="13"/>
        <v>6.3749861527019318</v>
      </c>
      <c r="W54" s="256">
        <f t="shared" ca="1" si="14"/>
        <v>12749.972305403864</v>
      </c>
    </row>
    <row r="55" spans="1:23">
      <c r="A55" s="191"/>
      <c r="B55" s="124">
        <f t="shared" si="7"/>
        <v>35</v>
      </c>
      <c r="C55" s="115">
        <f t="shared" ca="1" si="8"/>
        <v>57889.5</v>
      </c>
      <c r="D55" s="48">
        <f t="shared" ca="1" si="0"/>
        <v>0.83330928692735673</v>
      </c>
      <c r="E55" s="120">
        <f t="shared" ca="1" si="9"/>
        <v>4179</v>
      </c>
      <c r="F55" s="116">
        <f t="shared" ca="1" si="1"/>
        <v>4.1790000000000003</v>
      </c>
      <c r="G55" s="118">
        <f ca="1">C55/Summary!C$23</f>
        <v>0.82581312410841656</v>
      </c>
      <c r="H55" s="119">
        <f ca="1">H54+('Dev Plan (Wind)'!C54/Summary!C$23)*Summary!C$27</f>
        <v>10147.422458480212</v>
      </c>
      <c r="I55" s="119">
        <f t="shared" si="10"/>
        <v>1740.0833333333342</v>
      </c>
      <c r="J55" s="119">
        <f t="shared" si="11"/>
        <v>10437.174999999999</v>
      </c>
      <c r="K55" s="119">
        <f t="shared" si="2"/>
        <v>12177.258333333333</v>
      </c>
      <c r="L55" s="122">
        <f ca="1">C54*Summary!C$16*Summary!C$17*24*375*1000*C$11</f>
        <v>69729030000</v>
      </c>
      <c r="M55" s="122">
        <f t="shared" ca="1" si="3"/>
        <v>83599030000</v>
      </c>
      <c r="N55" s="120">
        <f t="shared" ca="1" si="4"/>
        <v>1630</v>
      </c>
      <c r="O55" s="48">
        <f t="shared" ca="1" si="5"/>
        <v>5.8315726977521427</v>
      </c>
      <c r="P55" s="115">
        <f ca="1">C55*Summary!$C$16</f>
        <v>289447.5</v>
      </c>
      <c r="Q55" s="115">
        <f ca="1">P55*Summary!$C$17</f>
        <v>115779</v>
      </c>
      <c r="R55" s="48">
        <f ca="1">Q55/'Alberta Electricity Profile'!$C$33</f>
        <v>7.7688384888948532</v>
      </c>
      <c r="S55" s="254">
        <f ca="1">P55/'Alberta Electricity Profile'!$D$49</f>
        <v>2.2172579150165079</v>
      </c>
      <c r="T55" s="255">
        <f t="shared" si="6"/>
        <v>347.92166666666662</v>
      </c>
      <c r="U55" s="255">
        <f t="shared" ca="1" si="12"/>
        <v>705.58984236720244</v>
      </c>
      <c r="V55" s="256">
        <f t="shared" ca="1" si="13"/>
        <v>6.3749861527019309</v>
      </c>
      <c r="W55" s="256">
        <f t="shared" ca="1" si="14"/>
        <v>12749.972305403862</v>
      </c>
    </row>
    <row r="56" spans="1:23">
      <c r="A56" s="191"/>
      <c r="B56" s="124">
        <f t="shared" si="7"/>
        <v>36</v>
      </c>
      <c r="C56" s="115">
        <f t="shared" ca="1" si="8"/>
        <v>60496.5</v>
      </c>
      <c r="D56" s="48">
        <f t="shared" ca="1" si="0"/>
        <v>0.86909026299453485</v>
      </c>
      <c r="E56" s="120">
        <f t="shared" ca="1" si="9"/>
        <v>4340</v>
      </c>
      <c r="F56" s="116">
        <f t="shared" ca="1" si="1"/>
        <v>4.34</v>
      </c>
      <c r="G56" s="118">
        <f ca="1">C56/Summary!C$23</f>
        <v>0.86300285306704705</v>
      </c>
      <c r="H56" s="119">
        <f ca="1">H55+('Dev Plan (Wind)'!C55/Summary!C$23)*Summary!C$27</f>
        <v>10885.511980253888</v>
      </c>
      <c r="I56" s="119">
        <f t="shared" si="10"/>
        <v>1789.8000000000009</v>
      </c>
      <c r="J56" s="119">
        <f t="shared" si="11"/>
        <v>10735.38</v>
      </c>
      <c r="K56" s="119">
        <f t="shared" si="2"/>
        <v>12525.18</v>
      </c>
      <c r="L56" s="122">
        <f ca="1">C55*Summary!C$16*Summary!C$17*24*375*1000*C$11</f>
        <v>72940770000</v>
      </c>
      <c r="M56" s="122">
        <f t="shared" ca="1" si="3"/>
        <v>86810770000</v>
      </c>
      <c r="N56" s="120">
        <f t="shared" ca="1" si="4"/>
        <v>1733</v>
      </c>
      <c r="O56" s="48">
        <f t="shared" ca="1" si="5"/>
        <v>6.0819711589305419</v>
      </c>
      <c r="P56" s="115">
        <f ca="1">C56*Summary!$C$16</f>
        <v>302482.5</v>
      </c>
      <c r="Q56" s="115">
        <f ca="1">P56*Summary!$C$17</f>
        <v>120993</v>
      </c>
      <c r="R56" s="48">
        <f ca="1">Q56/'Alberta Electricity Profile'!$C$33</f>
        <v>8.1187009326981148</v>
      </c>
      <c r="S56" s="254">
        <f ca="1">P56/'Alberta Electricity Profile'!$D$49</f>
        <v>2.3171100710110846</v>
      </c>
      <c r="T56" s="255">
        <f t="shared" si="6"/>
        <v>347.92166666666662</v>
      </c>
      <c r="U56" s="255">
        <f t="shared" ca="1" si="12"/>
        <v>738.0895217736761</v>
      </c>
      <c r="V56" s="256">
        <f t="shared" ca="1" si="13"/>
        <v>6.3749861527019238</v>
      </c>
      <c r="W56" s="256">
        <f t="shared" ca="1" si="14"/>
        <v>12749.972305403848</v>
      </c>
    </row>
    <row r="57" spans="1:23">
      <c r="A57" s="191"/>
      <c r="B57" s="124">
        <f t="shared" si="7"/>
        <v>37</v>
      </c>
      <c r="C57" s="115">
        <f t="shared" ca="1" si="8"/>
        <v>63158.5</v>
      </c>
      <c r="D57" s="48">
        <f t="shared" ca="1" si="0"/>
        <v>0.90551919666817571</v>
      </c>
      <c r="E57" s="120">
        <f t="shared" ca="1" si="9"/>
        <v>4504</v>
      </c>
      <c r="F57" s="116">
        <f t="shared" ca="1" si="1"/>
        <v>4.5039999999999996</v>
      </c>
      <c r="G57" s="118">
        <f ca="1">C57/Summary!C$23</f>
        <v>0.90097717546362344</v>
      </c>
      <c r="H57" s="119">
        <f ca="1">H56+('Dev Plan (Wind)'!C56/Summary!C$23)*Summary!C$27</f>
        <v>11656.840679827754</v>
      </c>
      <c r="I57" s="119">
        <f t="shared" si="10"/>
        <v>1839.5166666666676</v>
      </c>
      <c r="J57" s="119">
        <f t="shared" si="11"/>
        <v>11033.584999999999</v>
      </c>
      <c r="K57" s="119">
        <f t="shared" si="2"/>
        <v>12873.101666666667</v>
      </c>
      <c r="L57" s="122">
        <f ca="1">C56*Summary!C$16*Summary!C$17*24*375*1000*C$11</f>
        <v>76225590000</v>
      </c>
      <c r="M57" s="122">
        <f t="shared" ca="1" si="3"/>
        <v>90095590000</v>
      </c>
      <c r="N57" s="120">
        <f t="shared" ca="1" si="4"/>
        <v>1842</v>
      </c>
      <c r="O57" s="48">
        <f t="shared" ca="1" si="5"/>
        <v>6.3369040852186256</v>
      </c>
      <c r="P57" s="115">
        <f ca="1">C57*Summary!$C$16</f>
        <v>315792.5</v>
      </c>
      <c r="Q57" s="115">
        <f ca="1">P57*Summary!$C$17</f>
        <v>126317</v>
      </c>
      <c r="R57" s="48">
        <f ca="1">Q57/'Alberta Electricity Profile'!$C$33</f>
        <v>8.4759444407166349</v>
      </c>
      <c r="S57" s="254">
        <f ca="1">P57/'Alberta Electricity Profile'!$D$49</f>
        <v>2.4190688125751669</v>
      </c>
      <c r="T57" s="255">
        <f t="shared" si="6"/>
        <v>347.92166666666662</v>
      </c>
      <c r="U57" s="255">
        <f t="shared" ca="1" si="12"/>
        <v>771.32869957386538</v>
      </c>
      <c r="V57" s="256">
        <f t="shared" ca="1" si="13"/>
        <v>6.3749861527019362</v>
      </c>
      <c r="W57" s="256">
        <f t="shared" ca="1" si="14"/>
        <v>12749.972305403873</v>
      </c>
    </row>
    <row r="58" spans="1:23">
      <c r="A58" s="191"/>
      <c r="B58" s="124">
        <f t="shared" si="7"/>
        <v>38</v>
      </c>
      <c r="C58" s="115">
        <f t="shared" ca="1" si="8"/>
        <v>65872.5</v>
      </c>
      <c r="D58" s="48">
        <f t="shared" ca="1" si="0"/>
        <v>0.94259797380878008</v>
      </c>
      <c r="E58" s="120">
        <f t="shared" ca="1" si="9"/>
        <v>4672</v>
      </c>
      <c r="F58" s="116">
        <f t="shared" ca="1" si="1"/>
        <v>4.6719999999999997</v>
      </c>
      <c r="G58" s="118">
        <f ca="1">C58/Summary!C$23</f>
        <v>0.93969329529243939</v>
      </c>
      <c r="H58" s="119">
        <f ca="1">H57+('Dev Plan (Wind)'!C57/Summary!C$23)*Summary!C$27</f>
        <v>12462.109805678603</v>
      </c>
      <c r="I58" s="119">
        <f t="shared" si="10"/>
        <v>1889.2333333333343</v>
      </c>
      <c r="J58" s="119">
        <f t="shared" si="11"/>
        <v>11331.789999999999</v>
      </c>
      <c r="K58" s="119">
        <f t="shared" si="2"/>
        <v>13221.023333333333</v>
      </c>
      <c r="L58" s="122">
        <f ca="1">C57*Summary!C$16*Summary!C$17*24*375*1000*C$11</f>
        <v>79579710000</v>
      </c>
      <c r="M58" s="122">
        <f t="shared" ca="1" si="3"/>
        <v>93449710000</v>
      </c>
      <c r="N58" s="120">
        <f t="shared" ca="1" si="4"/>
        <v>1958</v>
      </c>
      <c r="O58" s="48">
        <f t="shared" ca="1" si="5"/>
        <v>6.5963846740363445</v>
      </c>
      <c r="P58" s="115">
        <f ca="1">C58*Summary!$C$16</f>
        <v>329362.5</v>
      </c>
      <c r="Q58" s="115">
        <f ca="1">P58*Summary!$C$17</f>
        <v>131745</v>
      </c>
      <c r="R58" s="48">
        <f ca="1">Q58/'Alberta Electricity Profile'!$C$33</f>
        <v>8.8401664094477628</v>
      </c>
      <c r="S58" s="254">
        <f ca="1">P58/'Alberta Electricity Profile'!$D$49</f>
        <v>2.5230192350413274</v>
      </c>
      <c r="T58" s="255">
        <f t="shared" si="6"/>
        <v>347.92166666666662</v>
      </c>
      <c r="U58" s="255">
        <f t="shared" ca="1" si="12"/>
        <v>805.26912585084938</v>
      </c>
      <c r="V58" s="256">
        <f t="shared" ca="1" si="13"/>
        <v>6.3749861527019274</v>
      </c>
      <c r="W58" s="256">
        <f t="shared" ca="1" si="14"/>
        <v>12749.972305403855</v>
      </c>
    </row>
    <row r="59" spans="1:23">
      <c r="A59" s="191"/>
      <c r="B59" s="124">
        <f t="shared" si="7"/>
        <v>39</v>
      </c>
      <c r="C59" s="115">
        <f t="shared" ca="1" si="8"/>
        <v>68634.5</v>
      </c>
      <c r="D59" s="48">
        <f t="shared" ca="1" si="0"/>
        <v>0.98032546792446429</v>
      </c>
      <c r="E59" s="120">
        <f t="shared" ca="1" si="9"/>
        <v>4843</v>
      </c>
      <c r="F59" s="116">
        <f t="shared" ca="1" si="1"/>
        <v>4.843</v>
      </c>
      <c r="G59" s="118">
        <f ca="1">C59/Summary!C$23</f>
        <v>0.9790941512125535</v>
      </c>
      <c r="H59" s="119">
        <f ca="1">H58+('Dev Plan (Wind)'!C58/Summary!C$23)*Summary!C$27</f>
        <v>13301.982356366319</v>
      </c>
      <c r="I59" s="119">
        <f t="shared" si="10"/>
        <v>1938.950000000001</v>
      </c>
      <c r="J59" s="119">
        <f t="shared" si="11"/>
        <v>11629.994999999999</v>
      </c>
      <c r="K59" s="119">
        <f t="shared" si="2"/>
        <v>13568.945</v>
      </c>
      <c r="L59" s="122">
        <f ca="1">C58*Summary!C$16*Summary!C$17*24*375*1000*C$11</f>
        <v>82999350000.000015</v>
      </c>
      <c r="M59" s="122">
        <f t="shared" ca="1" si="3"/>
        <v>96869350000.000015</v>
      </c>
      <c r="N59" s="120">
        <f t="shared" ca="1" si="4"/>
        <v>2081</v>
      </c>
      <c r="O59" s="48">
        <f t="shared" ca="1" si="5"/>
        <v>6.8604050420930465</v>
      </c>
      <c r="P59" s="115">
        <f ca="1">C59*Summary!$C$16</f>
        <v>343172.5</v>
      </c>
      <c r="Q59" s="115">
        <f ca="1">P59*Summary!$C$17</f>
        <v>137269</v>
      </c>
      <c r="R59" s="48">
        <f ca="1">Q59/'Alberta Electricity Profile'!$C$33</f>
        <v>9.2108300342212974</v>
      </c>
      <c r="S59" s="254">
        <f ca="1">P59/'Alberta Electricity Profile'!$D$49</f>
        <v>2.6288081321863292</v>
      </c>
      <c r="T59" s="255">
        <f t="shared" si="6"/>
        <v>347.92166666666662</v>
      </c>
      <c r="U59" s="255">
        <f t="shared" ca="1" si="12"/>
        <v>839.87255068771628</v>
      </c>
      <c r="V59" s="256">
        <f t="shared" ca="1" si="13"/>
        <v>6.3749861527019336</v>
      </c>
      <c r="W59" s="256">
        <f t="shared" ca="1" si="14"/>
        <v>12749.972305403868</v>
      </c>
    </row>
    <row r="60" spans="1:23">
      <c r="A60" s="191"/>
      <c r="B60" s="124">
        <f t="shared" si="7"/>
        <v>40</v>
      </c>
      <c r="C60" s="115">
        <f t="shared" ca="1" si="8"/>
        <v>71438.5</v>
      </c>
      <c r="D60" s="48">
        <f t="shared" ca="1" si="0"/>
        <v>1.0186970005624993</v>
      </c>
      <c r="E60" s="120">
        <f t="shared" ca="1" si="9"/>
        <v>5017</v>
      </c>
      <c r="F60" s="116">
        <f t="shared" ca="1" si="1"/>
        <v>5.0170000000000003</v>
      </c>
      <c r="G60" s="118">
        <f ca="1">C60/Summary!C$23</f>
        <v>1.0190941512125535</v>
      </c>
      <c r="H60" s="119">
        <f ca="1">H59+('Dev Plan (Wind)'!C59/Summary!C$23)*Summary!C$27</f>
        <v>14177.070330561561</v>
      </c>
      <c r="I60" s="119">
        <f t="shared" si="10"/>
        <v>1988.6666666666677</v>
      </c>
      <c r="J60" s="119">
        <f t="shared" si="11"/>
        <v>11928.199999999999</v>
      </c>
      <c r="K60" s="119">
        <f t="shared" si="2"/>
        <v>13916.866666666667</v>
      </c>
      <c r="L60" s="122">
        <f ca="1">C59*Summary!C$16*Summary!C$17*24*375*1000*C$11</f>
        <v>86479470000.000015</v>
      </c>
      <c r="M60" s="122">
        <f t="shared" ca="1" si="3"/>
        <v>100349470000.00002</v>
      </c>
      <c r="N60" s="120">
        <f t="shared" ca="1" si="4"/>
        <v>2213</v>
      </c>
      <c r="O60" s="48">
        <f t="shared" ca="1" si="5"/>
        <v>7.1289324491593469</v>
      </c>
      <c r="P60" s="115">
        <f ca="1">C60*Summary!$C$16</f>
        <v>357192.5</v>
      </c>
      <c r="Q60" s="115">
        <f ca="1">P60*Summary!$C$17</f>
        <v>142877</v>
      </c>
      <c r="R60" s="48">
        <f ca="1">Q60/'Alberta Electricity Profile'!$C$33</f>
        <v>9.5871301080319391</v>
      </c>
      <c r="S60" s="254">
        <f ca="1">P60/'Alberta Electricity Profile'!$D$49</f>
        <v>2.7362056946753177</v>
      </c>
      <c r="T60" s="255">
        <f t="shared" si="6"/>
        <v>347.92166666666662</v>
      </c>
      <c r="U60" s="255">
        <f t="shared" ca="1" si="12"/>
        <v>875.08797419524126</v>
      </c>
      <c r="V60" s="256">
        <f t="shared" ca="1" si="13"/>
        <v>6.37498615270193</v>
      </c>
      <c r="W60" s="256">
        <f t="shared" ca="1" si="14"/>
        <v>12749.97230540386</v>
      </c>
    </row>
    <row r="61" spans="1:23">
      <c r="A61" s="191"/>
      <c r="B61" s="124">
        <f t="shared" si="7"/>
        <v>41</v>
      </c>
      <c r="C61" s="115">
        <f t="shared" ca="1" si="8"/>
        <v>74280.5</v>
      </c>
      <c r="D61" s="48">
        <f t="shared" ca="1" si="0"/>
        <v>1.0577029868606174</v>
      </c>
      <c r="E61" s="120">
        <f t="shared" ca="1" si="9"/>
        <v>5194</v>
      </c>
      <c r="F61" s="116">
        <f t="shared" ca="1" si="1"/>
        <v>5.194</v>
      </c>
      <c r="G61" s="118">
        <f ca="1">C61/Summary!C$23</f>
        <v>1.0596362339514978</v>
      </c>
      <c r="H61" s="119">
        <f ca="1">H60+('Dev Plan (Wind)'!C60/Summary!C$23)*Summary!C$27</f>
        <v>15087.909227101154</v>
      </c>
      <c r="I61" s="119">
        <f t="shared" si="10"/>
        <v>2038.3833333333343</v>
      </c>
      <c r="J61" s="119">
        <f t="shared" si="11"/>
        <v>12226.404999999999</v>
      </c>
      <c r="K61" s="119">
        <f t="shared" si="2"/>
        <v>14264.788333333334</v>
      </c>
      <c r="L61" s="122">
        <f ca="1">C60*Summary!C$16*Summary!C$17*24*375*1000*C$11</f>
        <v>90012510000.000015</v>
      </c>
      <c r="M61" s="122">
        <f t="shared" ca="1" si="3"/>
        <v>103882510000.00002</v>
      </c>
      <c r="N61" s="120">
        <f t="shared" ca="1" si="4"/>
        <v>2352</v>
      </c>
      <c r="O61" s="48">
        <f t="shared" ca="1" si="5"/>
        <v>7.4018998195143926</v>
      </c>
      <c r="P61" s="115">
        <f ca="1">C61*Summary!$C$16</f>
        <v>371402.5</v>
      </c>
      <c r="Q61" s="115">
        <f ca="1">P61*Summary!$C$17</f>
        <v>148561</v>
      </c>
      <c r="R61" s="48">
        <f ca="1">Q61/'Alberta Electricity Profile'!$C$33</f>
        <v>9.9685298262094886</v>
      </c>
      <c r="S61" s="254">
        <f ca="1">P61/'Alberta Electricity Profile'!$D$49</f>
        <v>2.8450587162850556</v>
      </c>
      <c r="T61" s="255">
        <f t="shared" si="6"/>
        <v>347.92166666666662</v>
      </c>
      <c r="U61" s="255">
        <f t="shared" ca="1" si="12"/>
        <v>910.83889653959341</v>
      </c>
      <c r="V61" s="256">
        <f t="shared" ca="1" si="13"/>
        <v>6.3749861527019283</v>
      </c>
      <c r="W61" s="256">
        <f t="shared" ca="1" si="14"/>
        <v>12749.972305403857</v>
      </c>
    </row>
    <row r="62" spans="1:23">
      <c r="A62" s="191"/>
      <c r="B62" s="124">
        <f t="shared" si="7"/>
        <v>42</v>
      </c>
      <c r="C62" s="115">
        <f t="shared" ca="1" si="8"/>
        <v>77197.5</v>
      </c>
      <c r="D62" s="48">
        <f t="shared" ca="1" si="0"/>
        <v>1.0973312646957825</v>
      </c>
      <c r="E62" s="120">
        <f t="shared" ca="1" si="9"/>
        <v>5373</v>
      </c>
      <c r="F62" s="116">
        <f t="shared" ca="1" si="1"/>
        <v>5.3730000000000002</v>
      </c>
      <c r="G62" s="118">
        <f ca="1">C62/Summary!C$23</f>
        <v>1.1012482168330955</v>
      </c>
      <c r="H62" s="119">
        <f ca="1">H61+('Dev Plan (Wind)'!C61/Summary!C$23)*Summary!C$27</f>
        <v>16034.983544932706</v>
      </c>
      <c r="I62" s="119">
        <f t="shared" si="10"/>
        <v>2088.1000000000008</v>
      </c>
      <c r="J62" s="119">
        <f t="shared" si="11"/>
        <v>12524.609999999999</v>
      </c>
      <c r="K62" s="119">
        <f t="shared" si="2"/>
        <v>14612.71</v>
      </c>
      <c r="L62" s="122">
        <f ca="1">C61*Summary!C$16*Summary!C$17*24*375*1000*C$11</f>
        <v>93593430000.000015</v>
      </c>
      <c r="M62" s="122">
        <f t="shared" ca="1" si="3"/>
        <v>107463430000.00002</v>
      </c>
      <c r="N62" s="120">
        <f t="shared" ca="1" si="4"/>
        <v>2456</v>
      </c>
      <c r="O62" s="48">
        <f t="shared" ca="1" si="5"/>
        <v>7.6792220415366597</v>
      </c>
      <c r="P62" s="115">
        <f ca="1">C62*Summary!$C$16</f>
        <v>385987.5</v>
      </c>
      <c r="Q62" s="115">
        <f ca="1">P62*Summary!$C$17</f>
        <v>154395</v>
      </c>
      <c r="R62" s="48">
        <f ca="1">Q62/'Alberta Electricity Profile'!$C$33</f>
        <v>10.359994631953297</v>
      </c>
      <c r="S62" s="254">
        <f ca="1">P62/'Alberta Electricity Profile'!$D$49</f>
        <v>2.9567843545804831</v>
      </c>
      <c r="T62" s="255">
        <f t="shared" si="6"/>
        <v>347.92166666666662</v>
      </c>
      <c r="U62" s="255">
        <f t="shared" ca="1" si="12"/>
        <v>947.07431783155153</v>
      </c>
      <c r="V62" s="256">
        <f t="shared" ca="1" si="13"/>
        <v>6.3749861527019309</v>
      </c>
      <c r="W62" s="256">
        <f t="shared" ca="1" si="14"/>
        <v>12749.972305403862</v>
      </c>
    </row>
    <row r="63" spans="1:23">
      <c r="A63" s="191"/>
      <c r="B63" s="124">
        <f t="shared" si="7"/>
        <v>43</v>
      </c>
      <c r="C63" s="115">
        <f t="shared" ca="1" si="8"/>
        <v>80188.5</v>
      </c>
      <c r="D63" s="48">
        <f t="shared" ca="1" si="0"/>
        <v>1.1376023359962266</v>
      </c>
      <c r="E63" s="120">
        <f t="shared" ca="1" si="9"/>
        <v>5556</v>
      </c>
      <c r="F63" s="116">
        <f t="shared" ca="1" si="1"/>
        <v>5.556</v>
      </c>
      <c r="G63" s="118">
        <f ca="1">C63/Summary!C$23</f>
        <v>1.1439158345221112</v>
      </c>
      <c r="H63" s="119">
        <f ca="1">H62+('Dev Plan (Wind)'!C62/Summary!C$23)*Summary!C$27</f>
        <v>17019.24953197912</v>
      </c>
      <c r="I63" s="119">
        <f t="shared" si="10"/>
        <v>2137.8166666666675</v>
      </c>
      <c r="J63" s="119">
        <f t="shared" si="11"/>
        <v>12822.814999999999</v>
      </c>
      <c r="K63" s="119">
        <f t="shared" si="2"/>
        <v>14960.631666666666</v>
      </c>
      <c r="L63" s="122">
        <f ca="1">C62*Summary!C$16*Summary!C$17*24*375*1000*C$11</f>
        <v>97268850000.000015</v>
      </c>
      <c r="M63" s="122">
        <f t="shared" ca="1" si="3"/>
        <v>111138850000.00002</v>
      </c>
      <c r="N63" s="120">
        <f t="shared" ca="1" si="4"/>
        <v>2565</v>
      </c>
      <c r="O63" s="48">
        <f t="shared" ca="1" si="5"/>
        <v>7.9610425895481116</v>
      </c>
      <c r="P63" s="115">
        <f ca="1">C63*Summary!$C$16</f>
        <v>400942.5</v>
      </c>
      <c r="Q63" s="115">
        <f ca="1">P63*Summary!$C$17</f>
        <v>160377</v>
      </c>
      <c r="R63" s="48">
        <f ca="1">Q63/'Alberta Electricity Profile'!$C$33</f>
        <v>10.761390324095819</v>
      </c>
      <c r="S63" s="254">
        <f ca="1">P63/'Alberta Electricity Profile'!$D$49</f>
        <v>3.0713443080057914</v>
      </c>
      <c r="T63" s="255">
        <f t="shared" si="6"/>
        <v>347.92166666666662</v>
      </c>
      <c r="U63" s="255">
        <f t="shared" ca="1" si="12"/>
        <v>984.26598704641401</v>
      </c>
      <c r="V63" s="256">
        <f t="shared" ca="1" si="13"/>
        <v>6.3749861527019265</v>
      </c>
      <c r="W63" s="256">
        <f t="shared" ca="1" si="14"/>
        <v>12749.972305403853</v>
      </c>
    </row>
    <row r="64" spans="1:23">
      <c r="A64" s="191"/>
      <c r="B64" s="124">
        <f t="shared" si="7"/>
        <v>44</v>
      </c>
      <c r="C64" s="115">
        <f t="shared" ca="1" si="8"/>
        <v>83256.5</v>
      </c>
      <c r="D64" s="48">
        <f t="shared" ca="1" si="0"/>
        <v>1.1785340060126082</v>
      </c>
      <c r="E64" s="120">
        <f t="shared" ca="1" si="9"/>
        <v>5745</v>
      </c>
      <c r="F64" s="116">
        <f t="shared" ca="1" si="1"/>
        <v>5.7450000000000001</v>
      </c>
      <c r="G64" s="118">
        <f ca="1">C64/Summary!C$23</f>
        <v>1.187681883024251</v>
      </c>
      <c r="H64" s="119">
        <f ca="1">H63+('Dev Plan (Wind)'!C63/Summary!C$23)*Summary!C$27</f>
        <v>18041.650686190998</v>
      </c>
      <c r="I64" s="119">
        <f t="shared" si="10"/>
        <v>2187.5333333333342</v>
      </c>
      <c r="J64" s="119">
        <f t="shared" si="11"/>
        <v>13121.019999999999</v>
      </c>
      <c r="K64" s="119">
        <f t="shared" si="2"/>
        <v>15308.553333333333</v>
      </c>
      <c r="L64" s="122">
        <f ca="1">C63*Summary!C$16*Summary!C$17*24*375*1000*C$11</f>
        <v>101037510000.00002</v>
      </c>
      <c r="M64" s="122">
        <f t="shared" ca="1" si="3"/>
        <v>114907510000.00002</v>
      </c>
      <c r="N64" s="120">
        <f t="shared" ca="1" si="4"/>
        <v>2677</v>
      </c>
      <c r="O64" s="48">
        <f t="shared" ca="1" si="5"/>
        <v>8.2474860662805867</v>
      </c>
      <c r="P64" s="115">
        <f ca="1">C64*Summary!$C$16</f>
        <v>416282.5</v>
      </c>
      <c r="Q64" s="115">
        <f ca="1">P64*Summary!$C$17</f>
        <v>166513</v>
      </c>
      <c r="R64" s="48">
        <f ca="1">Q64/'Alberta Electricity Profile'!$C$33</f>
        <v>11.173119506139704</v>
      </c>
      <c r="S64" s="254">
        <f ca="1">P64/'Alberta Electricity Profile'!$D$49</f>
        <v>3.1888534812284073</v>
      </c>
      <c r="T64" s="255">
        <f t="shared" si="6"/>
        <v>347.92166666666662</v>
      </c>
      <c r="U64" s="255">
        <f t="shared" ca="1" si="12"/>
        <v>1022.4011542118787</v>
      </c>
      <c r="V64" s="256">
        <f t="shared" ca="1" si="13"/>
        <v>6.374986152701938</v>
      </c>
      <c r="W64" s="256">
        <f t="shared" ca="1" si="14"/>
        <v>12749.972305403877</v>
      </c>
    </row>
    <row r="65" spans="1:23">
      <c r="A65" s="191"/>
      <c r="B65" s="124">
        <f t="shared" si="7"/>
        <v>45</v>
      </c>
      <c r="C65" s="115">
        <f t="shared" ca="1" si="8"/>
        <v>86401.5</v>
      </c>
      <c r="D65" s="48">
        <f t="shared" ca="1" si="0"/>
        <v>1.2201449403799933</v>
      </c>
      <c r="E65" s="120">
        <f t="shared" ca="1" si="9"/>
        <v>5938</v>
      </c>
      <c r="F65" s="116">
        <f t="shared" ca="1" si="1"/>
        <v>5.9379999999999997</v>
      </c>
      <c r="G65" s="118">
        <f ca="1">C65/Summary!C$23</f>
        <v>1.232546362339515</v>
      </c>
      <c r="H65" s="119">
        <f ca="1">H64+('Dev Plan (Wind)'!C64/Summary!C$23)*Summary!C$27</f>
        <v>19103.168755435854</v>
      </c>
      <c r="I65" s="119">
        <f t="shared" si="10"/>
        <v>2237.2500000000009</v>
      </c>
      <c r="J65" s="119">
        <f t="shared" si="11"/>
        <v>13419.224999999999</v>
      </c>
      <c r="K65" s="119">
        <f t="shared" si="2"/>
        <v>15656.474999999999</v>
      </c>
      <c r="L65" s="122">
        <f ca="1">C64*Summary!C$16*Summary!C$17*24*375*1000*C$11</f>
        <v>104903190000.00002</v>
      </c>
      <c r="M65" s="122">
        <f t="shared" ca="1" si="3"/>
        <v>118773190000.00002</v>
      </c>
      <c r="N65" s="120">
        <f t="shared" ca="1" si="4"/>
        <v>2793</v>
      </c>
      <c r="O65" s="48">
        <f t="shared" ca="1" si="5"/>
        <v>8.5386830955127255</v>
      </c>
      <c r="P65" s="115">
        <f ca="1">C65*Summary!$C$16</f>
        <v>432007.5</v>
      </c>
      <c r="Q65" s="115">
        <f ca="1">P65*Summary!$C$17</f>
        <v>172803</v>
      </c>
      <c r="R65" s="48">
        <f ca="1">Q65/'Alberta Electricity Profile'!$C$33</f>
        <v>11.595182178084949</v>
      </c>
      <c r="S65" s="254">
        <f ca="1">P65/'Alberta Electricity Profile'!$D$49</f>
        <v>3.3093118742483321</v>
      </c>
      <c r="T65" s="255">
        <f t="shared" si="6"/>
        <v>347.92166666666662</v>
      </c>
      <c r="U65" s="255">
        <f t="shared" ca="1" si="12"/>
        <v>1061.5180692448557</v>
      </c>
      <c r="V65" s="256">
        <f t="shared" ca="1" si="13"/>
        <v>6.3749861527019256</v>
      </c>
      <c r="W65" s="256">
        <f t="shared" ca="1" si="14"/>
        <v>12749.972305403851</v>
      </c>
    </row>
    <row r="66" spans="1:23">
      <c r="A66" s="191"/>
      <c r="B66" s="124">
        <f t="shared" si="7"/>
        <v>46</v>
      </c>
      <c r="C66" s="115">
        <f t="shared" ca="1" si="8"/>
        <v>89624.5</v>
      </c>
      <c r="D66" s="48">
        <f t="shared" ca="1" si="0"/>
        <v>1.2624521816347469</v>
      </c>
      <c r="E66" s="120">
        <f t="shared" ca="1" si="9"/>
        <v>6136</v>
      </c>
      <c r="F66" s="116">
        <f t="shared" ca="1" si="1"/>
        <v>6.1360000000000001</v>
      </c>
      <c r="G66" s="118">
        <f ca="1">C66/Summary!C$23</f>
        <v>1.2785235378031383</v>
      </c>
      <c r="H66" s="119">
        <f ca="1">H65+('Dev Plan (Wind)'!C65/Summary!C$23)*Summary!C$27</f>
        <v>20204.785487581205</v>
      </c>
      <c r="I66" s="119">
        <f t="shared" si="10"/>
        <v>2286.9666666666676</v>
      </c>
      <c r="J66" s="119">
        <f t="shared" si="11"/>
        <v>13717.429999999998</v>
      </c>
      <c r="K66" s="119">
        <f t="shared" si="2"/>
        <v>16004.396666666666</v>
      </c>
      <c r="L66" s="122">
        <f ca="1">C65*Summary!C$16*Summary!C$17*24*375*1000*C$11</f>
        <v>108865890000.00002</v>
      </c>
      <c r="M66" s="122">
        <f t="shared" ca="1" si="3"/>
        <v>122735890000.00002</v>
      </c>
      <c r="N66" s="120">
        <f t="shared" ca="1" si="4"/>
        <v>2913</v>
      </c>
      <c r="O66" s="48">
        <f t="shared" ca="1" si="5"/>
        <v>8.834752942433731</v>
      </c>
      <c r="P66" s="115">
        <f ca="1">C66*Summary!$C$16</f>
        <v>448122.5</v>
      </c>
      <c r="Q66" s="115">
        <f ca="1">P66*Summary!$C$17</f>
        <v>179249</v>
      </c>
      <c r="R66" s="48">
        <f ca="1">Q66/'Alberta Electricity Profile'!$C$33</f>
        <v>12.027712541099108</v>
      </c>
      <c r="S66" s="254">
        <f ca="1">P66/'Alberta Electricity Profile'!$D$49</f>
        <v>3.4327577886213736</v>
      </c>
      <c r="T66" s="255">
        <f t="shared" si="6"/>
        <v>347.92166666666662</v>
      </c>
      <c r="U66" s="255">
        <f t="shared" ca="1" si="12"/>
        <v>1101.6167321453504</v>
      </c>
      <c r="V66" s="256">
        <f t="shared" ca="1" si="13"/>
        <v>6.3749861527019229</v>
      </c>
      <c r="W66" s="256">
        <f t="shared" ca="1" si="14"/>
        <v>12749.972305403846</v>
      </c>
    </row>
    <row r="67" spans="1:23">
      <c r="A67" s="191"/>
      <c r="B67" s="124">
        <f t="shared" si="7"/>
        <v>47</v>
      </c>
      <c r="C67" s="115">
        <f t="shared" ca="1" si="8"/>
        <v>92925.5</v>
      </c>
      <c r="D67" s="48">
        <f t="shared" ca="1" si="0"/>
        <v>1.3054721015888699</v>
      </c>
      <c r="E67" s="120">
        <f t="shared" ca="1" si="9"/>
        <v>6339</v>
      </c>
      <c r="F67" s="116">
        <f t="shared" ca="1" si="1"/>
        <v>6.3390000000000004</v>
      </c>
      <c r="G67" s="118">
        <f ca="1">C67/Summary!C$23</f>
        <v>1.3256134094151213</v>
      </c>
      <c r="H67" s="119">
        <f ca="1">H66+('Dev Plan (Wind)'!C66/Summary!C$23)*Summary!C$27</f>
        <v>21347.495380466873</v>
      </c>
      <c r="I67" s="119">
        <f t="shared" si="10"/>
        <v>2336.6833333333343</v>
      </c>
      <c r="J67" s="119">
        <f t="shared" si="11"/>
        <v>14015.634999999998</v>
      </c>
      <c r="K67" s="119">
        <f t="shared" si="2"/>
        <v>16352.318333333333</v>
      </c>
      <c r="L67" s="122">
        <f ca="1">C66*Summary!C$16*Summary!C$17*24*375*1000*C$11</f>
        <v>112926870000.00002</v>
      </c>
      <c r="M67" s="122">
        <f t="shared" ca="1" si="3"/>
        <v>126796870000.00002</v>
      </c>
      <c r="N67" s="120">
        <f t="shared" ca="1" si="4"/>
        <v>3038</v>
      </c>
      <c r="O67" s="48">
        <f t="shared" ca="1" si="5"/>
        <v>9.1358101784438901</v>
      </c>
      <c r="P67" s="115">
        <f ca="1">C67*Summary!$C$16</f>
        <v>464627.5</v>
      </c>
      <c r="Q67" s="115">
        <f ca="1">P67*Summary!$C$17</f>
        <v>185851</v>
      </c>
      <c r="R67" s="48">
        <f ca="1">Q67/'Alberta Electricity Profile'!$C$33</f>
        <v>12.470710595182178</v>
      </c>
      <c r="S67" s="254">
        <f ca="1">P67/'Alberta Electricity Profile'!$D$49</f>
        <v>3.5591912243475332</v>
      </c>
      <c r="T67" s="255">
        <f t="shared" si="6"/>
        <v>347.92166666666662</v>
      </c>
      <c r="U67" s="255">
        <f t="shared" ca="1" si="12"/>
        <v>1142.7098928856685</v>
      </c>
      <c r="V67" s="256">
        <f t="shared" ca="1" si="13"/>
        <v>6.3749861527019318</v>
      </c>
      <c r="W67" s="256">
        <f t="shared" ca="1" si="14"/>
        <v>12749.972305403864</v>
      </c>
    </row>
    <row r="68" spans="1:23">
      <c r="A68" s="191"/>
      <c r="B68" s="124">
        <f t="shared" si="7"/>
        <v>48</v>
      </c>
      <c r="C68" s="115">
        <f t="shared" ca="1" si="8"/>
        <v>96306.5</v>
      </c>
      <c r="D68" s="48">
        <f t="shared" ca="1" si="0"/>
        <v>1.3492197077366961</v>
      </c>
      <c r="E68" s="120">
        <f t="shared" ca="1" si="9"/>
        <v>6547</v>
      </c>
      <c r="F68" s="116">
        <f t="shared" ca="1" si="1"/>
        <v>6.5469999999999997</v>
      </c>
      <c r="G68" s="118">
        <f ca="1">C68/Summary!C$23</f>
        <v>1.3738445078459345</v>
      </c>
      <c r="H68" s="119">
        <f ca="1">H67+('Dev Plan (Wind)'!C67/Summary!C$23)*Summary!C$27</f>
        <v>22532.292931932679</v>
      </c>
      <c r="I68" s="119">
        <f t="shared" si="10"/>
        <v>2386.400000000001</v>
      </c>
      <c r="J68" s="119">
        <f t="shared" si="11"/>
        <v>14313.839999999998</v>
      </c>
      <c r="K68" s="119">
        <f t="shared" si="2"/>
        <v>16700.239999999998</v>
      </c>
      <c r="L68" s="122">
        <f ca="1">C67*Summary!C$16*Summary!C$17*24*375*1000*C$11</f>
        <v>117086130000.00002</v>
      </c>
      <c r="M68" s="122">
        <f t="shared" ca="1" si="3"/>
        <v>130956130000.00002</v>
      </c>
      <c r="N68" s="120">
        <f t="shared" ca="1" si="4"/>
        <v>3166</v>
      </c>
      <c r="O68" s="48">
        <f t="shared" ca="1" si="5"/>
        <v>9.4419598273267979</v>
      </c>
      <c r="P68" s="115">
        <f ca="1">C68*Summary!$C$16</f>
        <v>481532.5</v>
      </c>
      <c r="Q68" s="115">
        <f ca="1">P68*Summary!$C$17</f>
        <v>192613</v>
      </c>
      <c r="R68" s="48">
        <f ca="1">Q68/'Alberta Electricity Profile'!$C$33</f>
        <v>12.924444742669261</v>
      </c>
      <c r="S68" s="254">
        <f ca="1">P68/'Alberta Electricity Profile'!$D$49</f>
        <v>3.688688784538428</v>
      </c>
      <c r="T68" s="255">
        <f t="shared" si="6"/>
        <v>347.92166666666662</v>
      </c>
      <c r="U68" s="255">
        <f t="shared" ca="1" si="12"/>
        <v>1184.7975514658065</v>
      </c>
      <c r="V68" s="256">
        <f t="shared" ca="1" si="13"/>
        <v>6.37498615270193</v>
      </c>
      <c r="W68" s="256">
        <f t="shared" ca="1" si="14"/>
        <v>12749.97230540386</v>
      </c>
    </row>
    <row r="69" spans="1:23">
      <c r="A69" s="191"/>
      <c r="B69" s="124">
        <f t="shared" si="7"/>
        <v>49</v>
      </c>
      <c r="C69" s="115">
        <f t="shared" ca="1" si="8"/>
        <v>99767.5</v>
      </c>
      <c r="D69" s="48">
        <f t="shared" ca="1" si="0"/>
        <v>1.393710278230178</v>
      </c>
      <c r="E69" s="120">
        <f t="shared" ca="1" si="9"/>
        <v>6760</v>
      </c>
      <c r="F69" s="116">
        <f t="shared" ca="1" si="1"/>
        <v>6.76</v>
      </c>
      <c r="G69" s="118">
        <f ca="1">C69/Summary!C$23</f>
        <v>1.4232168330955777</v>
      </c>
      <c r="H69" s="119">
        <f ca="1">H68+('Dev Plan (Wind)'!C68/Summary!C$23)*Summary!C$27</f>
        <v>23760.198139763055</v>
      </c>
      <c r="I69" s="119">
        <f t="shared" si="10"/>
        <v>2436.1166666666677</v>
      </c>
      <c r="J69" s="119">
        <f t="shared" si="11"/>
        <v>14612.044999999998</v>
      </c>
      <c r="K69" s="119">
        <f t="shared" si="2"/>
        <v>17048.161666666667</v>
      </c>
      <c r="L69" s="122">
        <f ca="1">C68*Summary!C$16*Summary!C$17*24*375*1000*C$11</f>
        <v>121346190000.00002</v>
      </c>
      <c r="M69" s="122">
        <f t="shared" ca="1" si="3"/>
        <v>135216190000.00002</v>
      </c>
      <c r="N69" s="120">
        <f t="shared" ca="1" si="4"/>
        <v>3299</v>
      </c>
      <c r="O69" s="48">
        <f t="shared" ca="1" si="5"/>
        <v>9.7533088069522034</v>
      </c>
      <c r="P69" s="115">
        <f ca="1">C69*Summary!$C$16</f>
        <v>498837.5</v>
      </c>
      <c r="Q69" s="115">
        <f ca="1">P69*Summary!$C$17</f>
        <v>199535</v>
      </c>
      <c r="R69" s="48">
        <f ca="1">Q69/'Alberta Electricity Profile'!$C$33</f>
        <v>13.388914983560356</v>
      </c>
      <c r="S69" s="254">
        <f ca="1">P69/'Alberta Electricity Profile'!$D$49</f>
        <v>3.8212504691940588</v>
      </c>
      <c r="T69" s="255">
        <f t="shared" si="6"/>
        <v>347.92166666666662</v>
      </c>
      <c r="U69" s="255">
        <f t="shared" ca="1" si="12"/>
        <v>1227.9052078303757</v>
      </c>
      <c r="V69" s="256">
        <f t="shared" ca="1" si="13"/>
        <v>6.3749861527019238</v>
      </c>
      <c r="W69" s="256">
        <f t="shared" ca="1" si="14"/>
        <v>12749.972305403848</v>
      </c>
    </row>
    <row r="70" spans="1:23">
      <c r="A70" s="191"/>
      <c r="B70" s="124">
        <f t="shared" si="7"/>
        <v>50</v>
      </c>
      <c r="C70" s="115">
        <f t="shared" ca="1" si="8"/>
        <v>103310.5</v>
      </c>
      <c r="D70" s="48">
        <f t="shared" ca="1" si="0"/>
        <v>1.4389578689691129</v>
      </c>
      <c r="E70" s="120">
        <f t="shared" ca="1" si="9"/>
        <v>6978</v>
      </c>
      <c r="F70" s="116">
        <f t="shared" ca="1" si="1"/>
        <v>6.9779999999999998</v>
      </c>
      <c r="G70" s="118">
        <f ca="1">C70/Summary!C$23</f>
        <v>1.4737589158345221</v>
      </c>
      <c r="H70" s="119">
        <f ca="1">H69+('Dev Plan (Wind)'!C69/Summary!C$23)*Summary!C$27</f>
        <v>25032.231001742435</v>
      </c>
      <c r="I70" s="119">
        <f t="shared" si="10"/>
        <v>2485.8333333333344</v>
      </c>
      <c r="J70" s="119">
        <f t="shared" si="11"/>
        <v>14910.249999999998</v>
      </c>
      <c r="K70" s="119">
        <f t="shared" si="2"/>
        <v>17396.083333333332</v>
      </c>
      <c r="L70" s="122">
        <f ca="1">C69*Summary!C$16*Summary!C$17*24*375*1000*C$11</f>
        <v>125707050000.00002</v>
      </c>
      <c r="M70" s="122">
        <f t="shared" ca="1" si="3"/>
        <v>139577050000</v>
      </c>
      <c r="N70" s="120">
        <f t="shared" ca="1" si="4"/>
        <v>3435</v>
      </c>
      <c r="O70" s="48">
        <f t="shared" ca="1" si="5"/>
        <v>10.069955481760278</v>
      </c>
      <c r="P70" s="115">
        <f ca="1">C70*Summary!$C$16</f>
        <v>516552.5</v>
      </c>
      <c r="Q70" s="115">
        <f ca="1">P70*Summary!$C$17</f>
        <v>206621</v>
      </c>
      <c r="R70" s="48">
        <f ca="1">Q70/'Alberta Electricity Profile'!$C$33</f>
        <v>13.864389720190566</v>
      </c>
      <c r="S70" s="254">
        <f ca="1">P70/'Alberta Electricity Profile'!$D$49</f>
        <v>3.9569528814260435</v>
      </c>
      <c r="T70" s="255">
        <f t="shared" si="6"/>
        <v>347.92166666666662</v>
      </c>
      <c r="U70" s="255">
        <f t="shared" ca="1" si="12"/>
        <v>1272.03286197938</v>
      </c>
      <c r="V70" s="256">
        <f t="shared" ca="1" si="13"/>
        <v>6.3749861527019318</v>
      </c>
      <c r="W70" s="256">
        <f t="shared" ca="1" si="14"/>
        <v>12749.972305403864</v>
      </c>
    </row>
    <row r="71" spans="1:23">
      <c r="A71" s="191"/>
      <c r="B71" s="124">
        <f t="shared" si="7"/>
        <v>51</v>
      </c>
      <c r="C71" s="115">
        <f t="shared" ca="1" si="8"/>
        <v>106936.5</v>
      </c>
      <c r="D71" s="48">
        <f t="shared" ca="1" si="0"/>
        <v>1.4849768705317579</v>
      </c>
      <c r="E71" s="120">
        <f t="shared" ca="1" si="9"/>
        <v>7202</v>
      </c>
      <c r="F71" s="116">
        <f t="shared" ca="1" si="1"/>
        <v>7.202</v>
      </c>
      <c r="G71" s="118">
        <f ca="1">C71/Summary!C$23</f>
        <v>1.5254850213980029</v>
      </c>
      <c r="H71" s="119">
        <f ca="1">H70+('Dev Plan (Wind)'!C70/Summary!C$23)*Summary!C$27</f>
        <v>26349.437015599862</v>
      </c>
      <c r="I71" s="119">
        <f t="shared" si="10"/>
        <v>2535.5500000000011</v>
      </c>
      <c r="J71" s="119">
        <f t="shared" si="11"/>
        <v>15208.454999999998</v>
      </c>
      <c r="K71" s="119">
        <f t="shared" si="2"/>
        <v>17744.004999999997</v>
      </c>
      <c r="L71" s="122">
        <f ca="1">C70*Summary!C$16*Summary!C$17*24*375*1000*C$11</f>
        <v>130171230000.00002</v>
      </c>
      <c r="M71" s="122">
        <f t="shared" ca="1" si="3"/>
        <v>144041230000</v>
      </c>
      <c r="N71" s="120">
        <f t="shared" ca="1" si="4"/>
        <v>3576</v>
      </c>
      <c r="O71" s="48">
        <f t="shared" ca="1" si="5"/>
        <v>10.392000558300902</v>
      </c>
      <c r="P71" s="115">
        <f ca="1">C71*Summary!$C$16</f>
        <v>534682.5</v>
      </c>
      <c r="Q71" s="115">
        <f ca="1">P71*Summary!$C$17</f>
        <v>213873</v>
      </c>
      <c r="R71" s="48">
        <f ca="1">Q71/'Alberta Electricity Profile'!$C$33</f>
        <v>14.351003153727438</v>
      </c>
      <c r="S71" s="254">
        <f ca="1">P71/'Alberta Electricity Profile'!$D$49</f>
        <v>4.0958343227901919</v>
      </c>
      <c r="T71" s="255">
        <f t="shared" si="6"/>
        <v>347.92166666666662</v>
      </c>
      <c r="U71" s="255">
        <f t="shared" ca="1" si="12"/>
        <v>1317.206013857427</v>
      </c>
      <c r="V71" s="256">
        <f t="shared" ca="1" si="13"/>
        <v>6.3749861527019371</v>
      </c>
      <c r="W71" s="256">
        <f t="shared" ca="1" si="14"/>
        <v>12749.972305403875</v>
      </c>
    </row>
    <row r="72" spans="1:23">
      <c r="A72" s="191"/>
      <c r="B72" s="124">
        <f t="shared" si="7"/>
        <v>52</v>
      </c>
      <c r="C72" s="115">
        <f t="shared" ca="1" si="8"/>
        <v>110645.5</v>
      </c>
      <c r="D72" s="48">
        <f t="shared" ca="1" si="0"/>
        <v>1.5317812712615102</v>
      </c>
      <c r="E72" s="120">
        <f t="shared" ca="1" si="9"/>
        <v>7430</v>
      </c>
      <c r="F72" s="116">
        <f t="shared" ca="1" si="1"/>
        <v>7.43</v>
      </c>
      <c r="G72" s="118">
        <f ca="1">C72/Summary!C$23</f>
        <v>1.57839514978602</v>
      </c>
      <c r="H72" s="119">
        <f ca="1">H71+('Dev Plan (Wind)'!C71/Summary!C$23)*Summary!C$27</f>
        <v>27712.874429036681</v>
      </c>
      <c r="I72" s="119">
        <f t="shared" si="10"/>
        <v>2585.2666666666678</v>
      </c>
      <c r="J72" s="119">
        <f t="shared" si="11"/>
        <v>15506.659999999998</v>
      </c>
      <c r="K72" s="119">
        <f t="shared" si="2"/>
        <v>18091.926666666666</v>
      </c>
      <c r="L72" s="122">
        <f ca="1">C71*Summary!C$16*Summary!C$17*24*375*1000*C$11</f>
        <v>134739990000.00002</v>
      </c>
      <c r="M72" s="122">
        <f t="shared" ca="1" si="3"/>
        <v>148609990000</v>
      </c>
      <c r="N72" s="120">
        <f t="shared" ca="1" si="4"/>
        <v>3721</v>
      </c>
      <c r="O72" s="48">
        <f t="shared" ca="1" si="5"/>
        <v>10.719541928248537</v>
      </c>
      <c r="P72" s="115">
        <f ca="1">C72*Summary!$C$16</f>
        <v>553227.5</v>
      </c>
      <c r="Q72" s="115">
        <f ca="1">P72*Summary!$C$17</f>
        <v>221291</v>
      </c>
      <c r="R72" s="48">
        <f ca="1">Q72/'Alberta Electricity Profile'!$C$33</f>
        <v>14.848755284170972</v>
      </c>
      <c r="S72" s="254">
        <f ca="1">P72/'Alberta Electricity Profile'!$D$49</f>
        <v>4.237894793286503</v>
      </c>
      <c r="T72" s="255">
        <f t="shared" si="6"/>
        <v>347.92166666666662</v>
      </c>
      <c r="U72" s="255">
        <f t="shared" ca="1" si="12"/>
        <v>1363.437413436819</v>
      </c>
      <c r="V72" s="256">
        <f t="shared" ca="1" si="13"/>
        <v>6.3749861527019256</v>
      </c>
      <c r="W72" s="256">
        <f t="shared" ca="1" si="14"/>
        <v>12749.972305403851</v>
      </c>
    </row>
    <row r="73" spans="1:23">
      <c r="A73" s="191"/>
      <c r="B73" s="124">
        <f t="shared" si="7"/>
        <v>53</v>
      </c>
      <c r="C73" s="115">
        <f t="shared" ca="1" si="8"/>
        <v>114439.5</v>
      </c>
      <c r="D73" s="48">
        <f t="shared" ca="1" si="0"/>
        <v>1.5793840037777378</v>
      </c>
      <c r="E73" s="120">
        <f t="shared" ca="1" si="9"/>
        <v>7664</v>
      </c>
      <c r="F73" s="116">
        <f t="shared" ca="1" si="1"/>
        <v>7.6639999999999997</v>
      </c>
      <c r="G73" s="118">
        <f ca="1">C73/Summary!C$23</f>
        <v>1.6325178316690443</v>
      </c>
      <c r="H73" s="119">
        <f ca="1">H72+('Dev Plan (Wind)'!C72/Summary!C$23)*Summary!C$27</f>
        <v>29123.601489754245</v>
      </c>
      <c r="I73" s="119">
        <f t="shared" si="10"/>
        <v>2634.9833333333345</v>
      </c>
      <c r="J73" s="119">
        <f t="shared" si="11"/>
        <v>15804.864999999998</v>
      </c>
      <c r="K73" s="119">
        <f t="shared" si="2"/>
        <v>18439.848333333332</v>
      </c>
      <c r="L73" s="122">
        <f ca="1">C72*Summary!C$16*Summary!C$17*24*375*1000*C$11</f>
        <v>139413330000</v>
      </c>
      <c r="M73" s="122">
        <f t="shared" ca="1" si="3"/>
        <v>153283330000</v>
      </c>
      <c r="N73" s="120">
        <f t="shared" ca="1" si="4"/>
        <v>3870</v>
      </c>
      <c r="O73" s="48">
        <f t="shared" ca="1" si="5"/>
        <v>11.05267009522675</v>
      </c>
      <c r="P73" s="115">
        <f ca="1">C73*Summary!$C$16</f>
        <v>572197.5</v>
      </c>
      <c r="Q73" s="115">
        <f ca="1">P73*Summary!$C$17</f>
        <v>228879</v>
      </c>
      <c r="R73" s="48">
        <f ca="1">Q73/'Alberta Electricity Profile'!$C$33</f>
        <v>15.35791451385627</v>
      </c>
      <c r="S73" s="254">
        <f ca="1">P73/'Alberta Electricity Profile'!$D$49</f>
        <v>4.383210896026597</v>
      </c>
      <c r="T73" s="255">
        <f t="shared" si="6"/>
        <v>347.92166666666662</v>
      </c>
      <c r="U73" s="255">
        <f t="shared" ca="1" si="12"/>
        <v>1410.7270607175633</v>
      </c>
      <c r="V73" s="256">
        <f t="shared" ca="1" si="13"/>
        <v>6.3749861527019318</v>
      </c>
      <c r="W73" s="256">
        <f t="shared" ca="1" si="14"/>
        <v>12749.972305403864</v>
      </c>
    </row>
    <row r="74" spans="1:23">
      <c r="A74" s="191"/>
      <c r="B74" s="124">
        <f t="shared" si="7"/>
        <v>54</v>
      </c>
      <c r="C74" s="115">
        <f t="shared" ca="1" si="8"/>
        <v>118319.5</v>
      </c>
      <c r="D74" s="48">
        <f t="shared" ca="1" si="0"/>
        <v>1.6277983999909786</v>
      </c>
      <c r="E74" s="120">
        <f t="shared" ca="1" si="9"/>
        <v>7903</v>
      </c>
      <c r="F74" s="116">
        <f t="shared" ca="1" si="1"/>
        <v>7.9029999999999996</v>
      </c>
      <c r="G74" s="118">
        <f ca="1">C74/Summary!C$23</f>
        <v>1.687867332382311</v>
      </c>
      <c r="H74" s="119">
        <f ca="1">H73+('Dev Plan (Wind)'!C73/Summary!C$23)*Summary!C$27</f>
        <v>30582.701945398509</v>
      </c>
      <c r="I74" s="119">
        <f t="shared" si="10"/>
        <v>2684.7000000000012</v>
      </c>
      <c r="J74" s="119">
        <f t="shared" si="11"/>
        <v>16103.069999999998</v>
      </c>
      <c r="K74" s="119">
        <f t="shared" si="2"/>
        <v>18787.77</v>
      </c>
      <c r="L74" s="122">
        <f ca="1">C73*Summary!C$16*Summary!C$17*24*375*1000*C$11</f>
        <v>144193770000</v>
      </c>
      <c r="M74" s="122">
        <f t="shared" ca="1" si="3"/>
        <v>158063770000</v>
      </c>
      <c r="N74" s="120">
        <f t="shared" ca="1" si="4"/>
        <v>4023</v>
      </c>
      <c r="O74" s="48">
        <f t="shared" ca="1" si="5"/>
        <v>11.391478357134314</v>
      </c>
      <c r="P74" s="115">
        <f ca="1">C74*Summary!$C$16</f>
        <v>591597.5</v>
      </c>
      <c r="Q74" s="115">
        <f ca="1">P74*Summary!$C$17</f>
        <v>236639</v>
      </c>
      <c r="R74" s="48">
        <f ca="1">Q74/'Alberta Electricity Profile'!$C$33</f>
        <v>15.878615043950882</v>
      </c>
      <c r="S74" s="254">
        <f ca="1">P74/'Alberta Electricity Profile'!$D$49</f>
        <v>4.5318209325662808</v>
      </c>
      <c r="T74" s="255">
        <f t="shared" si="6"/>
        <v>347.92166666666662</v>
      </c>
      <c r="U74" s="255">
        <f t="shared" ca="1" si="12"/>
        <v>1459.100455644264</v>
      </c>
      <c r="V74" s="256">
        <f t="shared" ca="1" si="13"/>
        <v>6.3749861527019256</v>
      </c>
      <c r="W74" s="256">
        <f t="shared" ca="1" si="14"/>
        <v>12749.972305403851</v>
      </c>
    </row>
    <row r="75" spans="1:23">
      <c r="A75" s="191"/>
      <c r="B75" s="124">
        <f t="shared" si="7"/>
        <v>55</v>
      </c>
      <c r="C75" s="115">
        <f t="shared" ca="1" si="8"/>
        <v>122287.5</v>
      </c>
      <c r="D75" s="48">
        <f t="shared" ca="1" si="0"/>
        <v>1.6770374885110106</v>
      </c>
      <c r="E75" s="120">
        <f t="shared" ca="1" si="9"/>
        <v>8147</v>
      </c>
      <c r="F75" s="116">
        <f t="shared" ca="1" si="1"/>
        <v>8.1470000000000002</v>
      </c>
      <c r="G75" s="118">
        <f ca="1">C75/Summary!C$23</f>
        <v>1.744472182596291</v>
      </c>
      <c r="H75" s="119">
        <f ca="1">H74+('Dev Plan (Wind)'!C74/Summary!C$23)*Summary!C$27</f>
        <v>32091.272293587739</v>
      </c>
      <c r="I75" s="119">
        <f t="shared" si="10"/>
        <v>2734.4166666666679</v>
      </c>
      <c r="J75" s="119">
        <f t="shared" si="11"/>
        <v>16401.274999999998</v>
      </c>
      <c r="K75" s="119">
        <f t="shared" si="2"/>
        <v>19135.691666666666</v>
      </c>
      <c r="L75" s="122">
        <f ca="1">C74*Summary!C$16*Summary!C$17*24*375*1000*C$11</f>
        <v>149082570000</v>
      </c>
      <c r="M75" s="122">
        <f t="shared" ca="1" si="3"/>
        <v>162952570000</v>
      </c>
      <c r="N75" s="120">
        <f t="shared" ca="1" si="4"/>
        <v>4179</v>
      </c>
      <c r="O75" s="48">
        <f t="shared" ca="1" si="5"/>
        <v>11.736057889344245</v>
      </c>
      <c r="P75" s="115">
        <f ca="1">C75*Summary!$C$16</f>
        <v>611437.5</v>
      </c>
      <c r="Q75" s="115">
        <f ca="1">P75*Summary!$C$17</f>
        <v>244575</v>
      </c>
      <c r="R75" s="48">
        <f ca="1">Q75/'Alberta Electricity Profile'!$C$33</f>
        <v>16.411125276789907</v>
      </c>
      <c r="S75" s="254">
        <f ca="1">P75/'Alberta Electricity Profile'!$D$49</f>
        <v>4.6838015060171747</v>
      </c>
      <c r="T75" s="255">
        <f t="shared" si="6"/>
        <v>347.92166666666662</v>
      </c>
      <c r="U75" s="255">
        <f t="shared" ca="1" si="12"/>
        <v>1508.5703481892306</v>
      </c>
      <c r="V75" s="256">
        <f t="shared" ca="1" si="13"/>
        <v>6.3749861527019238</v>
      </c>
      <c r="W75" s="256">
        <f t="shared" ca="1" si="14"/>
        <v>12749.972305403848</v>
      </c>
    </row>
    <row r="76" spans="1:23">
      <c r="A76" s="191"/>
      <c r="B76" s="124">
        <f t="shared" si="7"/>
        <v>56</v>
      </c>
      <c r="C76" s="115">
        <f t="shared" ca="1" si="8"/>
        <v>126344.5</v>
      </c>
      <c r="D76" s="48">
        <f t="shared" ca="1" si="0"/>
        <v>1.7271146761219245</v>
      </c>
      <c r="E76" s="120">
        <f t="shared" ca="1" si="9"/>
        <v>8397</v>
      </c>
      <c r="F76" s="116">
        <f t="shared" ca="1" si="1"/>
        <v>8.3970000000000002</v>
      </c>
      <c r="G76" s="118">
        <f ca="1">C76/Summary!C$23</f>
        <v>1.8023466476462198</v>
      </c>
      <c r="H76" s="119">
        <f ca="1">H75+('Dev Plan (Wind)'!C75/Summary!C$23)*Summary!C$27</f>
        <v>33650.434531884814</v>
      </c>
      <c r="I76" s="119">
        <f t="shared" si="10"/>
        <v>2784.1333333333346</v>
      </c>
      <c r="J76" s="119">
        <f t="shared" si="11"/>
        <v>16699.48</v>
      </c>
      <c r="K76" s="119">
        <f t="shared" si="2"/>
        <v>19483.613333333335</v>
      </c>
      <c r="L76" s="122">
        <f ca="1">C75*Summary!C$16*Summary!C$17*24*375*1000*C$11</f>
        <v>154082250000</v>
      </c>
      <c r="M76" s="122">
        <f t="shared" ca="1" si="3"/>
        <v>167952250000</v>
      </c>
      <c r="N76" s="120">
        <f t="shared" ca="1" si="4"/>
        <v>4340</v>
      </c>
      <c r="O76" s="48">
        <f t="shared" ca="1" si="5"/>
        <v>12.086502513727121</v>
      </c>
      <c r="P76" s="115">
        <f ca="1">C76*Summary!$C$16</f>
        <v>631722.5</v>
      </c>
      <c r="Q76" s="115">
        <f ca="1">P76*Summary!$C$17</f>
        <v>252689</v>
      </c>
      <c r="R76" s="48">
        <f ca="1">Q76/'Alberta Electricity Profile'!$C$33</f>
        <v>16.955579413540899</v>
      </c>
      <c r="S76" s="254">
        <f ca="1">P76/'Alberta Electricity Profile'!$D$49</f>
        <v>4.8391909179350865</v>
      </c>
      <c r="T76" s="255">
        <f t="shared" si="6"/>
        <v>347.92166666666662</v>
      </c>
      <c r="U76" s="255">
        <f t="shared" ca="1" si="12"/>
        <v>1559.1622382970745</v>
      </c>
      <c r="V76" s="256">
        <f t="shared" ca="1" si="13"/>
        <v>6.37498615270193</v>
      </c>
      <c r="W76" s="256">
        <f t="shared" ca="1" si="14"/>
        <v>12749.97230540386</v>
      </c>
    </row>
    <row r="77" spans="1:23">
      <c r="A77" s="191"/>
      <c r="B77" s="124">
        <f t="shared" si="7"/>
        <v>57</v>
      </c>
      <c r="C77" s="115">
        <f t="shared" ca="1" si="8"/>
        <v>130493.5</v>
      </c>
      <c r="D77" s="48">
        <f t="shared" ca="1" si="0"/>
        <v>1.7780430716948992</v>
      </c>
      <c r="E77" s="120">
        <f t="shared" ca="1" si="9"/>
        <v>8653</v>
      </c>
      <c r="F77" s="116">
        <f t="shared" ca="1" si="1"/>
        <v>8.6530000000000005</v>
      </c>
      <c r="G77" s="118">
        <f ca="1">C77/Summary!C$23</f>
        <v>1.8615335235378032</v>
      </c>
      <c r="H77" s="119">
        <f ca="1">H76+('Dev Plan (Wind)'!C76/Summary!C$23)*Summary!C$27</f>
        <v>35261.323407824908</v>
      </c>
      <c r="I77" s="119">
        <f t="shared" si="10"/>
        <v>2833.8500000000013</v>
      </c>
      <c r="J77" s="119">
        <f t="shared" si="11"/>
        <v>16997.685000000001</v>
      </c>
      <c r="K77" s="119">
        <f t="shared" si="2"/>
        <v>19831.535000000003</v>
      </c>
      <c r="L77" s="122">
        <f ca="1">C76*Summary!C$16*Summary!C$17*24*375*1000*C$11</f>
        <v>159194070000</v>
      </c>
      <c r="M77" s="122">
        <f t="shared" ca="1" si="3"/>
        <v>173064070000</v>
      </c>
      <c r="N77" s="120">
        <f t="shared" ca="1" si="4"/>
        <v>4504</v>
      </c>
      <c r="O77" s="48">
        <f t="shared" ca="1" si="5"/>
        <v>12.44290396733239</v>
      </c>
      <c r="P77" s="115">
        <f ca="1">C77*Summary!$C$16</f>
        <v>652467.5</v>
      </c>
      <c r="Q77" s="115">
        <f ca="1">P77*Summary!$C$17</f>
        <v>260987</v>
      </c>
      <c r="R77" s="48">
        <f ca="1">Q77/'Alberta Electricity Profile'!$C$33</f>
        <v>17.512380057706501</v>
      </c>
      <c r="S77" s="254">
        <f ca="1">P77/'Alberta Electricity Profile'!$D$49</f>
        <v>4.9981040729874451</v>
      </c>
      <c r="T77" s="255">
        <f t="shared" si="6"/>
        <v>347.92166666666662</v>
      </c>
      <c r="U77" s="255">
        <f t="shared" ca="1" si="12"/>
        <v>1610.8888759400943</v>
      </c>
      <c r="V77" s="256">
        <f t="shared" ca="1" si="13"/>
        <v>6.3749861527019149</v>
      </c>
      <c r="W77" s="256">
        <f t="shared" ca="1" si="14"/>
        <v>12749.97230540383</v>
      </c>
    </row>
    <row r="78" spans="1:23">
      <c r="A78" s="191"/>
      <c r="B78" s="124">
        <f t="shared" si="7"/>
        <v>58</v>
      </c>
      <c r="C78" s="115">
        <f t="shared" ca="1" si="8"/>
        <v>134735.5</v>
      </c>
      <c r="D78" s="48">
        <f t="shared" ca="1" si="0"/>
        <v>1.8298367755289804</v>
      </c>
      <c r="E78" s="120">
        <f t="shared" ca="1" si="9"/>
        <v>8914</v>
      </c>
      <c r="F78" s="116">
        <f t="shared" ca="1" si="1"/>
        <v>8.9139999999999997</v>
      </c>
      <c r="G78" s="118">
        <f ca="1">C78/Summary!C$23</f>
        <v>1.9220470756062769</v>
      </c>
      <c r="H78" s="119">
        <f ca="1">H77+('Dev Plan (Wind)'!C77/Summary!C$23)*Summary!C$27</f>
        <v>36925.11191886013</v>
      </c>
      <c r="I78" s="119">
        <f t="shared" si="10"/>
        <v>2883.566666666668</v>
      </c>
      <c r="J78" s="119">
        <f t="shared" si="11"/>
        <v>17295.890000000003</v>
      </c>
      <c r="K78" s="119">
        <f t="shared" si="2"/>
        <v>20179.456666666672</v>
      </c>
      <c r="L78" s="122">
        <f ca="1">C77*Summary!C$16*Summary!C$17*24*375*1000*C$11</f>
        <v>164421810000.00003</v>
      </c>
      <c r="M78" s="122">
        <f t="shared" ca="1" si="3"/>
        <v>178291810000.00003</v>
      </c>
      <c r="N78" s="120">
        <f t="shared" ca="1" si="4"/>
        <v>4672</v>
      </c>
      <c r="O78" s="48">
        <f t="shared" ca="1" si="5"/>
        <v>12.805360925310129</v>
      </c>
      <c r="P78" s="115">
        <f ca="1">C78*Summary!$C$16</f>
        <v>673677.5</v>
      </c>
      <c r="Q78" s="115">
        <f ca="1">P78*Summary!$C$17</f>
        <v>269471</v>
      </c>
      <c r="R78" s="48">
        <f ca="1">Q78/'Alberta Electricity Profile'!$C$33</f>
        <v>18.08166141045427</v>
      </c>
      <c r="S78" s="254">
        <f ca="1">P78/'Alberta Electricity Profile'!$D$49</f>
        <v>5.1605792727300583</v>
      </c>
      <c r="T78" s="255">
        <f t="shared" si="6"/>
        <v>347.92166666666662</v>
      </c>
      <c r="U78" s="255">
        <f t="shared" ca="1" si="12"/>
        <v>1663.7885110352217</v>
      </c>
      <c r="V78" s="256">
        <f t="shared" ca="1" si="13"/>
        <v>6.3749861527019425</v>
      </c>
      <c r="W78" s="256">
        <f t="shared" ca="1" si="14"/>
        <v>12749.972305403884</v>
      </c>
    </row>
    <row r="79" spans="1:23">
      <c r="A79" s="191"/>
      <c r="B79" s="124">
        <f t="shared" si="7"/>
        <v>59</v>
      </c>
      <c r="C79" s="115">
        <f t="shared" ca="1" si="8"/>
        <v>139073.5</v>
      </c>
      <c r="D79" s="48">
        <f t="shared" ca="1" si="0"/>
        <v>1.8825095530910803</v>
      </c>
      <c r="E79" s="120">
        <f t="shared" ca="1" si="9"/>
        <v>9181</v>
      </c>
      <c r="F79" s="116">
        <f t="shared" ca="1" si="1"/>
        <v>9.1809999999999992</v>
      </c>
      <c r="G79" s="118">
        <f ca="1">C79/Summary!C$23</f>
        <v>1.9839300998573466</v>
      </c>
      <c r="H79" s="119">
        <f ca="1">H78+('Dev Plan (Wind)'!C78/Summary!C$23)*Summary!C$27</f>
        <v>38642.985812414874</v>
      </c>
      <c r="I79" s="119">
        <f t="shared" si="10"/>
        <v>2933.2833333333347</v>
      </c>
      <c r="J79" s="119">
        <f t="shared" si="11"/>
        <v>17594.095000000005</v>
      </c>
      <c r="K79" s="119">
        <f t="shared" si="2"/>
        <v>20527.378333333341</v>
      </c>
      <c r="L79" s="122">
        <f ca="1">C78*Summary!C$16*Summary!C$17*24*375*1000*C$11</f>
        <v>169766730000.00003</v>
      </c>
      <c r="M79" s="122">
        <f t="shared" ca="1" si="3"/>
        <v>183636730000.00003</v>
      </c>
      <c r="N79" s="120">
        <f t="shared" ca="1" si="4"/>
        <v>4843</v>
      </c>
      <c r="O79" s="48">
        <f t="shared" ca="1" si="5"/>
        <v>13.173969719625285</v>
      </c>
      <c r="P79" s="115">
        <f ca="1">C79*Summary!$C$16</f>
        <v>695367.5</v>
      </c>
      <c r="Q79" s="115">
        <f ca="1">P79*Summary!$C$17</f>
        <v>278147</v>
      </c>
      <c r="R79" s="48">
        <f ca="1">Q79/'Alberta Electricity Profile'!$C$33</f>
        <v>18.663826075286856</v>
      </c>
      <c r="S79" s="254">
        <f ca="1">P79/'Alberta Electricity Profile'!$D$49</f>
        <v>5.3267314218303543</v>
      </c>
      <c r="T79" s="255">
        <f t="shared" si="6"/>
        <v>347.92166666666662</v>
      </c>
      <c r="U79" s="255">
        <f t="shared" ca="1" si="12"/>
        <v>1717.8738935547444</v>
      </c>
      <c r="V79" s="256">
        <f t="shared" ca="1" si="13"/>
        <v>6.3749861527019398</v>
      </c>
      <c r="W79" s="256">
        <f t="shared" ca="1" si="14"/>
        <v>12749.97230540388</v>
      </c>
    </row>
    <row r="80" spans="1:23" ht="15.75" customHeight="1" thickBot="1">
      <c r="A80" s="191"/>
      <c r="B80" s="165">
        <f t="shared" si="7"/>
        <v>60</v>
      </c>
      <c r="C80" s="166">
        <f t="shared" ca="1" si="8"/>
        <v>143511.5</v>
      </c>
      <c r="D80" s="56">
        <f t="shared" ca="1" si="0"/>
        <v>1.9360760844553344</v>
      </c>
      <c r="E80" s="167">
        <f t="shared" ca="1" si="9"/>
        <v>9455</v>
      </c>
      <c r="F80" s="168">
        <f t="shared" ca="1" si="1"/>
        <v>9.4550000000000001</v>
      </c>
      <c r="G80" s="169">
        <f ca="1">C80/Summary!C$23</f>
        <v>2.0472396576319545</v>
      </c>
      <c r="H80" s="170">
        <f ca="1">H79+('Dev Plan (Wind)'!C79/Summary!C$23)*Summary!C$27</f>
        <v>40416.169085830457</v>
      </c>
      <c r="I80" s="170">
        <f t="shared" si="10"/>
        <v>2983.0000000000014</v>
      </c>
      <c r="J80" s="170">
        <f t="shared" si="11"/>
        <v>17892.300000000007</v>
      </c>
      <c r="K80" s="170">
        <f t="shared" si="2"/>
        <v>20875.300000000007</v>
      </c>
      <c r="L80" s="171">
        <f ca="1">C79*Summary!C$16*Summary!C$17*24*375*1000*C$11</f>
        <v>175232610000.00003</v>
      </c>
      <c r="M80" s="171">
        <f t="shared" ca="1" si="3"/>
        <v>189102610000.00003</v>
      </c>
      <c r="N80" s="120">
        <f t="shared" ca="1" si="4"/>
        <v>5017</v>
      </c>
      <c r="O80" s="56">
        <f t="shared" ca="1" si="5"/>
        <v>13.548833082745706</v>
      </c>
      <c r="P80" s="166">
        <f ca="1">C80*Summary!$C$16</f>
        <v>717557.5</v>
      </c>
      <c r="Q80" s="166">
        <f ca="1">P80*Summary!$C$17</f>
        <v>287023</v>
      </c>
      <c r="R80" s="56">
        <f ca="1">Q80/'Alberta Electricity Profile'!$C$33</f>
        <v>19.259410856874453</v>
      </c>
      <c r="S80" s="254">
        <f ca="1">P80/'Alberta Electricity Profile'!$D$49</f>
        <v>5.4967137265115706</v>
      </c>
      <c r="T80" s="255">
        <f t="shared" si="6"/>
        <v>347.92166666666662</v>
      </c>
      <c r="U80" s="255">
        <f t="shared" ca="1" si="12"/>
        <v>1773.1832734155832</v>
      </c>
      <c r="V80" s="256">
        <f t="shared" ca="1" si="13"/>
        <v>6.3749861527019283</v>
      </c>
      <c r="W80" s="256">
        <f t="shared" ca="1" si="14"/>
        <v>12749.972305403857</v>
      </c>
    </row>
    <row r="81" spans="1:23">
      <c r="A81" s="191"/>
      <c r="B81" s="124">
        <f t="shared" si="7"/>
        <v>61</v>
      </c>
      <c r="C81" s="115">
        <f t="shared" ca="1" si="8"/>
        <v>148051.5</v>
      </c>
      <c r="D81" s="48">
        <f t="shared" ca="1" si="0"/>
        <v>1.9905524900910383</v>
      </c>
      <c r="E81" s="120">
        <f t="shared" ca="1" si="9"/>
        <v>9734</v>
      </c>
      <c r="F81" s="116">
        <f t="shared" ca="1" si="1"/>
        <v>9.734</v>
      </c>
      <c r="G81" s="118">
        <f ca="1">C81/Summary!C$23</f>
        <v>2.1120042796005705</v>
      </c>
      <c r="H81" s="119">
        <f ca="1">H80+('Dev Plan (Wind)'!C80/Summary!C$23)*Summary!C$27</f>
        <v>42245.936736337426</v>
      </c>
      <c r="I81" s="119">
        <f t="shared" si="10"/>
        <v>3032.7166666666681</v>
      </c>
      <c r="J81" s="119">
        <f t="shared" si="11"/>
        <v>18190.505000000008</v>
      </c>
      <c r="K81" s="119">
        <f t="shared" si="2"/>
        <v>21223.221666666675</v>
      </c>
      <c r="L81" s="122">
        <f ca="1">C80*Summary!C$16*Summary!C$17*24*375*1000*C$11</f>
        <v>180824490000.00003</v>
      </c>
      <c r="M81" s="122">
        <f t="shared" ca="1" si="3"/>
        <v>194694490000.00003</v>
      </c>
      <c r="N81" s="120">
        <f t="shared" ca="1" si="4"/>
        <v>5194</v>
      </c>
      <c r="O81" s="48">
        <f t="shared" ca="1" si="5"/>
        <v>13.930063827153017</v>
      </c>
      <c r="P81" s="115">
        <f ca="1">C81*Summary!$C$16</f>
        <v>740257.5</v>
      </c>
      <c r="Q81" s="115">
        <f ca="1">P81*Summary!$C$17</f>
        <v>296103</v>
      </c>
      <c r="R81" s="48">
        <f ca="1">Q81/'Alberta Electricity Profile'!$C$33</f>
        <v>19.86868415755217</v>
      </c>
      <c r="S81" s="254">
        <f ca="1">P81/'Alberta Electricity Profile'!$D$49</f>
        <v>5.6706027898853248</v>
      </c>
      <c r="T81" s="255">
        <f t="shared" si="6"/>
        <v>347.92166666666662</v>
      </c>
      <c r="U81" s="255">
        <f t="shared" ca="1" si="12"/>
        <v>1829.7676505069685</v>
      </c>
      <c r="V81" s="256">
        <f t="shared" ca="1" si="13"/>
        <v>6.3749861527019389</v>
      </c>
      <c r="W81" s="256">
        <f t="shared" ca="1" si="14"/>
        <v>12749.972305403879</v>
      </c>
    </row>
    <row r="82" spans="1:23">
      <c r="A82" s="191"/>
      <c r="B82" s="124">
        <f t="shared" si="7"/>
        <v>62</v>
      </c>
      <c r="C82" s="115">
        <f t="shared" ca="1" si="8"/>
        <v>152698.5</v>
      </c>
      <c r="D82" s="48">
        <f t="shared" ca="1" si="0"/>
        <v>2.0459550325694789</v>
      </c>
      <c r="E82" s="120">
        <f t="shared" ca="1" si="9"/>
        <v>10020</v>
      </c>
      <c r="F82" s="116">
        <f t="shared" ca="1" si="1"/>
        <v>10.02</v>
      </c>
      <c r="G82" s="118">
        <f ca="1">C82/Summary!C$23</f>
        <v>2.1782952924393721</v>
      </c>
      <c r="H82" s="119">
        <f ca="1">H81+('Dev Plan (Wind)'!C81/Summary!C$23)*Summary!C$27</f>
        <v>44133.589261110923</v>
      </c>
      <c r="I82" s="119">
        <f t="shared" si="10"/>
        <v>3082.4333333333348</v>
      </c>
      <c r="J82" s="119">
        <f t="shared" si="11"/>
        <v>18488.71000000001</v>
      </c>
      <c r="K82" s="119">
        <f t="shared" si="2"/>
        <v>21571.143333333344</v>
      </c>
      <c r="L82" s="122">
        <f ca="1">C81*Summary!C$16*Summary!C$17*24*375*1000*C$11</f>
        <v>186544890000.00003</v>
      </c>
      <c r="M82" s="122">
        <f t="shared" ca="1" si="3"/>
        <v>200414890000.00003</v>
      </c>
      <c r="N82" s="120">
        <f t="shared" ca="1" si="4"/>
        <v>5373</v>
      </c>
      <c r="O82" s="48">
        <f t="shared" ca="1" si="5"/>
        <v>14.317775759771253</v>
      </c>
      <c r="P82" s="115">
        <f ca="1">C82*Summary!$C$16</f>
        <v>763492.5</v>
      </c>
      <c r="Q82" s="115">
        <f ca="1">P82*Summary!$C$17</f>
        <v>305397</v>
      </c>
      <c r="R82" s="48">
        <f ca="1">Q82/'Alberta Electricity Profile'!$C$33</f>
        <v>20.492316983157753</v>
      </c>
      <c r="S82" s="254">
        <f ca="1">P82/'Alberta Electricity Profile'!$D$49</f>
        <v>5.8485901197306633</v>
      </c>
      <c r="T82" s="255">
        <f t="shared" si="6"/>
        <v>347.92166666666662</v>
      </c>
      <c r="U82" s="255">
        <f t="shared" ca="1" si="12"/>
        <v>1887.6525247734971</v>
      </c>
      <c r="V82" s="256">
        <f t="shared" ca="1" si="13"/>
        <v>6.3749861527019211</v>
      </c>
      <c r="W82" s="256">
        <f t="shared" ca="1" si="14"/>
        <v>12749.972305403842</v>
      </c>
    </row>
    <row r="83" spans="1:23">
      <c r="A83" s="191"/>
      <c r="B83" s="164">
        <f t="shared" si="7"/>
        <v>63</v>
      </c>
      <c r="C83" s="115">
        <f t="shared" ca="1" si="8"/>
        <v>157455.5</v>
      </c>
      <c r="D83" s="48">
        <f t="shared" ca="1" si="0"/>
        <v>2.1023018503383972</v>
      </c>
      <c r="E83" s="120">
        <f t="shared" ca="1" si="9"/>
        <v>10313</v>
      </c>
      <c r="F83" s="116">
        <f t="shared" ca="1" si="1"/>
        <v>10.313000000000001</v>
      </c>
      <c r="G83" s="118">
        <f ca="1">C83/Summary!C$23</f>
        <v>2.2461554921540654</v>
      </c>
      <c r="H83" s="119">
        <f ca="1">H82+('Dev Plan (Wind)'!C82/Summary!C$23)*Summary!C$27</f>
        <v>46080.490907187632</v>
      </c>
      <c r="I83" s="119">
        <f t="shared" si="10"/>
        <v>3132.1500000000015</v>
      </c>
      <c r="J83" s="119">
        <f t="shared" si="11"/>
        <v>18786.915000000012</v>
      </c>
      <c r="K83" s="119">
        <f t="shared" si="2"/>
        <v>21919.065000000013</v>
      </c>
      <c r="L83" s="122">
        <f ca="1">C82*Summary!C$16*Summary!C$17*24*375*1000*C$11</f>
        <v>192400110000.00003</v>
      </c>
      <c r="M83" s="122">
        <f t="shared" ca="1" si="3"/>
        <v>206270110000.00003</v>
      </c>
      <c r="N83" s="120">
        <f t="shared" ca="1" si="4"/>
        <v>5556</v>
      </c>
      <c r="O83" s="48">
        <f t="shared" ca="1" si="5"/>
        <v>14.712095815075143</v>
      </c>
      <c r="P83" s="115">
        <f ca="1">C83*Summary!$C$16</f>
        <v>787277.5</v>
      </c>
      <c r="Q83" s="115">
        <f ca="1">P83*Summary!$C$17</f>
        <v>314911</v>
      </c>
      <c r="R83" s="48">
        <f ca="1">Q83/'Alberta Electricity Profile'!$C$33</f>
        <v>21.130711937193855</v>
      </c>
      <c r="S83" s="254">
        <f ca="1">P83/'Alberta Electricity Profile'!$D$49</f>
        <v>6.0307906207150133</v>
      </c>
      <c r="T83" s="255">
        <f t="shared" si="6"/>
        <v>347.92166666666662</v>
      </c>
      <c r="U83" s="255">
        <f t="shared" ca="1" si="12"/>
        <v>1946.9016460767089</v>
      </c>
      <c r="V83" s="256">
        <f t="shared" ca="1" si="13"/>
        <v>6.374986152701922</v>
      </c>
      <c r="W83" s="256">
        <f t="shared" ca="1" si="14"/>
        <v>12749.972305403844</v>
      </c>
    </row>
    <row r="84" spans="1:23">
      <c r="A84" s="191"/>
      <c r="B84" s="124">
        <f t="shared" si="7"/>
        <v>64</v>
      </c>
      <c r="C84" s="115">
        <f t="shared" ca="1" si="8"/>
        <v>162323.5</v>
      </c>
      <c r="D84" s="48">
        <f t="shared" ca="1" si="0"/>
        <v>2.159611665978503</v>
      </c>
      <c r="E84" s="120">
        <f t="shared" ca="1" si="9"/>
        <v>10613</v>
      </c>
      <c r="F84" s="116">
        <f t="shared" ca="1" si="1"/>
        <v>10.613</v>
      </c>
      <c r="G84" s="118">
        <f ca="1">C84/Summary!C$23</f>
        <v>2.315599144079886</v>
      </c>
      <c r="H84" s="119">
        <f ca="1">H83+('Dev Plan (Wind)'!C83/Summary!C$23)*Summary!C$27</f>
        <v>48088.044171521149</v>
      </c>
      <c r="I84" s="119">
        <f t="shared" si="10"/>
        <v>3181.8666666666682</v>
      </c>
      <c r="J84" s="119">
        <f t="shared" si="11"/>
        <v>19085.120000000014</v>
      </c>
      <c r="K84" s="119">
        <f t="shared" si="2"/>
        <v>22266.986666666682</v>
      </c>
      <c r="L84" s="122">
        <f ca="1">C83*Summary!C$16*Summary!C$17*24*375*1000*C$11</f>
        <v>198393930000.00003</v>
      </c>
      <c r="M84" s="122">
        <f t="shared" ca="1" si="3"/>
        <v>212263930000.00003</v>
      </c>
      <c r="N84" s="120">
        <f t="shared" ca="1" si="4"/>
        <v>5745</v>
      </c>
      <c r="O84" s="48">
        <f t="shared" ca="1" si="5"/>
        <v>15.113155015354025</v>
      </c>
      <c r="P84" s="115">
        <f ca="1">C84*Summary!$C$16</f>
        <v>811617.5</v>
      </c>
      <c r="Q84" s="115">
        <f ca="1">P84*Summary!$C$17</f>
        <v>324647</v>
      </c>
      <c r="R84" s="48">
        <f ca="1">Q84/'Alberta Electricity Profile'!$C$33</f>
        <v>21.784003220828023</v>
      </c>
      <c r="S84" s="254">
        <f ca="1">P84/'Alberta Electricity Profile'!$D$49</f>
        <v>6.2172425943941843</v>
      </c>
      <c r="T84" s="255">
        <f t="shared" si="6"/>
        <v>347.92166666666662</v>
      </c>
      <c r="U84" s="255">
        <f t="shared" ca="1" si="12"/>
        <v>2007.5532643335173</v>
      </c>
      <c r="V84" s="256">
        <f t="shared" ca="1" si="13"/>
        <v>6.3749861527019291</v>
      </c>
      <c r="W84" s="256">
        <f t="shared" ca="1" si="14"/>
        <v>12749.972305403859</v>
      </c>
    </row>
    <row r="85" spans="1:23">
      <c r="A85" s="191"/>
      <c r="B85" s="124">
        <f t="shared" si="7"/>
        <v>65</v>
      </c>
      <c r="C85" s="115">
        <f t="shared" ca="1" si="8"/>
        <v>167304.5</v>
      </c>
      <c r="D85" s="48">
        <f t="shared" ca="1" si="0"/>
        <v>2.2179026136978521</v>
      </c>
      <c r="E85" s="120">
        <f t="shared" ca="1" si="9"/>
        <v>10919</v>
      </c>
      <c r="F85" s="116">
        <f t="shared" ca="1" si="1"/>
        <v>10.919</v>
      </c>
      <c r="G85" s="118">
        <f ca="1">C85/Summary!C$23</f>
        <v>2.386654778887304</v>
      </c>
      <c r="H85" s="119">
        <f ca="1">H84+('Dev Plan (Wind)'!C84/Summary!C$23)*Summary!C$27</f>
        <v>50157.664301037374</v>
      </c>
      <c r="I85" s="119">
        <f t="shared" si="10"/>
        <v>3231.5833333333348</v>
      </c>
      <c r="J85" s="119">
        <f t="shared" si="11"/>
        <v>19383.325000000015</v>
      </c>
      <c r="K85" s="119">
        <f t="shared" si="2"/>
        <v>22614.908333333351</v>
      </c>
      <c r="L85" s="122">
        <f ca="1">C84*Summary!C$16*Summary!C$17*24*375*1000*C$11</f>
        <v>204527610000.00003</v>
      </c>
      <c r="M85" s="122">
        <f t="shared" ca="1" si="3"/>
        <v>218397610000.00003</v>
      </c>
      <c r="N85" s="120">
        <f t="shared" ca="1" si="4"/>
        <v>5938</v>
      </c>
      <c r="O85" s="48">
        <f t="shared" ca="1" si="5"/>
        <v>15.521080265412936</v>
      </c>
      <c r="P85" s="115">
        <f ca="1">C85*Summary!$C$16</f>
        <v>836522.5</v>
      </c>
      <c r="Q85" s="115">
        <f ca="1">P85*Summary!$C$17</f>
        <v>334609</v>
      </c>
      <c r="R85" s="48">
        <f ca="1">Q85/'Alberta Electricity Profile'!$C$33</f>
        <v>22.452459236395356</v>
      </c>
      <c r="S85" s="254">
        <f ca="1">P85/'Alberta Electricity Profile'!$D$49</f>
        <v>6.4080226438797947</v>
      </c>
      <c r="T85" s="255">
        <f t="shared" si="6"/>
        <v>347.92166666666662</v>
      </c>
      <c r="U85" s="255">
        <f t="shared" ca="1" si="12"/>
        <v>2069.6201295162246</v>
      </c>
      <c r="V85" s="256">
        <f t="shared" ca="1" si="13"/>
        <v>6.3749861527019336</v>
      </c>
      <c r="W85" s="256">
        <f t="shared" ca="1" si="14"/>
        <v>12749.972305403868</v>
      </c>
    </row>
    <row r="86" spans="1:23">
      <c r="A86" s="191"/>
      <c r="B86" s="124">
        <f t="shared" si="7"/>
        <v>66</v>
      </c>
      <c r="C86" s="115">
        <f t="shared" ca="1" si="8"/>
        <v>172401.5</v>
      </c>
      <c r="D86" s="48">
        <f t="shared" ca="1" si="0"/>
        <v>2.2771928391494765</v>
      </c>
      <c r="E86" s="120">
        <f t="shared" ca="1" si="9"/>
        <v>11233</v>
      </c>
      <c r="F86" s="116">
        <f t="shared" ca="1" si="1"/>
        <v>11.233000000000001</v>
      </c>
      <c r="G86" s="118">
        <f ca="1">C86/Summary!C$23</f>
        <v>2.4593651925820255</v>
      </c>
      <c r="H86" s="119">
        <f ca="1">H85+('Dev Plan (Wind)'!C85/Summary!C$23)*Summary!C$27</f>
        <v>52290.792042606816</v>
      </c>
      <c r="I86" s="119">
        <f t="shared" si="10"/>
        <v>3281.3000000000015</v>
      </c>
      <c r="J86" s="119">
        <f t="shared" si="11"/>
        <v>19681.530000000017</v>
      </c>
      <c r="K86" s="119">
        <f t="shared" si="2"/>
        <v>22962.83000000002</v>
      </c>
      <c r="L86" s="122">
        <f ca="1">C85*Summary!C$16*Summary!C$17*24*375*1000*C$11</f>
        <v>210803670000.00003</v>
      </c>
      <c r="M86" s="122">
        <f t="shared" ca="1" si="3"/>
        <v>224673670000.00003</v>
      </c>
      <c r="N86" s="120">
        <f t="shared" ca="1" si="4"/>
        <v>6136</v>
      </c>
      <c r="O86" s="48">
        <f t="shared" ca="1" si="5"/>
        <v>15.935998550149877</v>
      </c>
      <c r="P86" s="115">
        <f ca="1">C86*Summary!$C$16</f>
        <v>862007.5</v>
      </c>
      <c r="Q86" s="115">
        <f ca="1">P86*Summary!$C$17</f>
        <v>344803</v>
      </c>
      <c r="R86" s="48">
        <f ca="1">Q86/'Alberta Electricity Profile'!$C$33</f>
        <v>23.136482587398511</v>
      </c>
      <c r="S86" s="254">
        <f ca="1">P86/'Alberta Electricity Profile'!$D$49</f>
        <v>6.6032456738392717</v>
      </c>
      <c r="T86" s="255">
        <f t="shared" si="6"/>
        <v>347.92166666666662</v>
      </c>
      <c r="U86" s="255">
        <f t="shared" ca="1" si="12"/>
        <v>2133.1277415694422</v>
      </c>
      <c r="V86" s="256">
        <f t="shared" ca="1" si="13"/>
        <v>6.3749861527019362</v>
      </c>
      <c r="W86" s="256">
        <f t="shared" ca="1" si="14"/>
        <v>12749.972305403873</v>
      </c>
    </row>
    <row r="87" spans="1:23">
      <c r="A87" s="191"/>
      <c r="B87" s="124">
        <f t="shared" si="7"/>
        <v>67</v>
      </c>
      <c r="C87" s="115">
        <f t="shared" ca="1" si="8"/>
        <v>177616.5</v>
      </c>
      <c r="D87" s="48">
        <f t="shared" ca="1" si="0"/>
        <v>2.3375010455340037</v>
      </c>
      <c r="E87" s="120">
        <f t="shared" ca="1" si="9"/>
        <v>11554</v>
      </c>
      <c r="F87" s="116">
        <f t="shared" ca="1" si="1"/>
        <v>11.554</v>
      </c>
      <c r="G87" s="118">
        <f ca="1">C87/Summary!C$23</f>
        <v>2.5337589158345222</v>
      </c>
      <c r="H87" s="119">
        <f ca="1">H86+('Dev Plan (Wind)'!C86/Summary!C$23)*Summary!C$27</f>
        <v>54488.9063930169</v>
      </c>
      <c r="I87" s="119">
        <f t="shared" si="10"/>
        <v>3331.0166666666682</v>
      </c>
      <c r="J87" s="119">
        <f t="shared" si="11"/>
        <v>19979.735000000019</v>
      </c>
      <c r="K87" s="119">
        <f t="shared" si="2"/>
        <v>23310.751666666685</v>
      </c>
      <c r="L87" s="122">
        <f ca="1">C86*Summary!C$16*Summary!C$17*24*375*1000*C$11</f>
        <v>217225890000.00003</v>
      </c>
      <c r="M87" s="122">
        <f t="shared" ca="1" si="3"/>
        <v>231095890000.00003</v>
      </c>
      <c r="N87" s="120">
        <f t="shared" ca="1" si="4"/>
        <v>6339</v>
      </c>
      <c r="O87" s="48">
        <f t="shared" ca="1" si="5"/>
        <v>16.358040756230643</v>
      </c>
      <c r="P87" s="115">
        <f ca="1">C87*Summary!$C$16</f>
        <v>888082.5</v>
      </c>
      <c r="Q87" s="115">
        <f ca="1">P87*Summary!$C$17</f>
        <v>355233</v>
      </c>
      <c r="R87" s="48">
        <f ca="1">Q87/'Alberta Electricity Profile'!$C$33</f>
        <v>23.836341676172584</v>
      </c>
      <c r="S87" s="254">
        <f ca="1">P87/'Alberta Electricity Profile'!$D$49</f>
        <v>6.8029882873842338</v>
      </c>
      <c r="T87" s="255">
        <f t="shared" si="6"/>
        <v>347.92166666666662</v>
      </c>
      <c r="U87" s="255">
        <f t="shared" ca="1" si="12"/>
        <v>2198.1143504100837</v>
      </c>
      <c r="V87" s="256">
        <f t="shared" ca="1" si="13"/>
        <v>6.37498615270193</v>
      </c>
      <c r="W87" s="256">
        <f t="shared" ca="1" si="14"/>
        <v>12749.97230540386</v>
      </c>
    </row>
    <row r="88" spans="1:23">
      <c r="A88" s="191"/>
      <c r="B88" s="124">
        <f t="shared" si="7"/>
        <v>68</v>
      </c>
      <c r="C88" s="115">
        <f t="shared" ca="1" si="8"/>
        <v>182952.5</v>
      </c>
      <c r="D88" s="48">
        <f t="shared" ca="1" si="0"/>
        <v>2.3988459136902698</v>
      </c>
      <c r="E88" s="120">
        <f t="shared" ca="1" si="9"/>
        <v>11883</v>
      </c>
      <c r="F88" s="116">
        <f t="shared" ca="1" si="1"/>
        <v>11.882999999999999</v>
      </c>
      <c r="G88" s="118">
        <f ca="1">C88/Summary!C$23</f>
        <v>2.6098787446504992</v>
      </c>
      <c r="H88" s="119">
        <f ca="1">H87+('Dev Plan (Wind)'!C87/Summary!C$23)*Summary!C$27</f>
        <v>56753.511848999668</v>
      </c>
      <c r="I88" s="119">
        <f t="shared" si="10"/>
        <v>3380.7333333333349</v>
      </c>
      <c r="J88" s="119">
        <f t="shared" si="11"/>
        <v>20277.940000000021</v>
      </c>
      <c r="K88" s="119">
        <f t="shared" si="2"/>
        <v>23658.673333333354</v>
      </c>
      <c r="L88" s="122">
        <f ca="1">C87*Summary!C$16*Summary!C$17*24*375*1000*C$11</f>
        <v>223796790000.00003</v>
      </c>
      <c r="M88" s="122">
        <f t="shared" ca="1" si="3"/>
        <v>237666790000.00003</v>
      </c>
      <c r="N88" s="120">
        <f t="shared" ca="1" si="4"/>
        <v>6547</v>
      </c>
      <c r="O88" s="48">
        <f t="shared" ca="1" si="5"/>
        <v>16.787337613831212</v>
      </c>
      <c r="P88" s="115">
        <f ca="1">C88*Summary!$C$16</f>
        <v>914762.5</v>
      </c>
      <c r="Q88" s="115">
        <f ca="1">P88*Summary!$C$17</f>
        <v>365905</v>
      </c>
      <c r="R88" s="48">
        <f ca="1">Q88/'Alberta Electricity Profile'!$C$33</f>
        <v>24.552439106220223</v>
      </c>
      <c r="S88" s="254">
        <f ca="1">P88/'Alberta Electricity Profile'!$D$49</f>
        <v>7.0073653891821088</v>
      </c>
      <c r="T88" s="255">
        <f t="shared" si="6"/>
        <v>347.92166666666662</v>
      </c>
      <c r="U88" s="255">
        <f t="shared" ca="1" si="12"/>
        <v>2264.605455982768</v>
      </c>
      <c r="V88" s="256">
        <f t="shared" ca="1" si="13"/>
        <v>6.3749861527019398</v>
      </c>
      <c r="W88" s="256">
        <f t="shared" ca="1" si="14"/>
        <v>12749.97230540388</v>
      </c>
    </row>
    <row r="89" spans="1:23">
      <c r="A89" s="191"/>
      <c r="B89" s="124">
        <f t="shared" si="7"/>
        <v>69</v>
      </c>
      <c r="C89" s="115">
        <f t="shared" ca="1" si="8"/>
        <v>188411.5</v>
      </c>
      <c r="D89" s="48">
        <f t="shared" ca="1" si="0"/>
        <v>2.4612466348186408</v>
      </c>
      <c r="E89" s="120">
        <f t="shared" ca="1" si="9"/>
        <v>12219</v>
      </c>
      <c r="F89" s="116">
        <f t="shared" ca="1" si="1"/>
        <v>12.218999999999999</v>
      </c>
      <c r="G89" s="118">
        <f ca="1">C89/Summary!C$23</f>
        <v>2.687753209700428</v>
      </c>
      <c r="H89" s="119">
        <f ca="1">H88+('Dev Plan (Wind)'!C88/Summary!C$23)*Summary!C$27</f>
        <v>59086.151157204069</v>
      </c>
      <c r="I89" s="119">
        <f t="shared" si="10"/>
        <v>3430.4500000000016</v>
      </c>
      <c r="J89" s="119">
        <f t="shared" si="11"/>
        <v>20576.145000000022</v>
      </c>
      <c r="K89" s="119">
        <f t="shared" si="2"/>
        <v>24006.595000000023</v>
      </c>
      <c r="L89" s="122">
        <f ca="1">C88*Summary!C$16*Summary!C$17*24*375*1000*C$11</f>
        <v>230520150000.00003</v>
      </c>
      <c r="M89" s="122">
        <f t="shared" ca="1" si="3"/>
        <v>244390150000.00003</v>
      </c>
      <c r="N89" s="120">
        <f t="shared" ca="1" si="4"/>
        <v>6760</v>
      </c>
      <c r="O89" s="48">
        <f t="shared" ca="1" si="5"/>
        <v>17.224023424683072</v>
      </c>
      <c r="P89" s="115">
        <f ca="1">C89*Summary!$C$16</f>
        <v>942057.5</v>
      </c>
      <c r="Q89" s="115">
        <f ca="1">P89*Summary!$C$17</f>
        <v>376823</v>
      </c>
      <c r="R89" s="48">
        <f ca="1">Q89/'Alberta Electricity Profile'!$C$33</f>
        <v>25.285043279876536</v>
      </c>
      <c r="S89" s="254">
        <f ca="1">P89/'Alberta Electricity Profile'!$D$49</f>
        <v>7.2164535823445144</v>
      </c>
      <c r="T89" s="255">
        <f t="shared" si="6"/>
        <v>347.92166666666662</v>
      </c>
      <c r="U89" s="255">
        <f t="shared" ca="1" si="12"/>
        <v>2332.6393082044015</v>
      </c>
      <c r="V89" s="256">
        <f t="shared" ca="1" si="13"/>
        <v>6.3749861527019345</v>
      </c>
      <c r="W89" s="256">
        <f t="shared" ca="1" si="14"/>
        <v>12749.97230540387</v>
      </c>
    </row>
    <row r="90" spans="1:23">
      <c r="A90" s="191"/>
      <c r="B90" s="124">
        <f t="shared" si="7"/>
        <v>70</v>
      </c>
      <c r="C90" s="115">
        <f t="shared" ca="1" si="8"/>
        <v>193996.5</v>
      </c>
      <c r="D90" s="48">
        <f t="shared" ca="1" si="0"/>
        <v>2.5247223505109018</v>
      </c>
      <c r="E90" s="120">
        <f t="shared" ca="1" si="9"/>
        <v>12563</v>
      </c>
      <c r="F90" s="116">
        <f t="shared" ca="1" si="1"/>
        <v>12.563000000000001</v>
      </c>
      <c r="G90" s="118">
        <f ca="1">C90/Summary!C$23</f>
        <v>2.7674251069900144</v>
      </c>
      <c r="H90" s="119">
        <f ca="1">H89+('Dev Plan (Wind)'!C89/Summary!C$23)*Summary!C$27</f>
        <v>61488.392564223665</v>
      </c>
      <c r="I90" s="119">
        <f t="shared" si="10"/>
        <v>3480.1666666666683</v>
      </c>
      <c r="J90" s="119">
        <f t="shared" si="11"/>
        <v>20874.350000000024</v>
      </c>
      <c r="K90" s="119">
        <f t="shared" si="2"/>
        <v>24354.516666666692</v>
      </c>
      <c r="L90" s="122">
        <f ca="1">C89*Summary!C$16*Summary!C$17*24*375*1000*C$11</f>
        <v>237398490000.00003</v>
      </c>
      <c r="M90" s="122">
        <f t="shared" ca="1" si="3"/>
        <v>251268490000.00003</v>
      </c>
      <c r="N90" s="120">
        <f t="shared" ca="1" si="4"/>
        <v>6978</v>
      </c>
      <c r="O90" s="48">
        <f t="shared" ca="1" si="5"/>
        <v>17.668232143352416</v>
      </c>
      <c r="P90" s="115">
        <f ca="1">C90*Summary!$C$16</f>
        <v>969982.5</v>
      </c>
      <c r="Q90" s="115">
        <f ca="1">P90*Summary!$C$17</f>
        <v>387993</v>
      </c>
      <c r="R90" s="48">
        <f ca="1">Q90/'Alberta Electricity Profile'!$C$33</f>
        <v>26.034556800644165</v>
      </c>
      <c r="S90" s="254">
        <f ca="1">P90/'Alberta Electricity Profile'!$D$49</f>
        <v>7.4303677715388803</v>
      </c>
      <c r="T90" s="255">
        <f t="shared" si="6"/>
        <v>347.92166666666662</v>
      </c>
      <c r="U90" s="255">
        <f t="shared" ca="1" si="12"/>
        <v>2402.2414070195955</v>
      </c>
      <c r="V90" s="256">
        <f t="shared" ca="1" si="13"/>
        <v>6.3749861527019194</v>
      </c>
      <c r="W90" s="256">
        <f t="shared" ca="1" si="14"/>
        <v>12749.972305403839</v>
      </c>
    </row>
    <row r="91" spans="1:23">
      <c r="A91" s="191"/>
      <c r="B91" s="124">
        <f t="shared" si="7"/>
        <v>71</v>
      </c>
      <c r="C91" s="115">
        <f t="shared" ca="1" si="8"/>
        <v>199709.5</v>
      </c>
      <c r="D91" s="48">
        <f t="shared" ca="1" si="0"/>
        <v>2.5892926723860743</v>
      </c>
      <c r="E91" s="120">
        <f t="shared" ca="1" si="9"/>
        <v>12915</v>
      </c>
      <c r="F91" s="116">
        <f t="shared" ca="1" si="1"/>
        <v>12.914999999999999</v>
      </c>
      <c r="G91" s="118">
        <f ca="1">C91/Summary!C$23</f>
        <v>2.8489229671897291</v>
      </c>
      <c r="H91" s="119">
        <f ca="1">H90+('Dev Plan (Wind)'!C90/Summary!C$23)*Summary!C$27</f>
        <v>63961.842566568943</v>
      </c>
      <c r="I91" s="119">
        <f t="shared" si="10"/>
        <v>3529.883333333335</v>
      </c>
      <c r="J91" s="119">
        <f t="shared" si="11"/>
        <v>21172.555000000026</v>
      </c>
      <c r="K91" s="119">
        <f t="shared" si="2"/>
        <v>24702.438333333361</v>
      </c>
      <c r="L91" s="122">
        <f ca="1">C90*Summary!C$16*Summary!C$17*24*375*1000*C$11</f>
        <v>244435590000.00003</v>
      </c>
      <c r="M91" s="122">
        <f t="shared" ca="1" si="3"/>
        <v>258305590000.00003</v>
      </c>
      <c r="N91" s="120">
        <f t="shared" ca="1" si="4"/>
        <v>7202</v>
      </c>
      <c r="O91" s="48">
        <f t="shared" ca="1" si="5"/>
        <v>18.120101013697973</v>
      </c>
      <c r="P91" s="115">
        <f ca="1">C91*Summary!$C$16</f>
        <v>998547.5</v>
      </c>
      <c r="Q91" s="115">
        <f ca="1">P91*Summary!$C$17</f>
        <v>399419</v>
      </c>
      <c r="R91" s="48">
        <f ca="1">Q91/'Alberta Electricity Profile'!$C$33</f>
        <v>26.801248070858218</v>
      </c>
      <c r="S91" s="254">
        <f ca="1">P91/'Alberta Electricity Profile'!$D$49</f>
        <v>7.6491845598768222</v>
      </c>
      <c r="T91" s="255">
        <f t="shared" si="6"/>
        <v>347.92166666666662</v>
      </c>
      <c r="U91" s="255">
        <f t="shared" ca="1" si="12"/>
        <v>2473.4500023452783</v>
      </c>
      <c r="V91" s="256">
        <f t="shared" ca="1" si="13"/>
        <v>6.3749861527019256</v>
      </c>
      <c r="W91" s="256">
        <f t="shared" ca="1" si="14"/>
        <v>12749.972305403851</v>
      </c>
    </row>
    <row r="92" spans="1:23">
      <c r="A92" s="191"/>
      <c r="B92" s="124">
        <f t="shared" si="7"/>
        <v>72</v>
      </c>
      <c r="C92" s="115">
        <f t="shared" ca="1" si="8"/>
        <v>205554.5</v>
      </c>
      <c r="D92" s="48">
        <f t="shared" ca="1" si="0"/>
        <v>2.6549771404760216</v>
      </c>
      <c r="E92" s="120">
        <f t="shared" ca="1" si="9"/>
        <v>13275</v>
      </c>
      <c r="F92" s="116">
        <f t="shared" ca="1" si="1"/>
        <v>13.275</v>
      </c>
      <c r="G92" s="118">
        <f ca="1">C92/Summary!C$23</f>
        <v>2.9323038516405138</v>
      </c>
      <c r="H92" s="119">
        <f ca="1">H91+('Dev Plan (Wind)'!C91/Summary!C$23)*Summary!C$27</f>
        <v>66508.133160694997</v>
      </c>
      <c r="I92" s="119">
        <f t="shared" si="10"/>
        <v>3579.6000000000017</v>
      </c>
      <c r="J92" s="119">
        <f t="shared" si="11"/>
        <v>21470.760000000028</v>
      </c>
      <c r="K92" s="119">
        <f t="shared" si="2"/>
        <v>25050.36000000003</v>
      </c>
      <c r="L92" s="122">
        <f ca="1">C91*Summary!C$16*Summary!C$17*24*375*1000*C$11</f>
        <v>251633970000.00003</v>
      </c>
      <c r="M92" s="122">
        <f t="shared" ca="1" si="3"/>
        <v>265503970000.00003</v>
      </c>
      <c r="N92" s="120">
        <f t="shared" ca="1" si="4"/>
        <v>7430</v>
      </c>
      <c r="O92" s="48">
        <f t="shared" ca="1" si="5"/>
        <v>18.579766778605141</v>
      </c>
      <c r="P92" s="115">
        <f ca="1">C92*Summary!$C$16</f>
        <v>1027772.5</v>
      </c>
      <c r="Q92" s="115">
        <f ca="1">P92*Summary!$C$17</f>
        <v>411109</v>
      </c>
      <c r="R92" s="48">
        <f ca="1">Q92/'Alberta Electricity Profile'!$C$33</f>
        <v>27.585653895188887</v>
      </c>
      <c r="S92" s="254">
        <f ca="1">P92/'Alberta Electricity Profile'!$D$49</f>
        <v>7.8730571535815788</v>
      </c>
      <c r="T92" s="255">
        <f t="shared" si="6"/>
        <v>347.92166666666662</v>
      </c>
      <c r="U92" s="255">
        <f t="shared" ca="1" si="12"/>
        <v>2546.2905941260542</v>
      </c>
      <c r="V92" s="256">
        <f t="shared" ca="1" si="13"/>
        <v>6.3749861527019354</v>
      </c>
      <c r="W92" s="256">
        <f t="shared" ca="1" si="14"/>
        <v>12749.972305403871</v>
      </c>
    </row>
    <row r="93" spans="1:23">
      <c r="A93" s="191"/>
      <c r="B93" s="124">
        <f t="shared" si="7"/>
        <v>73</v>
      </c>
      <c r="C93" s="115">
        <f t="shared" ca="1" si="8"/>
        <v>211533.5</v>
      </c>
      <c r="D93" s="48">
        <f t="shared" ca="1" si="0"/>
        <v>2.7217962321314277</v>
      </c>
      <c r="E93" s="120">
        <f t="shared" ca="1" si="9"/>
        <v>13643</v>
      </c>
      <c r="F93" s="116">
        <f t="shared" ca="1" si="1"/>
        <v>13.643000000000001</v>
      </c>
      <c r="G93" s="118">
        <f ca="1">C93/Summary!C$23</f>
        <v>3.0175962910128389</v>
      </c>
      <c r="H93" s="119">
        <f ca="1">H92+('Dev Plan (Wind)'!C92/Summary!C$23)*Summary!C$27</f>
        <v>69128.947342946136</v>
      </c>
      <c r="I93" s="119">
        <f t="shared" si="10"/>
        <v>3629.3166666666684</v>
      </c>
      <c r="J93" s="119">
        <f t="shared" si="11"/>
        <v>21768.965000000029</v>
      </c>
      <c r="K93" s="119">
        <f t="shared" si="2"/>
        <v>25398.281666666699</v>
      </c>
      <c r="L93" s="122">
        <f ca="1">C92*Summary!C$16*Summary!C$17*24*375*1000*C$11</f>
        <v>258998670000.00003</v>
      </c>
      <c r="M93" s="122">
        <f t="shared" ca="1" si="3"/>
        <v>272868670000.00003</v>
      </c>
      <c r="N93" s="120">
        <f t="shared" ca="1" si="4"/>
        <v>7664</v>
      </c>
      <c r="O93" s="48">
        <f t="shared" ca="1" si="5"/>
        <v>19.047372740400011</v>
      </c>
      <c r="P93" s="115">
        <f ca="1">C93*Summary!$C$16</f>
        <v>1057667.5</v>
      </c>
      <c r="Q93" s="115">
        <f ca="1">P93*Summary!$C$17</f>
        <v>423067</v>
      </c>
      <c r="R93" s="48">
        <f ca="1">Q93/'Alberta Electricity Profile'!$C$33</f>
        <v>28.388042675971281</v>
      </c>
      <c r="S93" s="254">
        <f ca="1">P93/'Alberta Electricity Profile'!$D$49</f>
        <v>8.1020621557647665</v>
      </c>
      <c r="T93" s="255">
        <f t="shared" si="6"/>
        <v>347.92166666666662</v>
      </c>
      <c r="U93" s="255">
        <f t="shared" ca="1" si="12"/>
        <v>2620.8141822511388</v>
      </c>
      <c r="V93" s="256">
        <f t="shared" ca="1" si="13"/>
        <v>6.3749861527019327</v>
      </c>
      <c r="W93" s="256">
        <f t="shared" ca="1" si="14"/>
        <v>12749.972305403866</v>
      </c>
    </row>
    <row r="94" spans="1:23">
      <c r="A94" s="191"/>
      <c r="B94" s="124">
        <f t="shared" si="7"/>
        <v>74</v>
      </c>
      <c r="C94" s="115">
        <f t="shared" ca="1" si="8"/>
        <v>217650.5</v>
      </c>
      <c r="D94" s="48">
        <f t="shared" ca="1" si="0"/>
        <v>2.7897703082542988</v>
      </c>
      <c r="E94" s="120">
        <f t="shared" ca="1" si="9"/>
        <v>14020</v>
      </c>
      <c r="F94" s="116">
        <f t="shared" ca="1" si="1"/>
        <v>14.02</v>
      </c>
      <c r="G94" s="118">
        <f ca="1">C94/Summary!C$23</f>
        <v>3.1048573466476461</v>
      </c>
      <c r="H94" s="119">
        <f ca="1">H93+('Dev Plan (Wind)'!C93/Summary!C$23)*Summary!C$27</f>
        <v>71825.99360961128</v>
      </c>
      <c r="I94" s="119">
        <f t="shared" si="10"/>
        <v>3679.0333333333351</v>
      </c>
      <c r="J94" s="119">
        <f t="shared" si="11"/>
        <v>22067.170000000031</v>
      </c>
      <c r="K94" s="119">
        <f t="shared" si="2"/>
        <v>25746.203333333367</v>
      </c>
      <c r="L94" s="122">
        <f ca="1">C93*Summary!C$16*Summary!C$17*24*375*1000*C$11</f>
        <v>266532210000.00003</v>
      </c>
      <c r="M94" s="122">
        <f t="shared" ca="1" si="3"/>
        <v>280402210000</v>
      </c>
      <c r="N94" s="120">
        <f t="shared" ca="1" si="4"/>
        <v>7903</v>
      </c>
      <c r="O94" s="48">
        <f t="shared" ca="1" si="5"/>
        <v>19.523061386490451</v>
      </c>
      <c r="P94" s="115">
        <f ca="1">C94*Summary!$C$16</f>
        <v>1088252.5</v>
      </c>
      <c r="Q94" s="115">
        <f ca="1">P94*Summary!$C$17</f>
        <v>435301</v>
      </c>
      <c r="R94" s="48">
        <f ca="1">Q94/'Alberta Electricity Profile'!$C$33</f>
        <v>29.208951217875594</v>
      </c>
      <c r="S94" s="254">
        <f ca="1">P94/'Alberta Electricity Profile'!$D$49</f>
        <v>8.3363527726496258</v>
      </c>
      <c r="T94" s="255">
        <f t="shared" si="6"/>
        <v>347.92166666666662</v>
      </c>
      <c r="U94" s="255">
        <f t="shared" ca="1" si="12"/>
        <v>2697.0462666651438</v>
      </c>
      <c r="V94" s="256">
        <f t="shared" ca="1" si="13"/>
        <v>6.3749861527019211</v>
      </c>
      <c r="W94" s="256">
        <f t="shared" ca="1" si="14"/>
        <v>12749.972305403842</v>
      </c>
    </row>
    <row r="95" spans="1:23">
      <c r="A95" s="191"/>
      <c r="B95" s="124">
        <f t="shared" si="7"/>
        <v>75</v>
      </c>
      <c r="C95" s="115">
        <f t="shared" ca="1" si="8"/>
        <v>223908.5</v>
      </c>
      <c r="D95" s="48">
        <f t="shared" ca="1" si="0"/>
        <v>2.858920598290553</v>
      </c>
      <c r="E95" s="120">
        <f t="shared" ca="1" si="9"/>
        <v>14405</v>
      </c>
      <c r="F95" s="116">
        <f t="shared" ca="1" si="1"/>
        <v>14.404999999999999</v>
      </c>
      <c r="G95" s="118">
        <f ca="1">C95/Summary!C$23</f>
        <v>3.1941298145506418</v>
      </c>
      <c r="H95" s="119">
        <f ca="1">H94+('Dev Plan (Wind)'!C94/Summary!C$23)*Summary!C$27</f>
        <v>74601.031456868586</v>
      </c>
      <c r="I95" s="119">
        <f t="shared" si="10"/>
        <v>3728.7500000000018</v>
      </c>
      <c r="J95" s="119">
        <f t="shared" si="11"/>
        <v>22365.375000000033</v>
      </c>
      <c r="K95" s="119">
        <f t="shared" si="2"/>
        <v>26094.125000000036</v>
      </c>
      <c r="L95" s="122">
        <f ca="1">C94*Summary!C$16*Summary!C$17*24*375*1000*C$11</f>
        <v>274239630000.00003</v>
      </c>
      <c r="M95" s="122">
        <f t="shared" ca="1" si="3"/>
        <v>288109630000</v>
      </c>
      <c r="N95" s="120">
        <f t="shared" ca="1" si="4"/>
        <v>8147</v>
      </c>
      <c r="O95" s="48">
        <f t="shared" ca="1" si="5"/>
        <v>20.006981282432061</v>
      </c>
      <c r="P95" s="115">
        <f ca="1">C95*Summary!$C$16</f>
        <v>1119542.5</v>
      </c>
      <c r="Q95" s="115">
        <f ca="1">P95*Summary!$C$17</f>
        <v>447817</v>
      </c>
      <c r="R95" s="48">
        <f ca="1">Q95/'Alberta Electricity Profile'!$C$33</f>
        <v>30.048782124404482</v>
      </c>
      <c r="S95" s="254">
        <f ca="1">P95/'Alberta Electricity Profile'!$D$49</f>
        <v>8.5760439089035803</v>
      </c>
      <c r="T95" s="255">
        <f t="shared" si="6"/>
        <v>347.92166666666662</v>
      </c>
      <c r="U95" s="255">
        <f t="shared" ca="1" si="12"/>
        <v>2775.0378472573066</v>
      </c>
      <c r="V95" s="256">
        <f t="shared" ca="1" si="13"/>
        <v>6.3749861527019389</v>
      </c>
      <c r="W95" s="256">
        <f t="shared" ca="1" si="14"/>
        <v>12749.972305403879</v>
      </c>
    </row>
    <row r="96" spans="1:23">
      <c r="A96" s="191"/>
      <c r="B96" s="124">
        <f t="shared" si="7"/>
        <v>76</v>
      </c>
      <c r="C96" s="115">
        <f t="shared" ca="1" si="8"/>
        <v>230310.5</v>
      </c>
      <c r="D96" s="48">
        <f t="shared" ca="1" si="0"/>
        <v>2.9292686609034426</v>
      </c>
      <c r="E96" s="120">
        <f t="shared" ca="1" si="9"/>
        <v>14799</v>
      </c>
      <c r="F96" s="116">
        <f t="shared" ca="1" si="1"/>
        <v>14.798999999999999</v>
      </c>
      <c r="G96" s="118">
        <f ca="1">C96/Summary!C$23</f>
        <v>3.2854564907275319</v>
      </c>
      <c r="H96" s="119">
        <f ca="1">H95+('Dev Plan (Wind)'!C95/Summary!C$23)*Summary!C$27</f>
        <v>77455.858630813105</v>
      </c>
      <c r="I96" s="119">
        <f t="shared" si="10"/>
        <v>3778.4666666666685</v>
      </c>
      <c r="J96" s="119">
        <f t="shared" si="11"/>
        <v>22663.580000000034</v>
      </c>
      <c r="K96" s="119">
        <f t="shared" si="2"/>
        <v>26442.046666666702</v>
      </c>
      <c r="L96" s="122">
        <f ca="1">C95*Summary!C$16*Summary!C$17*24*375*1000*C$11</f>
        <v>282124710000</v>
      </c>
      <c r="M96" s="122">
        <f t="shared" ca="1" si="3"/>
        <v>295994710000</v>
      </c>
      <c r="N96" s="120">
        <f t="shared" ca="1" si="4"/>
        <v>8397</v>
      </c>
      <c r="O96" s="48">
        <f t="shared" ca="1" si="5"/>
        <v>20.499283297672708</v>
      </c>
      <c r="P96" s="115">
        <f ca="1">C96*Summary!$C$16</f>
        <v>1151552.5</v>
      </c>
      <c r="Q96" s="115">
        <f ca="1">P96*Summary!$C$17</f>
        <v>460621</v>
      </c>
      <c r="R96" s="48">
        <f ca="1">Q96/'Alberta Electricity Profile'!$C$33</f>
        <v>30.907937999060593</v>
      </c>
      <c r="S96" s="254">
        <f ca="1">P96/'Alberta Electricity Profile'!$D$49</f>
        <v>8.8212504691940588</v>
      </c>
      <c r="T96" s="255">
        <f t="shared" si="6"/>
        <v>347.92166666666662</v>
      </c>
      <c r="U96" s="255">
        <f t="shared" ca="1" si="12"/>
        <v>2854.827173944519</v>
      </c>
      <c r="V96" s="256">
        <f t="shared" ca="1" si="13"/>
        <v>6.3749861527019274</v>
      </c>
      <c r="W96" s="256">
        <f t="shared" ca="1" si="14"/>
        <v>12749.972305403855</v>
      </c>
    </row>
    <row r="97" spans="1:23">
      <c r="A97" s="191"/>
      <c r="B97" s="124">
        <f t="shared" si="7"/>
        <v>77</v>
      </c>
      <c r="C97" s="115">
        <f t="shared" ca="1" si="8"/>
        <v>236860.5</v>
      </c>
      <c r="D97" s="48">
        <f t="shared" ca="1" si="0"/>
        <v>3.0008363625958014</v>
      </c>
      <c r="E97" s="120">
        <f t="shared" ca="1" si="9"/>
        <v>15203</v>
      </c>
      <c r="F97" s="116">
        <f t="shared" ca="1" si="1"/>
        <v>15.202999999999999</v>
      </c>
      <c r="G97" s="118">
        <f ca="1">C97/Summary!C$23</f>
        <v>3.3788944365192584</v>
      </c>
      <c r="H97" s="119">
        <f ca="1">H96+('Dev Plan (Wind)'!C96/Summary!C$23)*Summary!C$27</f>
        <v>80392.311127456822</v>
      </c>
      <c r="I97" s="119">
        <f t="shared" si="10"/>
        <v>3828.1833333333352</v>
      </c>
      <c r="J97" s="119">
        <f t="shared" si="11"/>
        <v>22961.785000000036</v>
      </c>
      <c r="K97" s="119">
        <f t="shared" si="2"/>
        <v>26789.968333333371</v>
      </c>
      <c r="L97" s="122">
        <f ca="1">C96*Summary!C$16*Summary!C$17*24*375*1000*C$11</f>
        <v>290191230000</v>
      </c>
      <c r="M97" s="122">
        <f t="shared" ca="1" si="3"/>
        <v>304061230000</v>
      </c>
      <c r="N97" s="120">
        <f t="shared" ca="1" si="4"/>
        <v>8653</v>
      </c>
      <c r="O97" s="48">
        <f t="shared" ca="1" si="5"/>
        <v>21.000120455949109</v>
      </c>
      <c r="P97" s="115">
        <f ca="1">C97*Summary!$C$16</f>
        <v>1184302.5</v>
      </c>
      <c r="Q97" s="115">
        <f ca="1">P97*Summary!$C$17</f>
        <v>473721</v>
      </c>
      <c r="R97" s="48">
        <f ca="1">Q97/'Alberta Electricity Profile'!$C$33</f>
        <v>31.786955646514123</v>
      </c>
      <c r="S97" s="254">
        <f ca="1">P97/'Alberta Electricity Profile'!$D$49</f>
        <v>9.0721256597442981</v>
      </c>
      <c r="T97" s="255">
        <f t="shared" si="6"/>
        <v>347.92166666666662</v>
      </c>
      <c r="U97" s="255">
        <f t="shared" ca="1" si="12"/>
        <v>2936.4524966437166</v>
      </c>
      <c r="V97" s="256">
        <f t="shared" ca="1" si="13"/>
        <v>6.3749861527019318</v>
      </c>
      <c r="W97" s="256">
        <f t="shared" ca="1" si="14"/>
        <v>12749.972305403864</v>
      </c>
    </row>
    <row r="98" spans="1:23">
      <c r="A98" s="191"/>
      <c r="B98" s="124">
        <f t="shared" si="7"/>
        <v>78</v>
      </c>
      <c r="C98" s="115">
        <f t="shared" ca="1" si="8"/>
        <v>243561.5</v>
      </c>
      <c r="D98" s="48">
        <f t="shared" ca="1" si="0"/>
        <v>3.0736463277985431</v>
      </c>
      <c r="E98" s="120">
        <f t="shared" ca="1" si="9"/>
        <v>15615</v>
      </c>
      <c r="F98" s="116">
        <f t="shared" ca="1" si="1"/>
        <v>15.615</v>
      </c>
      <c r="G98" s="118">
        <f ca="1">C98/Summary!C$23</f>
        <v>3.4744864479315263</v>
      </c>
      <c r="H98" s="119">
        <f ca="1">H97+('Dev Plan (Wind)'!C97/Summary!C$23)*Summary!C$27</f>
        <v>83412.27594270093</v>
      </c>
      <c r="I98" s="119">
        <f t="shared" si="10"/>
        <v>3877.9000000000019</v>
      </c>
      <c r="J98" s="119">
        <f t="shared" si="11"/>
        <v>23259.990000000038</v>
      </c>
      <c r="K98" s="119">
        <f t="shared" si="2"/>
        <v>27137.890000000039</v>
      </c>
      <c r="L98" s="122">
        <f ca="1">C97*Summary!C$16*Summary!C$17*24*375*1000*C$11</f>
        <v>298444230000</v>
      </c>
      <c r="M98" s="122">
        <f t="shared" ca="1" si="3"/>
        <v>312314230000</v>
      </c>
      <c r="N98" s="120">
        <f t="shared" ca="1" si="4"/>
        <v>8914</v>
      </c>
      <c r="O98" s="48">
        <f t="shared" ca="1" si="5"/>
        <v>21.509651085046258</v>
      </c>
      <c r="P98" s="115">
        <f ca="1">C98*Summary!$C$16</f>
        <v>1217807.5</v>
      </c>
      <c r="Q98" s="115">
        <f ca="1">P98*Summary!$C$17</f>
        <v>487123</v>
      </c>
      <c r="R98" s="48">
        <f ca="1">Q98/'Alberta Electricity Profile'!$C$33</f>
        <v>32.68623767026773</v>
      </c>
      <c r="S98" s="254">
        <f ca="1">P98/'Alberta Electricity Profile'!$D$49</f>
        <v>9.3287843852217271</v>
      </c>
      <c r="T98" s="255">
        <f t="shared" si="6"/>
        <v>347.92166666666662</v>
      </c>
      <c r="U98" s="255">
        <f t="shared" ca="1" si="12"/>
        <v>3019.9648152441077</v>
      </c>
      <c r="V98" s="256">
        <f t="shared" ca="1" si="13"/>
        <v>6.3749861527019229</v>
      </c>
      <c r="W98" s="256">
        <f t="shared" ca="1" si="14"/>
        <v>12749.972305403846</v>
      </c>
    </row>
    <row r="99" spans="1:23">
      <c r="A99" s="191"/>
      <c r="B99" s="124">
        <f t="shared" si="7"/>
        <v>79</v>
      </c>
      <c r="C99" s="115">
        <f t="shared" ca="1" si="8"/>
        <v>250417.5</v>
      </c>
      <c r="D99" s="48">
        <f t="shared" ca="1" si="0"/>
        <v>3.147721427025838</v>
      </c>
      <c r="E99" s="120">
        <f t="shared" ca="1" si="9"/>
        <v>16037</v>
      </c>
      <c r="F99" s="116">
        <f t="shared" ca="1" si="1"/>
        <v>16.036999999999999</v>
      </c>
      <c r="G99" s="118">
        <f ca="1">C99/Summary!C$23</f>
        <v>3.5722895863052782</v>
      </c>
      <c r="H99" s="119">
        <f ca="1">H98+('Dev Plan (Wind)'!C98/Summary!C$23)*Summary!C$27</f>
        <v>86517.678322363558</v>
      </c>
      <c r="I99" s="119">
        <f t="shared" si="10"/>
        <v>3927.6166666666686</v>
      </c>
      <c r="J99" s="119">
        <f t="shared" si="11"/>
        <v>23558.19500000004</v>
      </c>
      <c r="K99" s="119">
        <f t="shared" si="2"/>
        <v>27485.811666666708</v>
      </c>
      <c r="L99" s="122">
        <f ca="1">C98*Summary!C$16*Summary!C$17*24*375*1000*C$11</f>
        <v>306887490000</v>
      </c>
      <c r="M99" s="122">
        <f t="shared" ca="1" si="3"/>
        <v>320757490000</v>
      </c>
      <c r="N99" s="120">
        <f t="shared" ca="1" si="4"/>
        <v>9181</v>
      </c>
      <c r="O99" s="48">
        <f t="shared" ca="1" si="5"/>
        <v>22.028035234861729</v>
      </c>
      <c r="P99" s="115">
        <f ca="1">C99*Summary!$C$16</f>
        <v>1252087.5</v>
      </c>
      <c r="Q99" s="115">
        <f ca="1">P99*Summary!$C$17</f>
        <v>500835</v>
      </c>
      <c r="R99" s="48">
        <f ca="1">Q99/'Alberta Electricity Profile'!$C$33</f>
        <v>33.60632087499161</v>
      </c>
      <c r="S99" s="254">
        <f ca="1">P99/'Alberta Electricity Profile'!$D$49</f>
        <v>9.5913798518495827</v>
      </c>
      <c r="T99" s="255">
        <f t="shared" si="6"/>
        <v>347.92166666666662</v>
      </c>
      <c r="U99" s="255">
        <f t="shared" ca="1" si="12"/>
        <v>3105.4023796626279</v>
      </c>
      <c r="V99" s="256">
        <f t="shared" ca="1" si="13"/>
        <v>6.3749861527019416</v>
      </c>
      <c r="W99" s="256">
        <f t="shared" ca="1" si="14"/>
        <v>12749.972305403882</v>
      </c>
    </row>
    <row r="100" spans="1:23">
      <c r="A100" s="191"/>
      <c r="B100" s="124">
        <f t="shared" si="7"/>
        <v>80</v>
      </c>
      <c r="C100" s="115">
        <f t="shared" ca="1" si="8"/>
        <v>257431.5</v>
      </c>
      <c r="D100" s="48">
        <f t="shared" ca="1" si="0"/>
        <v>3.2230852195711637</v>
      </c>
      <c r="E100" s="120">
        <f t="shared" ca="1" si="9"/>
        <v>16469</v>
      </c>
      <c r="F100" s="116">
        <f t="shared" ca="1" si="1"/>
        <v>16.469000000000001</v>
      </c>
      <c r="G100" s="118">
        <f ca="1">C100/Summary!C$23</f>
        <v>3.6723466476462199</v>
      </c>
      <c r="H100" s="119">
        <f ca="1">H99+('Dev Plan (Wind)'!C99/Summary!C$23)*Summary!C$27</f>
        <v>89710.494512152029</v>
      </c>
      <c r="I100" s="119">
        <f t="shared" si="10"/>
        <v>3977.3333333333353</v>
      </c>
      <c r="J100" s="119">
        <f t="shared" si="11"/>
        <v>23856.400000000041</v>
      </c>
      <c r="K100" s="119">
        <f t="shared" si="2"/>
        <v>27833.733333333377</v>
      </c>
      <c r="L100" s="122">
        <f ca="1">C99*Summary!C$16*Summary!C$17*24*375*1000*C$11</f>
        <v>315526050000</v>
      </c>
      <c r="M100" s="122">
        <f t="shared" ca="1" si="3"/>
        <v>329396050000</v>
      </c>
      <c r="N100" s="120">
        <f t="shared" ca="1" si="4"/>
        <v>9455</v>
      </c>
      <c r="O100" s="48">
        <f t="shared" ca="1" si="5"/>
        <v>22.555437775432111</v>
      </c>
      <c r="P100" s="115">
        <f ca="1">C100*Summary!$C$16</f>
        <v>1287157.5</v>
      </c>
      <c r="Q100" s="115">
        <f ca="1">P100*Summary!$C$17</f>
        <v>514863</v>
      </c>
      <c r="R100" s="48">
        <f ca="1">Q100/'Alberta Electricity Profile'!$C$33</f>
        <v>34.547607864188421</v>
      </c>
      <c r="S100" s="254">
        <f ca="1">P100/'Alberta Electricity Profile'!$D$49</f>
        <v>9.8600269642952902</v>
      </c>
      <c r="T100" s="255">
        <f t="shared" si="6"/>
        <v>347.92166666666662</v>
      </c>
      <c r="U100" s="255">
        <f t="shared" ca="1" si="12"/>
        <v>3192.8161897884711</v>
      </c>
      <c r="V100" s="256">
        <f t="shared" ca="1" si="13"/>
        <v>6.37498615270193</v>
      </c>
      <c r="W100" s="256">
        <f t="shared" ca="1" si="14"/>
        <v>12749.97230540386</v>
      </c>
    </row>
    <row r="101" spans="1:23">
      <c r="A101" s="191"/>
      <c r="B101" s="124">
        <f t="shared" si="7"/>
        <v>81</v>
      </c>
      <c r="C101" s="115">
        <f t="shared" ca="1" si="8"/>
        <v>264608.5</v>
      </c>
      <c r="D101" s="48">
        <f t="shared" ca="1" si="0"/>
        <v>3.2997614585690744</v>
      </c>
      <c r="E101" s="120">
        <f t="shared" ca="1" si="9"/>
        <v>16911</v>
      </c>
      <c r="F101" s="116">
        <f t="shared" ca="1" si="1"/>
        <v>16.911000000000001</v>
      </c>
      <c r="G101" s="118">
        <f ca="1">C101/Summary!C$23</f>
        <v>3.7747289586305279</v>
      </c>
      <c r="H101" s="119">
        <f ca="1">H100+('Dev Plan (Wind)'!C100/Summary!C$23)*Summary!C$27</f>
        <v>92992.739007690601</v>
      </c>
      <c r="I101" s="119">
        <f t="shared" si="10"/>
        <v>4027.050000000002</v>
      </c>
      <c r="J101" s="119">
        <f t="shared" si="11"/>
        <v>24154.605000000043</v>
      </c>
      <c r="K101" s="119">
        <f t="shared" si="2"/>
        <v>28181.655000000046</v>
      </c>
      <c r="L101" s="122">
        <f ca="1">C100*Summary!C$16*Summary!C$17*24*375*1000*C$11</f>
        <v>324363690000.00006</v>
      </c>
      <c r="M101" s="122">
        <f t="shared" ca="1" si="3"/>
        <v>338233690000.00006</v>
      </c>
      <c r="N101" s="120">
        <f t="shared" ca="1" si="4"/>
        <v>9734</v>
      </c>
      <c r="O101" s="48">
        <f t="shared" ca="1" si="5"/>
        <v>23.092024933311123</v>
      </c>
      <c r="P101" s="115">
        <f ca="1">C101*Summary!$C$16</f>
        <v>1323042.5</v>
      </c>
      <c r="Q101" s="115">
        <f ca="1">P101*Summary!$C$17</f>
        <v>529217</v>
      </c>
      <c r="R101" s="48">
        <f ca="1">Q101/'Alberta Electricity Profile'!$C$33</f>
        <v>35.510769643695902</v>
      </c>
      <c r="S101" s="254">
        <f ca="1">P101/'Alberta Electricity Profile'!$D$49</f>
        <v>10.134917230337896</v>
      </c>
      <c r="T101" s="255">
        <f t="shared" si="6"/>
        <v>347.92166666666662</v>
      </c>
      <c r="U101" s="255">
        <f t="shared" ca="1" si="12"/>
        <v>3282.2444955385727</v>
      </c>
      <c r="V101" s="256">
        <f t="shared" ca="1" si="13"/>
        <v>6.3749861527019274</v>
      </c>
      <c r="W101" s="256">
        <f t="shared" ca="1" si="14"/>
        <v>12749.972305403855</v>
      </c>
    </row>
    <row r="102" spans="1:23">
      <c r="A102" s="191"/>
      <c r="B102" s="124">
        <f t="shared" si="7"/>
        <v>82</v>
      </c>
      <c r="C102" s="115">
        <f t="shared" ca="1" si="8"/>
        <v>271951.5</v>
      </c>
      <c r="D102" s="48">
        <f t="shared" ca="1" si="0"/>
        <v>3.3777749729829463</v>
      </c>
      <c r="E102" s="120">
        <f t="shared" ca="1" si="9"/>
        <v>17363</v>
      </c>
      <c r="F102" s="116">
        <f t="shared" ca="1" si="1"/>
        <v>17.363</v>
      </c>
      <c r="G102" s="118">
        <f ca="1">C102/Summary!C$23</f>
        <v>3.8794793152639087</v>
      </c>
      <c r="H102" s="119">
        <f ca="1">H101+('Dev Plan (Wind)'!C101/Summary!C$23)*Summary!C$27</f>
        <v>96366.490054465059</v>
      </c>
      <c r="I102" s="119">
        <f t="shared" si="10"/>
        <v>4076.7666666666687</v>
      </c>
      <c r="J102" s="119">
        <f t="shared" si="11"/>
        <v>24452.810000000045</v>
      </c>
      <c r="K102" s="119">
        <f t="shared" si="2"/>
        <v>28529.576666666715</v>
      </c>
      <c r="L102" s="122">
        <f ca="1">C101*Summary!C$16*Summary!C$17*24*375*1000*C$11</f>
        <v>333406710000.00006</v>
      </c>
      <c r="M102" s="122">
        <f t="shared" ca="1" si="3"/>
        <v>347276710000.00006</v>
      </c>
      <c r="N102" s="120">
        <f t="shared" ca="1" si="4"/>
        <v>10020</v>
      </c>
      <c r="O102" s="48">
        <f t="shared" ca="1" si="5"/>
        <v>23.637970463798521</v>
      </c>
      <c r="P102" s="115">
        <f ca="1">C102*Summary!$C$16</f>
        <v>1359757.5</v>
      </c>
      <c r="Q102" s="115">
        <f ca="1">P102*Summary!$C$17</f>
        <v>543903</v>
      </c>
      <c r="R102" s="48">
        <f ca="1">Q102/'Alberta Electricity Profile'!$C$33</f>
        <v>36.496208817016708</v>
      </c>
      <c r="S102" s="254">
        <f ca="1">P102/'Alberta Electricity Profile'!$D$49</f>
        <v>10.416165554644829</v>
      </c>
      <c r="T102" s="255">
        <f t="shared" si="6"/>
        <v>347.92166666666662</v>
      </c>
      <c r="U102" s="255">
        <f t="shared" ca="1" si="12"/>
        <v>3373.7510467744578</v>
      </c>
      <c r="V102" s="256">
        <f t="shared" ca="1" si="13"/>
        <v>6.3749861527019309</v>
      </c>
      <c r="W102" s="256">
        <f t="shared" ca="1" si="14"/>
        <v>12749.972305403862</v>
      </c>
    </row>
    <row r="103" spans="1:23">
      <c r="A103" s="191"/>
      <c r="B103" s="124">
        <f t="shared" si="7"/>
        <v>83</v>
      </c>
      <c r="C103" s="115">
        <f t="shared" ca="1" si="8"/>
        <v>279464.5</v>
      </c>
      <c r="D103" s="48">
        <f t="shared" ca="1" si="0"/>
        <v>3.4571507197574514</v>
      </c>
      <c r="E103" s="120">
        <f t="shared" ca="1" si="9"/>
        <v>17826</v>
      </c>
      <c r="F103" s="116">
        <f t="shared" ca="1" si="1"/>
        <v>17.826000000000001</v>
      </c>
      <c r="G103" s="118">
        <f ca="1">C103/Summary!C$23</f>
        <v>3.9866547788873037</v>
      </c>
      <c r="H103" s="119">
        <f ca="1">H102+('Dev Plan (Wind)'!C102/Summary!C$23)*Summary!C$27</f>
        <v>99833.864147878092</v>
      </c>
      <c r="I103" s="119">
        <f t="shared" si="10"/>
        <v>4126.4833333333354</v>
      </c>
      <c r="J103" s="119">
        <f t="shared" si="11"/>
        <v>24751.015000000047</v>
      </c>
      <c r="K103" s="119">
        <f t="shared" si="2"/>
        <v>28877.49833333338</v>
      </c>
      <c r="L103" s="122">
        <f ca="1">C102*Summary!C$16*Summary!C$17*24*375*1000*C$11</f>
        <v>342658890000.00006</v>
      </c>
      <c r="M103" s="122">
        <f t="shared" ca="1" si="3"/>
        <v>356528890000.00006</v>
      </c>
      <c r="N103" s="120">
        <f t="shared" ca="1" si="4"/>
        <v>10313</v>
      </c>
      <c r="O103" s="48">
        <f t="shared" ca="1" si="5"/>
        <v>24.193449017818573</v>
      </c>
      <c r="P103" s="115">
        <f ca="1">C103*Summary!$C$16</f>
        <v>1397322.5</v>
      </c>
      <c r="Q103" s="115">
        <f ca="1">P103*Summary!$C$17</f>
        <v>558929</v>
      </c>
      <c r="R103" s="48">
        <f ca="1">Q103/'Alberta Electricity Profile'!$C$33</f>
        <v>37.504462188821044</v>
      </c>
      <c r="S103" s="254">
        <f ca="1">P103/'Alberta Electricity Profile'!$D$49</f>
        <v>10.703925143439326</v>
      </c>
      <c r="T103" s="255">
        <f t="shared" si="6"/>
        <v>347.92166666666662</v>
      </c>
      <c r="U103" s="255">
        <f t="shared" ca="1" si="12"/>
        <v>3467.3740934130328</v>
      </c>
      <c r="V103" s="256">
        <f t="shared" ca="1" si="13"/>
        <v>6.3749861527019203</v>
      </c>
      <c r="W103" s="256">
        <f t="shared" ca="1" si="14"/>
        <v>12749.97230540384</v>
      </c>
    </row>
    <row r="104" spans="1:23">
      <c r="A104" s="191"/>
      <c r="B104" s="164">
        <f t="shared" si="7"/>
        <v>84</v>
      </c>
      <c r="C104" s="115">
        <f t="shared" ca="1" si="8"/>
        <v>287150.5</v>
      </c>
      <c r="D104" s="48">
        <f t="shared" ca="1" si="0"/>
        <v>3.5379142124637202</v>
      </c>
      <c r="E104" s="120">
        <f t="shared" ca="1" si="9"/>
        <v>18299</v>
      </c>
      <c r="F104" s="116">
        <f t="shared" ca="1" si="1"/>
        <v>18.298999999999999</v>
      </c>
      <c r="G104" s="118">
        <f ca="1">C104/Summary!C$23</f>
        <v>4.0962981455064194</v>
      </c>
      <c r="H104" s="119">
        <f ca="1">H103+('Dev Plan (Wind)'!C103/Summary!C$23)*Summary!C$27</f>
        <v>103397.02878322163</v>
      </c>
      <c r="I104" s="119">
        <f t="shared" si="10"/>
        <v>4176.2000000000016</v>
      </c>
      <c r="J104" s="119">
        <f t="shared" si="11"/>
        <v>25049.220000000048</v>
      </c>
      <c r="K104" s="119">
        <f t="shared" si="2"/>
        <v>29225.420000000049</v>
      </c>
      <c r="L104" s="122">
        <f ca="1">C103*Summary!C$16*Summary!C$17*24*375*1000*C$11</f>
        <v>352125270000.00006</v>
      </c>
      <c r="M104" s="122">
        <f t="shared" ca="1" si="3"/>
        <v>365995270000.00006</v>
      </c>
      <c r="N104" s="120">
        <f t="shared" ca="1" si="4"/>
        <v>10613</v>
      </c>
      <c r="O104" s="48">
        <f t="shared" ca="1" si="5"/>
        <v>24.758639141617159</v>
      </c>
      <c r="P104" s="115">
        <f ca="1">C104*Summary!$C$16</f>
        <v>1435752.5</v>
      </c>
      <c r="Q104" s="115">
        <f ca="1">P104*Summary!$C$17</f>
        <v>574301</v>
      </c>
      <c r="R104" s="48">
        <f ca="1">Q104/'Alberta Electricity Profile'!$C$33</f>
        <v>38.535932362611554</v>
      </c>
      <c r="S104" s="254">
        <f ca="1">P104/'Alberta Electricity Profile'!$D$49</f>
        <v>10.998310901388814</v>
      </c>
      <c r="T104" s="255">
        <f t="shared" si="6"/>
        <v>347.92166666666662</v>
      </c>
      <c r="U104" s="255">
        <f t="shared" ca="1" si="12"/>
        <v>3563.1646353435353</v>
      </c>
      <c r="V104" s="256">
        <f t="shared" ca="1" si="13"/>
        <v>6.3749861527019265</v>
      </c>
      <c r="W104" s="256">
        <f t="shared" ca="1" si="14"/>
        <v>12749.972305403853</v>
      </c>
    </row>
    <row r="105" spans="1:23">
      <c r="A105" s="191"/>
      <c r="B105" s="124">
        <f t="shared" si="7"/>
        <v>85</v>
      </c>
      <c r="C105" s="115">
        <f t="shared" ca="1" si="8"/>
        <v>295014.5</v>
      </c>
      <c r="D105" s="48">
        <f t="shared" ca="1" si="0"/>
        <v>3.6200910574260199</v>
      </c>
      <c r="E105" s="120">
        <f t="shared" ca="1" si="9"/>
        <v>18783</v>
      </c>
      <c r="F105" s="116">
        <f t="shared" ca="1" si="1"/>
        <v>18.783000000000001</v>
      </c>
      <c r="G105" s="118">
        <f ca="1">C105/Summary!C$23</f>
        <v>4.2084807417974321</v>
      </c>
      <c r="H105" s="119">
        <f ca="1">H104+('Dev Plan (Wind)'!C104/Summary!C$23)*Summary!C$27</f>
        <v>107058.1897057045</v>
      </c>
      <c r="I105" s="119">
        <f t="shared" si="10"/>
        <v>4225.9166666666679</v>
      </c>
      <c r="J105" s="119">
        <f t="shared" si="11"/>
        <v>25347.42500000005</v>
      </c>
      <c r="K105" s="119">
        <f t="shared" si="2"/>
        <v>29573.341666666718</v>
      </c>
      <c r="L105" s="122">
        <f ca="1">C104*Summary!C$16*Summary!C$17*24*375*1000*C$11</f>
        <v>361809630000.00006</v>
      </c>
      <c r="M105" s="122">
        <f t="shared" ca="1" si="3"/>
        <v>375679630000.00006</v>
      </c>
      <c r="N105" s="120">
        <f t="shared" ca="1" si="4"/>
        <v>10919</v>
      </c>
      <c r="O105" s="48">
        <f t="shared" ca="1" si="5"/>
        <v>25.333720030534867</v>
      </c>
      <c r="P105" s="115">
        <f ca="1">C105*Summary!$C$16</f>
        <v>1475072.5</v>
      </c>
      <c r="Q105" s="115">
        <f ca="1">P105*Summary!$C$17</f>
        <v>590029</v>
      </c>
      <c r="R105" s="48">
        <f ca="1">Q105/'Alberta Electricity Profile'!$C$33</f>
        <v>39.591290344225996</v>
      </c>
      <c r="S105" s="254">
        <f ca="1">P105/'Alberta Electricity Profile'!$D$49</f>
        <v>11.29951433627234</v>
      </c>
      <c r="T105" s="255">
        <f t="shared" si="6"/>
        <v>347.92166666666662</v>
      </c>
      <c r="U105" s="255">
        <f t="shared" ca="1" si="12"/>
        <v>3661.1609224828717</v>
      </c>
      <c r="V105" s="256">
        <f t="shared" ca="1" si="13"/>
        <v>6.3749861527019309</v>
      </c>
      <c r="W105" s="256">
        <f t="shared" ca="1" si="14"/>
        <v>12749.972305403862</v>
      </c>
    </row>
    <row r="106" spans="1:23">
      <c r="A106" s="191"/>
      <c r="B106" s="124">
        <f t="shared" si="7"/>
        <v>86</v>
      </c>
      <c r="C106" s="115">
        <f t="shared" ca="1" si="8"/>
        <v>303060.5</v>
      </c>
      <c r="D106" s="48">
        <f t="shared" ca="1" si="0"/>
        <v>3.7037078005640205</v>
      </c>
      <c r="E106" s="120">
        <f t="shared" ca="1" si="9"/>
        <v>19279</v>
      </c>
      <c r="F106" s="116">
        <f t="shared" ca="1" si="1"/>
        <v>19.279</v>
      </c>
      <c r="G106" s="118">
        <f ca="1">C106/Summary!C$23</f>
        <v>4.3232596291012841</v>
      </c>
      <c r="H106" s="119">
        <f ca="1">H105+('Dev Plan (Wind)'!C105/Summary!C$23)*Summary!C$27</f>
        <v>110819.61641039707</v>
      </c>
      <c r="I106" s="119">
        <f t="shared" si="10"/>
        <v>4275.6333333333341</v>
      </c>
      <c r="J106" s="119">
        <f t="shared" si="11"/>
        <v>25645.630000000052</v>
      </c>
      <c r="K106" s="119">
        <f t="shared" si="2"/>
        <v>29921.263333333387</v>
      </c>
      <c r="L106" s="122">
        <f ca="1">C105*Summary!C$16*Summary!C$17*24*375*1000*C$11</f>
        <v>371718270000.00006</v>
      </c>
      <c r="M106" s="122">
        <f t="shared" ca="1" si="3"/>
        <v>385588270000.00006</v>
      </c>
      <c r="N106" s="120">
        <f t="shared" ca="1" si="4"/>
        <v>11233</v>
      </c>
      <c r="O106" s="48">
        <f t="shared" ca="1" si="5"/>
        <v>25.918877455284687</v>
      </c>
      <c r="P106" s="115">
        <f ca="1">C106*Summary!$C$16</f>
        <v>1515302.5</v>
      </c>
      <c r="Q106" s="115">
        <f ca="1">P106*Summary!$C$17</f>
        <v>606121</v>
      </c>
      <c r="R106" s="48">
        <f ca="1">Q106/'Alberta Electricity Profile'!$C$33</f>
        <v>40.671072938334561</v>
      </c>
      <c r="S106" s="254">
        <f ca="1">P106/'Alberta Electricity Profile'!$D$49</f>
        <v>11.607688654313138</v>
      </c>
      <c r="T106" s="255">
        <f t="shared" si="6"/>
        <v>347.92166666666662</v>
      </c>
      <c r="U106" s="255">
        <f t="shared" ca="1" si="12"/>
        <v>3761.426704692567</v>
      </c>
      <c r="V106" s="256">
        <f t="shared" ca="1" si="13"/>
        <v>6.37498615270193</v>
      </c>
      <c r="W106" s="256">
        <f t="shared" ca="1" si="14"/>
        <v>12749.97230540386</v>
      </c>
    </row>
    <row r="107" spans="1:23">
      <c r="A107" s="191"/>
      <c r="B107" s="124">
        <f t="shared" si="7"/>
        <v>87</v>
      </c>
      <c r="C107" s="115">
        <f t="shared" ca="1" si="8"/>
        <v>311292.5</v>
      </c>
      <c r="D107" s="48">
        <f t="shared" ca="1" si="0"/>
        <v>3.7887914521735122</v>
      </c>
      <c r="E107" s="120">
        <f t="shared" ca="1" si="9"/>
        <v>19786</v>
      </c>
      <c r="F107" s="116">
        <f t="shared" ca="1" si="1"/>
        <v>19.786000000000001</v>
      </c>
      <c r="G107" s="118">
        <f ca="1">C107/Summary!C$23</f>
        <v>4.4406918687589156</v>
      </c>
      <c r="H107" s="119">
        <f ca="1">H106+('Dev Plan (Wind)'!C106/Summary!C$23)*Summary!C$27</f>
        <v>114683.62939225891</v>
      </c>
      <c r="I107" s="119">
        <f t="shared" si="10"/>
        <v>4325.3500000000004</v>
      </c>
      <c r="J107" s="119">
        <f t="shared" si="11"/>
        <v>25943.835000000054</v>
      </c>
      <c r="K107" s="119">
        <f t="shared" si="2"/>
        <v>30269.185000000056</v>
      </c>
      <c r="L107" s="122">
        <f ca="1">C106*Summary!C$16*Summary!C$17*24*375*1000*C$11</f>
        <v>381856230000.00006</v>
      </c>
      <c r="M107" s="122">
        <f t="shared" ca="1" si="3"/>
        <v>395726230000.00006</v>
      </c>
      <c r="N107" s="120">
        <f t="shared" ca="1" si="4"/>
        <v>11554</v>
      </c>
      <c r="O107" s="48">
        <f t="shared" ca="1" si="5"/>
        <v>26.514300436325129</v>
      </c>
      <c r="P107" s="115">
        <f ca="1">C107*Summary!$C$16</f>
        <v>1556462.5</v>
      </c>
      <c r="Q107" s="115">
        <f ca="1">P107*Summary!$C$17</f>
        <v>622585</v>
      </c>
      <c r="R107" s="48">
        <f ca="1">Q107/'Alberta Electricity Profile'!$C$33</f>
        <v>41.77581694960746</v>
      </c>
      <c r="S107" s="254">
        <f ca="1">P107/'Alberta Electricity Profile'!$D$49</f>
        <v>11.922987061734448</v>
      </c>
      <c r="T107" s="255">
        <f t="shared" si="6"/>
        <v>347.92166666666662</v>
      </c>
      <c r="U107" s="255">
        <f t="shared" ca="1" si="12"/>
        <v>3864.0129818618443</v>
      </c>
      <c r="V107" s="256">
        <f t="shared" ca="1" si="13"/>
        <v>6.3749861527019265</v>
      </c>
      <c r="W107" s="256">
        <f t="shared" ca="1" si="14"/>
        <v>12749.972305403853</v>
      </c>
    </row>
    <row r="108" spans="1:23">
      <c r="A108" s="191"/>
      <c r="B108" s="124">
        <f t="shared" si="7"/>
        <v>88</v>
      </c>
      <c r="C108" s="115">
        <f t="shared" ca="1" si="8"/>
        <v>319713.5</v>
      </c>
      <c r="D108" s="48">
        <f t="shared" ca="1" si="0"/>
        <v>3.8753694605414042</v>
      </c>
      <c r="E108" s="120">
        <f t="shared" ca="1" si="9"/>
        <v>20304</v>
      </c>
      <c r="F108" s="116">
        <f t="shared" ca="1" si="1"/>
        <v>20.303999999999998</v>
      </c>
      <c r="G108" s="118">
        <f ca="1">C108/Summary!C$23</f>
        <v>4.5608202567760339</v>
      </c>
      <c r="H108" s="119">
        <f ca="1">H107+('Dev Plan (Wind)'!C107/Summary!C$23)*Summary!C$27</f>
        <v>118652.60014613884</v>
      </c>
      <c r="I108" s="119">
        <f t="shared" si="10"/>
        <v>4375.0666666666666</v>
      </c>
      <c r="J108" s="119">
        <f t="shared" si="11"/>
        <v>26242.040000000055</v>
      </c>
      <c r="K108" s="119">
        <f t="shared" si="2"/>
        <v>30617.106666666721</v>
      </c>
      <c r="L108" s="122">
        <f ca="1">C107*Summary!C$16*Summary!C$17*24*375*1000*C$11</f>
        <v>392228550000.00006</v>
      </c>
      <c r="M108" s="122">
        <f t="shared" ca="1" si="3"/>
        <v>406098550000.00006</v>
      </c>
      <c r="N108" s="120">
        <f t="shared" ca="1" si="4"/>
        <v>11883</v>
      </c>
      <c r="O108" s="48">
        <f t="shared" ca="1" si="5"/>
        <v>27.120181059215593</v>
      </c>
      <c r="P108" s="115">
        <f ca="1">C108*Summary!$C$16</f>
        <v>1598567.5</v>
      </c>
      <c r="Q108" s="115">
        <f ca="1">P108*Summary!$C$17</f>
        <v>639427</v>
      </c>
      <c r="R108" s="48">
        <f ca="1">Q108/'Alberta Electricity Profile'!$C$33</f>
        <v>42.905924981547336</v>
      </c>
      <c r="S108" s="254">
        <f ca="1">P108/'Alberta Electricity Profile'!$D$49</f>
        <v>12.245524463203695</v>
      </c>
      <c r="T108" s="255">
        <f t="shared" si="6"/>
        <v>347.92166666666662</v>
      </c>
      <c r="U108" s="255">
        <f t="shared" ca="1" si="12"/>
        <v>3968.9707538799266</v>
      </c>
      <c r="V108" s="256">
        <f t="shared" ca="1" si="13"/>
        <v>6.3749861527019229</v>
      </c>
      <c r="W108" s="256">
        <f t="shared" ca="1" si="14"/>
        <v>12749.972305403846</v>
      </c>
    </row>
    <row r="109" spans="1:23">
      <c r="A109" s="191"/>
      <c r="B109" s="124">
        <f t="shared" si="7"/>
        <v>89</v>
      </c>
      <c r="C109" s="115">
        <f t="shared" ca="1" si="8"/>
        <v>328329.5</v>
      </c>
      <c r="D109" s="48">
        <f t="shared" ca="1" si="0"/>
        <v>3.9634692755855387</v>
      </c>
      <c r="E109" s="120">
        <f t="shared" ca="1" si="9"/>
        <v>20835</v>
      </c>
      <c r="F109" s="116">
        <f t="shared" ca="1" si="1"/>
        <v>20.835000000000001</v>
      </c>
      <c r="G109" s="118">
        <f ca="1">C109/Summary!C$23</f>
        <v>4.6837303851640515</v>
      </c>
      <c r="H109" s="119">
        <f ca="1">H108+('Dev Plan (Wind)'!C108/Summary!C$23)*Summary!C$27</f>
        <v>122728.93841680257</v>
      </c>
      <c r="I109" s="119">
        <f t="shared" si="10"/>
        <v>4424.7833333333328</v>
      </c>
      <c r="J109" s="119">
        <f t="shared" si="11"/>
        <v>26540.245000000057</v>
      </c>
      <c r="K109" s="119">
        <f t="shared" si="2"/>
        <v>30965.02833333339</v>
      </c>
      <c r="L109" s="122">
        <f ca="1">C108*Summary!C$16*Summary!C$17*24*375*1000*C$11</f>
        <v>402839010000.00006</v>
      </c>
      <c r="M109" s="122">
        <f t="shared" ca="1" si="3"/>
        <v>416709010000.00006</v>
      </c>
      <c r="N109" s="120">
        <f t="shared" ca="1" si="4"/>
        <v>12219</v>
      </c>
      <c r="O109" s="48">
        <f t="shared" ca="1" si="5"/>
        <v>27.736711420928916</v>
      </c>
      <c r="P109" s="115">
        <f ca="1">C109*Summary!$C$16</f>
        <v>1641647.5</v>
      </c>
      <c r="Q109" s="115">
        <f ca="1">P109*Summary!$C$17</f>
        <v>656659</v>
      </c>
      <c r="R109" s="48">
        <f ca="1">Q109/'Alberta Electricity Profile'!$C$33</f>
        <v>44.062202241159497</v>
      </c>
      <c r="S109" s="254">
        <f ca="1">P109/'Alberta Electricity Profile'!$D$49</f>
        <v>12.575530668055736</v>
      </c>
      <c r="T109" s="255">
        <f t="shared" si="6"/>
        <v>347.92166666666662</v>
      </c>
      <c r="U109" s="255">
        <f t="shared" ca="1" si="12"/>
        <v>4076.3382706637349</v>
      </c>
      <c r="V109" s="256">
        <f t="shared" ca="1" si="13"/>
        <v>6.3749861527019265</v>
      </c>
      <c r="W109" s="256">
        <f t="shared" ca="1" si="14"/>
        <v>12749.972305403853</v>
      </c>
    </row>
    <row r="110" spans="1:23">
      <c r="A110" s="191"/>
      <c r="B110" s="124">
        <f t="shared" si="7"/>
        <v>90</v>
      </c>
      <c r="C110" s="115">
        <f t="shared" ca="1" si="8"/>
        <v>337144.5</v>
      </c>
      <c r="D110" s="48">
        <f t="shared" ca="1" si="0"/>
        <v>4.0531195703007681</v>
      </c>
      <c r="E110" s="120">
        <f t="shared" ca="1" si="9"/>
        <v>21378</v>
      </c>
      <c r="F110" s="116">
        <f t="shared" ca="1" si="1"/>
        <v>21.378</v>
      </c>
      <c r="G110" s="118">
        <f ca="1">C110/Summary!C$23</f>
        <v>4.8094793152639088</v>
      </c>
      <c r="H110" s="119">
        <f ca="1">H109+('Dev Plan (Wind)'!C109/Summary!C$23)*Summary!C$27</f>
        <v>126915.13044884967</v>
      </c>
      <c r="I110" s="119">
        <f t="shared" si="10"/>
        <v>4474.4999999999991</v>
      </c>
      <c r="J110" s="119">
        <f t="shared" si="11"/>
        <v>26838.450000000059</v>
      </c>
      <c r="K110" s="119">
        <f t="shared" si="2"/>
        <v>31312.950000000059</v>
      </c>
      <c r="L110" s="122">
        <f ca="1">C109*Summary!C$16*Summary!C$17*24*375*1000*C$11</f>
        <v>413695170000.00006</v>
      </c>
      <c r="M110" s="122">
        <f t="shared" ca="1" si="3"/>
        <v>427565170000.00006</v>
      </c>
      <c r="N110" s="120">
        <f t="shared" ca="1" si="4"/>
        <v>12563</v>
      </c>
      <c r="O110" s="48">
        <f t="shared" ca="1" si="5"/>
        <v>28.36409217763989</v>
      </c>
      <c r="P110" s="115">
        <f ca="1">C110*Summary!$C$16</f>
        <v>1685722.5</v>
      </c>
      <c r="Q110" s="115">
        <f ca="1">P110*Summary!$C$17</f>
        <v>674289</v>
      </c>
      <c r="R110" s="48">
        <f ca="1">Q110/'Alberta Electricity Profile'!$C$33</f>
        <v>45.245185533114139</v>
      </c>
      <c r="S110" s="254">
        <f ca="1">P110/'Alberta Electricity Profile'!$D$49</f>
        <v>12.913158882513807</v>
      </c>
      <c r="T110" s="255">
        <f t="shared" si="6"/>
        <v>347.92166666666662</v>
      </c>
      <c r="U110" s="255">
        <f t="shared" ca="1" si="12"/>
        <v>4186.1920320470963</v>
      </c>
      <c r="V110" s="256">
        <f t="shared" ca="1" si="13"/>
        <v>6.3749861527019291</v>
      </c>
      <c r="W110" s="256">
        <f t="shared" ca="1" si="14"/>
        <v>12749.972305403859</v>
      </c>
    </row>
    <row r="111" spans="1:23">
      <c r="A111" s="191"/>
      <c r="B111" s="124">
        <f t="shared" si="7"/>
        <v>91</v>
      </c>
      <c r="C111" s="115">
        <f t="shared" ca="1" si="8"/>
        <v>346162.5</v>
      </c>
      <c r="D111" s="48">
        <f t="shared" ca="1" si="0"/>
        <v>4.1443493681481183</v>
      </c>
      <c r="E111" s="120">
        <f t="shared" ca="1" si="9"/>
        <v>21933</v>
      </c>
      <c r="F111" s="116">
        <f t="shared" ca="1" si="1"/>
        <v>21.933</v>
      </c>
      <c r="G111" s="118">
        <f ca="1">C111/Summary!C$23</f>
        <v>4.9381241084165479</v>
      </c>
      <c r="H111" s="119">
        <f ca="1">H110+('Dev Plan (Wind)'!C110/Summary!C$23)*Summary!C$27</f>
        <v>131213.71348676889</v>
      </c>
      <c r="I111" s="119">
        <f t="shared" si="10"/>
        <v>4524.2166666666653</v>
      </c>
      <c r="J111" s="119">
        <f t="shared" si="11"/>
        <v>27136.655000000061</v>
      </c>
      <c r="K111" s="119">
        <f t="shared" si="2"/>
        <v>31660.871666666724</v>
      </c>
      <c r="L111" s="122">
        <f ca="1">C110*Summary!C$16*Summary!C$17*24*375*1000*C$11</f>
        <v>424802070000.00006</v>
      </c>
      <c r="M111" s="122">
        <f t="shared" ca="1" si="3"/>
        <v>438672070000.00006</v>
      </c>
      <c r="N111" s="120">
        <f t="shared" ca="1" si="4"/>
        <v>12915</v>
      </c>
      <c r="O111" s="48">
        <f t="shared" ca="1" si="5"/>
        <v>29.00252643811686</v>
      </c>
      <c r="P111" s="115">
        <f ca="1">C111*Summary!$C$16</f>
        <v>1730812.5</v>
      </c>
      <c r="Q111" s="115">
        <f ca="1">P111*Summary!$C$17</f>
        <v>692325</v>
      </c>
      <c r="R111" s="48">
        <f ca="1">Q111/'Alberta Electricity Profile'!$C$33</f>
        <v>46.45541166208146</v>
      </c>
      <c r="S111" s="254">
        <f ca="1">P111/'Alberta Electricity Profile'!$D$49</f>
        <v>13.258562312801146</v>
      </c>
      <c r="T111" s="255">
        <f t="shared" si="6"/>
        <v>347.92166666666662</v>
      </c>
      <c r="U111" s="255">
        <f t="shared" ca="1" si="12"/>
        <v>4298.5830379192194</v>
      </c>
      <c r="V111" s="256">
        <f t="shared" ca="1" si="13"/>
        <v>6.3749861527019123</v>
      </c>
      <c r="W111" s="256">
        <f t="shared" ca="1" si="14"/>
        <v>12749.972305403824</v>
      </c>
    </row>
    <row r="112" spans="1:23">
      <c r="A112" s="191"/>
      <c r="B112" s="124">
        <f t="shared" si="7"/>
        <v>92</v>
      </c>
      <c r="C112" s="115">
        <f t="shared" ca="1" si="8"/>
        <v>355388.5</v>
      </c>
      <c r="D112" s="48">
        <f t="shared" ca="1" si="0"/>
        <v>4.2371880240077155</v>
      </c>
      <c r="E112" s="120">
        <f t="shared" ca="1" si="9"/>
        <v>22501</v>
      </c>
      <c r="F112" s="116">
        <f t="shared" ca="1" si="1"/>
        <v>22.501000000000001</v>
      </c>
      <c r="G112" s="118">
        <f ca="1">C112/Summary!C$23</f>
        <v>5.0697360912981457</v>
      </c>
      <c r="H112" s="119">
        <f ca="1">H111+('Dev Plan (Wind)'!C111/Summary!C$23)*Summary!C$27</f>
        <v>135627.27577493826</v>
      </c>
      <c r="I112" s="119">
        <f t="shared" si="10"/>
        <v>4573.9333333333316</v>
      </c>
      <c r="J112" s="119">
        <f t="shared" si="11"/>
        <v>27434.860000000062</v>
      </c>
      <c r="K112" s="119">
        <f t="shared" si="2"/>
        <v>32008.793333333393</v>
      </c>
      <c r="L112" s="122">
        <f ca="1">C111*Summary!C$16*Summary!C$17*24*375*1000*C$11</f>
        <v>436164750000.00006</v>
      </c>
      <c r="M112" s="122">
        <f t="shared" ca="1" si="3"/>
        <v>450034750000.00006</v>
      </c>
      <c r="N112" s="120">
        <f t="shared" ca="1" si="4"/>
        <v>13275</v>
      </c>
      <c r="O112" s="48">
        <f t="shared" ca="1" si="5"/>
        <v>29.652219630428583</v>
      </c>
      <c r="P112" s="115">
        <f ca="1">C112*Summary!$C$16</f>
        <v>1776942.5</v>
      </c>
      <c r="Q112" s="115">
        <f ca="1">P112*Summary!$C$17</f>
        <v>710777</v>
      </c>
      <c r="R112" s="48">
        <f ca="1">Q112/'Alberta Electricity Profile'!$C$33</f>
        <v>47.693551633899212</v>
      </c>
      <c r="S112" s="254">
        <f ca="1">P112/'Alberta Electricity Profile'!$D$49</f>
        <v>13.611932466696798</v>
      </c>
      <c r="T112" s="255">
        <f t="shared" si="6"/>
        <v>347.92166666666662</v>
      </c>
      <c r="U112" s="255">
        <f t="shared" ca="1" si="12"/>
        <v>4413.5622881693707</v>
      </c>
      <c r="V112" s="256">
        <f t="shared" ca="1" si="13"/>
        <v>6.3749861527019407</v>
      </c>
      <c r="W112" s="256">
        <f t="shared" ca="1" si="14"/>
        <v>12749.972305403882</v>
      </c>
    </row>
    <row r="113" spans="1:23">
      <c r="A113" s="191"/>
      <c r="B113" s="124">
        <f t="shared" si="7"/>
        <v>93</v>
      </c>
      <c r="C113" s="115">
        <f t="shared" ca="1" si="8"/>
        <v>364827.5</v>
      </c>
      <c r="D113" s="48">
        <f t="shared" ca="1" si="0"/>
        <v>4.3316656004046461</v>
      </c>
      <c r="E113" s="120">
        <f t="shared" ca="1" si="9"/>
        <v>23082</v>
      </c>
      <c r="F113" s="116">
        <f t="shared" ca="1" si="1"/>
        <v>23.082000000000001</v>
      </c>
      <c r="G113" s="118">
        <f ca="1">C113/Summary!C$23</f>
        <v>5.2043865905848792</v>
      </c>
      <c r="H113" s="119">
        <f ca="1">H112+('Dev Plan (Wind)'!C112/Summary!C$23)*Summary!C$27</f>
        <v>140158.46930759729</v>
      </c>
      <c r="I113" s="119">
        <f t="shared" si="10"/>
        <v>4623.6499999999978</v>
      </c>
      <c r="J113" s="119">
        <f t="shared" si="11"/>
        <v>27733.065000000064</v>
      </c>
      <c r="K113" s="119">
        <f t="shared" si="2"/>
        <v>32356.715000000062</v>
      </c>
      <c r="L113" s="122">
        <f ca="1">C112*Summary!C$16*Summary!C$17*24*375*1000*C$11</f>
        <v>447789510000.00006</v>
      </c>
      <c r="M113" s="122">
        <f t="shared" ca="1" si="3"/>
        <v>461659510000.00006</v>
      </c>
      <c r="N113" s="120">
        <f t="shared" ca="1" si="4"/>
        <v>13643</v>
      </c>
      <c r="O113" s="48">
        <f t="shared" ca="1" si="5"/>
        <v>30.313382134806346</v>
      </c>
      <c r="P113" s="115">
        <f ca="1">C113*Summary!$C$16</f>
        <v>1824137.5</v>
      </c>
      <c r="Q113" s="115">
        <f ca="1">P113*Summary!$C$17</f>
        <v>729655</v>
      </c>
      <c r="R113" s="48">
        <f ca="1">Q113/'Alberta Electricity Profile'!$C$33</f>
        <v>48.960276454405154</v>
      </c>
      <c r="S113" s="254">
        <f ca="1">P113/'Alberta Electricity Profile'!$D$49</f>
        <v>13.973460851979807</v>
      </c>
      <c r="T113" s="255">
        <f t="shared" si="6"/>
        <v>347.92166666666662</v>
      </c>
      <c r="U113" s="255">
        <f t="shared" ca="1" si="12"/>
        <v>4531.1935326590319</v>
      </c>
      <c r="V113" s="256">
        <f t="shared" ca="1" si="13"/>
        <v>6.3749861527019478</v>
      </c>
      <c r="W113" s="256">
        <f t="shared" ca="1" si="14"/>
        <v>12749.972305403895</v>
      </c>
    </row>
    <row r="114" spans="1:23">
      <c r="A114" s="191"/>
      <c r="B114" s="124">
        <f t="shared" si="7"/>
        <v>94</v>
      </c>
      <c r="C114" s="115">
        <f t="shared" ca="1" si="8"/>
        <v>374484.5</v>
      </c>
      <c r="D114" s="48">
        <f t="shared" ca="1" si="0"/>
        <v>4.4278128298682642</v>
      </c>
      <c r="E114" s="120">
        <f t="shared" ca="1" si="9"/>
        <v>23677</v>
      </c>
      <c r="F114" s="116">
        <f t="shared" ca="1" si="1"/>
        <v>23.677</v>
      </c>
      <c r="G114" s="118">
        <f ca="1">C114/Summary!C$23</f>
        <v>5.3421469329529243</v>
      </c>
      <c r="H114" s="119">
        <f ca="1">H113+('Dev Plan (Wind)'!C113/Summary!C$23)*Summary!C$27</f>
        <v>144810.00982884702</v>
      </c>
      <c r="I114" s="119">
        <f t="shared" si="10"/>
        <v>4673.3666666666641</v>
      </c>
      <c r="J114" s="119">
        <f t="shared" si="11"/>
        <v>28031.270000000066</v>
      </c>
      <c r="K114" s="119">
        <f t="shared" si="2"/>
        <v>32704.636666666731</v>
      </c>
      <c r="L114" s="122">
        <f ca="1">C113*Summary!C$16*Summary!C$17*24*375*1000*C$11</f>
        <v>459682650000.00006</v>
      </c>
      <c r="M114" s="122">
        <f t="shared" ca="1" si="3"/>
        <v>473552650000.00006</v>
      </c>
      <c r="N114" s="120">
        <f t="shared" ca="1" si="4"/>
        <v>14020</v>
      </c>
      <c r="O114" s="48">
        <f t="shared" ca="1" si="5"/>
        <v>30.986229020231047</v>
      </c>
      <c r="P114" s="115">
        <f ca="1">C114*Summary!$C$16</f>
        <v>1872422.5</v>
      </c>
      <c r="Q114" s="115">
        <f ca="1">P114*Summary!$C$17</f>
        <v>748969</v>
      </c>
      <c r="R114" s="48">
        <f ca="1">Q114/'Alberta Electricity Profile'!$C$33</f>
        <v>50.256257129437024</v>
      </c>
      <c r="S114" s="254">
        <f ca="1">P114/'Alberta Electricity Profile'!$D$49</f>
        <v>14.343338976429223</v>
      </c>
      <c r="T114" s="255">
        <f t="shared" si="6"/>
        <v>347.92166666666662</v>
      </c>
      <c r="U114" s="255">
        <f t="shared" ca="1" si="12"/>
        <v>4651.540521249728</v>
      </c>
      <c r="V114" s="256">
        <f t="shared" ca="1" si="13"/>
        <v>6.3749861527019318</v>
      </c>
      <c r="W114" s="256">
        <f t="shared" ca="1" si="14"/>
        <v>12749.972305403864</v>
      </c>
    </row>
    <row r="115" spans="1:23">
      <c r="A115" s="191"/>
      <c r="B115" s="124">
        <f t="shared" si="7"/>
        <v>95</v>
      </c>
      <c r="C115" s="115">
        <f t="shared" ca="1" si="8"/>
        <v>384365.5</v>
      </c>
      <c r="D115" s="48">
        <f t="shared" ca="1" si="0"/>
        <v>4.5256610796688124</v>
      </c>
      <c r="E115" s="120">
        <f t="shared" ca="1" si="9"/>
        <v>24286</v>
      </c>
      <c r="F115" s="116">
        <f t="shared" ca="1" si="1"/>
        <v>24.286000000000001</v>
      </c>
      <c r="G115" s="118">
        <f ca="1">C115/Summary!C$23</f>
        <v>5.4831027104136947</v>
      </c>
      <c r="H115" s="119">
        <f ca="1">H114+('Dev Plan (Wind)'!C114/Summary!C$23)*Summary!C$27</f>
        <v>149584.67683265003</v>
      </c>
      <c r="I115" s="119">
        <f t="shared" si="10"/>
        <v>4723.0833333333303</v>
      </c>
      <c r="J115" s="119">
        <f t="shared" si="11"/>
        <v>28329.475000000068</v>
      </c>
      <c r="K115" s="119">
        <f t="shared" si="2"/>
        <v>33052.5583333334</v>
      </c>
      <c r="L115" s="122">
        <f ca="1">C114*Summary!C$16*Summary!C$17*24*375*1000*C$11</f>
        <v>471850470000.00006</v>
      </c>
      <c r="M115" s="122">
        <f t="shared" ca="1" si="3"/>
        <v>485720470000.00006</v>
      </c>
      <c r="N115" s="120">
        <f t="shared" ca="1" si="4"/>
        <v>14405</v>
      </c>
      <c r="O115" s="48">
        <f t="shared" ca="1" si="5"/>
        <v>31.670979797656926</v>
      </c>
      <c r="P115" s="115">
        <f ca="1">C115*Summary!$C$16</f>
        <v>1921827.5</v>
      </c>
      <c r="Q115" s="115">
        <f ca="1">P115*Summary!$C$17</f>
        <v>768731</v>
      </c>
      <c r="R115" s="48">
        <f ca="1">Q115/'Alberta Electricity Profile'!$C$33</f>
        <v>51.582298866000137</v>
      </c>
      <c r="S115" s="254">
        <f ca="1">P115/'Alberta Electricity Profile'!$D$49</f>
        <v>14.721796649379899</v>
      </c>
      <c r="T115" s="255">
        <f t="shared" si="6"/>
        <v>347.92166666666662</v>
      </c>
      <c r="U115" s="255">
        <f t="shared" ca="1" si="12"/>
        <v>4774.6670038030134</v>
      </c>
      <c r="V115" s="256">
        <f t="shared" ca="1" si="13"/>
        <v>6.3749861527019318</v>
      </c>
      <c r="W115" s="256">
        <f t="shared" ca="1" si="14"/>
        <v>12749.972305403864</v>
      </c>
    </row>
    <row r="116" spans="1:23">
      <c r="A116" s="191"/>
      <c r="B116" s="124">
        <f t="shared" si="7"/>
        <v>96</v>
      </c>
      <c r="C116" s="115">
        <f t="shared" ca="1" si="8"/>
        <v>394474.5</v>
      </c>
      <c r="D116" s="48">
        <f t="shared" ca="1" si="0"/>
        <v>4.6252427004882088</v>
      </c>
      <c r="E116" s="120">
        <f t="shared" ca="1" si="9"/>
        <v>24908</v>
      </c>
      <c r="F116" s="116">
        <f t="shared" ca="1" si="1"/>
        <v>24.908000000000001</v>
      </c>
      <c r="G116" s="118">
        <f ca="1">C116/Summary!C$23</f>
        <v>5.6273109843081315</v>
      </c>
      <c r="H116" s="119">
        <f ca="1">H115+('Dev Plan (Wind)'!C115/Summary!C$23)*Summary!C$27</f>
        <v>154485.32631280273</v>
      </c>
      <c r="I116" s="119">
        <f t="shared" si="10"/>
        <v>4772.7999999999965</v>
      </c>
      <c r="J116" s="119">
        <f t="shared" si="11"/>
        <v>28627.680000000069</v>
      </c>
      <c r="K116" s="119">
        <f t="shared" si="2"/>
        <v>33400.480000000069</v>
      </c>
      <c r="L116" s="122">
        <f ca="1">C115*Summary!C$16*Summary!C$17*24*375*1000*C$11</f>
        <v>484300530000.00006</v>
      </c>
      <c r="M116" s="122">
        <f t="shared" ca="1" si="3"/>
        <v>498170530000.00006</v>
      </c>
      <c r="N116" s="120">
        <f t="shared" ca="1" si="4"/>
        <v>14799</v>
      </c>
      <c r="O116" s="48">
        <f t="shared" ca="1" si="5"/>
        <v>32.367860860040821</v>
      </c>
      <c r="P116" s="115">
        <f ca="1">C116*Summary!$C$16</f>
        <v>1972372.5</v>
      </c>
      <c r="Q116" s="115">
        <f ca="1">P116*Summary!$C$17</f>
        <v>788949</v>
      </c>
      <c r="R116" s="48">
        <f ca="1">Q116/'Alberta Electricity Profile'!$C$33</f>
        <v>52.938938468764675</v>
      </c>
      <c r="S116" s="254">
        <f ca="1">P116/'Alberta Electricity Profile'!$D$49</f>
        <v>15.108987077055071</v>
      </c>
      <c r="T116" s="255">
        <f t="shared" si="6"/>
        <v>347.92166666666662</v>
      </c>
      <c r="U116" s="255">
        <f t="shared" ca="1" si="12"/>
        <v>4900.6494801527006</v>
      </c>
      <c r="V116" s="256">
        <f t="shared" ca="1" si="13"/>
        <v>6.3749861527019211</v>
      </c>
      <c r="W116" s="256">
        <f t="shared" ca="1" si="14"/>
        <v>12749.972305403842</v>
      </c>
    </row>
    <row r="117" spans="1:23">
      <c r="A117" s="191"/>
      <c r="B117" s="124">
        <f t="shared" si="7"/>
        <v>97</v>
      </c>
      <c r="C117" s="115">
        <f t="shared" ca="1" si="8"/>
        <v>404816.5</v>
      </c>
      <c r="D117" s="48">
        <f t="shared" ca="1" si="0"/>
        <v>4.7265902201390313</v>
      </c>
      <c r="E117" s="120">
        <f t="shared" ca="1" si="9"/>
        <v>25545</v>
      </c>
      <c r="F117" s="116">
        <f t="shared" ca="1" si="1"/>
        <v>25.545000000000002</v>
      </c>
      <c r="G117" s="118">
        <f ca="1">C117/Summary!C$23</f>
        <v>5.7748430813124108</v>
      </c>
      <c r="H117" s="119">
        <f ca="1">H116+('Dev Plan (Wind)'!C116/Summary!C$23)*Summary!C$27</f>
        <v>159514.86526299076</v>
      </c>
      <c r="I117" s="119">
        <f t="shared" si="10"/>
        <v>4822.5166666666628</v>
      </c>
      <c r="J117" s="119">
        <f t="shared" si="11"/>
        <v>28925.885000000071</v>
      </c>
      <c r="K117" s="119">
        <f t="shared" si="2"/>
        <v>33748.40166666673</v>
      </c>
      <c r="L117" s="122">
        <f ca="1">C116*Summary!C$16*Summary!C$17*24*375*1000*C$11</f>
        <v>497037870000.00006</v>
      </c>
      <c r="M117" s="122">
        <f t="shared" ca="1" si="3"/>
        <v>510907870000.00006</v>
      </c>
      <c r="N117" s="120">
        <f t="shared" ca="1" si="4"/>
        <v>15203</v>
      </c>
      <c r="O117" s="48">
        <f t="shared" ca="1" si="5"/>
        <v>33.077099839915718</v>
      </c>
      <c r="P117" s="115">
        <f ca="1">C117*Summary!$C$16</f>
        <v>2024082.5</v>
      </c>
      <c r="Q117" s="115">
        <f ca="1">P117*Summary!$C$17</f>
        <v>809633</v>
      </c>
      <c r="R117" s="48">
        <f ca="1">Q117/'Alberta Electricity Profile'!$C$33</f>
        <v>54.326846943568412</v>
      </c>
      <c r="S117" s="254">
        <f ca="1">P117/'Alberta Electricity Profile'!$D$49</f>
        <v>15.505101767233786</v>
      </c>
      <c r="T117" s="255">
        <f t="shared" si="6"/>
        <v>347.92166666666662</v>
      </c>
      <c r="U117" s="255">
        <f t="shared" ca="1" si="12"/>
        <v>5029.5389501880272</v>
      </c>
      <c r="V117" s="256">
        <f t="shared" ca="1" si="13"/>
        <v>6.3749861527019203</v>
      </c>
      <c r="W117" s="256">
        <f t="shared" ca="1" si="14"/>
        <v>12749.97230540384</v>
      </c>
    </row>
    <row r="118" spans="1:23">
      <c r="A118" s="191"/>
      <c r="B118" s="124">
        <f t="shared" si="7"/>
        <v>98</v>
      </c>
      <c r="C118" s="115">
        <f t="shared" ca="1" si="8"/>
        <v>415397.5</v>
      </c>
      <c r="D118" s="48">
        <f t="shared" ca="1" si="0"/>
        <v>4.8297367084670313</v>
      </c>
      <c r="E118" s="120">
        <f t="shared" ca="1" si="9"/>
        <v>26196</v>
      </c>
      <c r="F118" s="116">
        <f t="shared" ca="1" si="1"/>
        <v>26.196000000000002</v>
      </c>
      <c r="G118" s="118">
        <f ca="1">C118/Summary!C$23</f>
        <v>5.9257845934379461</v>
      </c>
      <c r="H118" s="119">
        <f ca="1">H117+('Dev Plan (Wind)'!C117/Summary!C$23)*Summary!C$27</f>
        <v>164676.26442676128</v>
      </c>
      <c r="I118" s="119">
        <f t="shared" si="10"/>
        <v>4872.233333333329</v>
      </c>
      <c r="J118" s="119">
        <f t="shared" si="11"/>
        <v>29224.090000000073</v>
      </c>
      <c r="K118" s="119">
        <f t="shared" si="2"/>
        <v>34096.323333333399</v>
      </c>
      <c r="L118" s="122">
        <f ca="1">C117*Summary!C$16*Summary!C$17*24*375*1000*C$11</f>
        <v>510068790000.00006</v>
      </c>
      <c r="M118" s="122">
        <f t="shared" ca="1" si="3"/>
        <v>523938790000.00006</v>
      </c>
      <c r="N118" s="120">
        <f t="shared" ca="1" si="4"/>
        <v>15615</v>
      </c>
      <c r="O118" s="48">
        <f t="shared" ca="1" si="5"/>
        <v>33.798928163011098</v>
      </c>
      <c r="P118" s="115">
        <f ca="1">C118*Summary!$C$16</f>
        <v>2076987.5</v>
      </c>
      <c r="Q118" s="115">
        <f ca="1">P118*Summary!$C$17</f>
        <v>830795</v>
      </c>
      <c r="R118" s="48">
        <f ca="1">Q118/'Alberta Electricity Profile'!$C$33</f>
        <v>55.746829497416627</v>
      </c>
      <c r="S118" s="254">
        <f ca="1">P118/'Alberta Electricity Profile'!$D$49</f>
        <v>15.910370529250898</v>
      </c>
      <c r="T118" s="255">
        <f t="shared" si="6"/>
        <v>347.92166666666662</v>
      </c>
      <c r="U118" s="255">
        <f t="shared" ca="1" si="12"/>
        <v>5161.3991637705185</v>
      </c>
      <c r="V118" s="256">
        <f t="shared" ca="1" si="13"/>
        <v>6.3749861527019256</v>
      </c>
      <c r="W118" s="256">
        <f t="shared" ca="1" si="14"/>
        <v>12749.972305403851</v>
      </c>
    </row>
    <row r="119" spans="1:23">
      <c r="A119" s="191"/>
      <c r="B119" s="124">
        <f t="shared" si="7"/>
        <v>99</v>
      </c>
      <c r="C119" s="115">
        <f t="shared" ca="1" si="8"/>
        <v>426223.5</v>
      </c>
      <c r="D119" s="48">
        <f t="shared" ca="1" si="0"/>
        <v>4.9347161201383551</v>
      </c>
      <c r="E119" s="120">
        <f t="shared" ca="1" si="9"/>
        <v>26863</v>
      </c>
      <c r="F119" s="116">
        <f t="shared" ca="1" si="1"/>
        <v>26.863</v>
      </c>
      <c r="G119" s="118">
        <f ca="1">C119/Summary!C$23</f>
        <v>6.0802211126961483</v>
      </c>
      <c r="H119" s="119">
        <f ca="1">H118+('Dev Plan (Wind)'!C118/Summary!C$23)*Summary!C$27</f>
        <v>169972.57104749526</v>
      </c>
      <c r="I119" s="119">
        <f t="shared" si="10"/>
        <v>4921.9499999999953</v>
      </c>
      <c r="J119" s="119">
        <f t="shared" si="11"/>
        <v>29522.295000000075</v>
      </c>
      <c r="K119" s="119">
        <f t="shared" si="2"/>
        <v>34444.245000000068</v>
      </c>
      <c r="L119" s="122">
        <f ca="1">C118*Summary!C$16*Summary!C$17*24*375*1000*C$11</f>
        <v>523400850000.00006</v>
      </c>
      <c r="M119" s="122">
        <f t="shared" ca="1" si="3"/>
        <v>537270850000.00006</v>
      </c>
      <c r="N119" s="120">
        <f t="shared" ca="1" si="4"/>
        <v>16037</v>
      </c>
      <c r="O119" s="48">
        <f t="shared" ca="1" si="5"/>
        <v>34.533583447108448</v>
      </c>
      <c r="P119" s="115">
        <f ca="1">C119*Summary!$C$16</f>
        <v>2131117.5</v>
      </c>
      <c r="Q119" s="115">
        <f ca="1">P119*Summary!$C$17</f>
        <v>852447</v>
      </c>
      <c r="R119" s="48">
        <f ca="1">Q119/'Alberta Electricity Profile'!$C$33</f>
        <v>57.199691337314633</v>
      </c>
      <c r="S119" s="254">
        <f ca="1">P119/'Alberta Electricity Profile'!$D$49</f>
        <v>16.325023172441263</v>
      </c>
      <c r="T119" s="255">
        <f t="shared" si="6"/>
        <v>347.92166666666662</v>
      </c>
      <c r="U119" s="255">
        <f t="shared" ca="1" si="12"/>
        <v>5296.3066207339871</v>
      </c>
      <c r="V119" s="256">
        <f t="shared" ca="1" si="13"/>
        <v>6.3749861527019149</v>
      </c>
      <c r="W119" s="256">
        <f t="shared" ca="1" si="14"/>
        <v>12749.97230540383</v>
      </c>
    </row>
    <row r="120" spans="1:23">
      <c r="A120" s="191"/>
      <c r="B120" s="124">
        <f t="shared" si="7"/>
        <v>100</v>
      </c>
      <c r="C120" s="115">
        <f t="shared" ca="1" si="8"/>
        <v>437299.5</v>
      </c>
      <c r="D120" s="48">
        <f t="shared" ca="1" si="0"/>
        <v>5.041563250398525</v>
      </c>
      <c r="E120" s="120">
        <f t="shared" ca="1" si="9"/>
        <v>27545</v>
      </c>
      <c r="F120" s="116">
        <f t="shared" ca="1" si="1"/>
        <v>27.545000000000002</v>
      </c>
      <c r="G120" s="118">
        <f ca="1">C120/Summary!C$23</f>
        <v>6.2382239657631953</v>
      </c>
      <c r="H120" s="119">
        <f ca="1">H119+('Dev Plan (Wind)'!C119/Summary!C$23)*Summary!C$27</f>
        <v>175406.90886840757</v>
      </c>
      <c r="I120" s="119">
        <f t="shared" si="10"/>
        <v>4971.6666666666615</v>
      </c>
      <c r="J120" s="119">
        <f t="shared" si="11"/>
        <v>29820.500000000076</v>
      </c>
      <c r="K120" s="119">
        <f t="shared" si="2"/>
        <v>34792.166666666737</v>
      </c>
      <c r="L120" s="122">
        <f ca="1">C119*Summary!C$16*Summary!C$17*24*375*1000*C$11</f>
        <v>537041610000.00006</v>
      </c>
      <c r="M120" s="122">
        <f t="shared" ca="1" si="3"/>
        <v>550911610000</v>
      </c>
      <c r="N120" s="120">
        <f t="shared" ca="1" si="4"/>
        <v>16469</v>
      </c>
      <c r="O120" s="48">
        <f t="shared" ca="1" si="5"/>
        <v>35.281309192438705</v>
      </c>
      <c r="P120" s="115">
        <f ca="1">C120*Summary!$C$16</f>
        <v>2186497.5</v>
      </c>
      <c r="Q120" s="115">
        <f ca="1">P120*Summary!$C$17</f>
        <v>874599</v>
      </c>
      <c r="R120" s="48">
        <f ca="1">Q120/'Alberta Electricity Profile'!$C$33</f>
        <v>58.686103469100182</v>
      </c>
      <c r="S120" s="254">
        <f ca="1">P120/'Alberta Electricity Profile'!$D$49</f>
        <v>16.749251204583931</v>
      </c>
      <c r="T120" s="255">
        <f t="shared" si="6"/>
        <v>347.92166666666662</v>
      </c>
      <c r="U120" s="255">
        <f t="shared" ca="1" si="12"/>
        <v>5434.3378209123039</v>
      </c>
      <c r="V120" s="256">
        <f t="shared" ca="1" si="13"/>
        <v>6.3749861527019318</v>
      </c>
      <c r="W120" s="256">
        <f t="shared" ca="1" si="14"/>
        <v>12749.972305403864</v>
      </c>
    </row>
    <row r="121" spans="1:23">
      <c r="A121" s="191"/>
      <c r="B121" s="164">
        <f t="shared" si="7"/>
        <v>101</v>
      </c>
      <c r="C121" s="115">
        <f t="shared" ca="1" si="8"/>
        <v>448631.5</v>
      </c>
      <c r="D121" s="48">
        <f t="shared" ca="1" si="0"/>
        <v>5.1503133306269193</v>
      </c>
      <c r="E121" s="120">
        <f t="shared" ca="1" si="9"/>
        <v>28243</v>
      </c>
      <c r="F121" s="116">
        <f t="shared" ca="1" si="1"/>
        <v>28.242999999999999</v>
      </c>
      <c r="G121" s="118">
        <f ca="1">C121/Summary!C$23</f>
        <v>6.3998787446504997</v>
      </c>
      <c r="H121" s="119">
        <f ca="1">H120+('Dev Plan (Wind)'!C120/Summary!C$23)*Summary!C$27</f>
        <v>180982.46538257453</v>
      </c>
      <c r="I121" s="119">
        <f t="shared" si="10"/>
        <v>5021.3833333333278</v>
      </c>
      <c r="J121" s="119">
        <f t="shared" si="11"/>
        <v>30118.705000000078</v>
      </c>
      <c r="K121" s="119">
        <f t="shared" si="2"/>
        <v>35140.088333333406</v>
      </c>
      <c r="L121" s="122">
        <f ca="1">C120*Summary!C$16*Summary!C$17*24*375*1000*C$11</f>
        <v>550997370000</v>
      </c>
      <c r="M121" s="122">
        <f t="shared" ca="1" si="3"/>
        <v>564867370000</v>
      </c>
      <c r="N121" s="120">
        <f t="shared" ca="1" si="4"/>
        <v>16911</v>
      </c>
      <c r="O121" s="48">
        <f t="shared" ca="1" si="5"/>
        <v>36.0423519513364</v>
      </c>
      <c r="P121" s="115">
        <f ca="1">C121*Summary!$C$16</f>
        <v>2243157.5</v>
      </c>
      <c r="Q121" s="115">
        <f ca="1">P121*Summary!$C$17</f>
        <v>897263</v>
      </c>
      <c r="R121" s="48">
        <f ca="1">Q121/'Alberta Electricity Profile'!$C$33</f>
        <v>60.206871099778567</v>
      </c>
      <c r="S121" s="254">
        <f ca="1">P121/'Alberta Electricity Profile'!$D$49</f>
        <v>17.18328443501375</v>
      </c>
      <c r="T121" s="255">
        <f t="shared" si="6"/>
        <v>347.92166666666662</v>
      </c>
      <c r="U121" s="255">
        <f t="shared" ca="1" si="12"/>
        <v>5575.5565141669649</v>
      </c>
      <c r="V121" s="256">
        <f t="shared" ca="1" si="13"/>
        <v>6.3749861527019416</v>
      </c>
      <c r="W121" s="256">
        <f t="shared" ca="1" si="14"/>
        <v>12749.972305403882</v>
      </c>
    </row>
    <row r="122" spans="1:23">
      <c r="A122" s="191"/>
      <c r="B122" s="124">
        <f t="shared" si="7"/>
        <v>102</v>
      </c>
      <c r="C122" s="115">
        <f t="shared" ca="1" si="8"/>
        <v>460225.5</v>
      </c>
      <c r="D122" s="48">
        <f t="shared" ca="1" si="0"/>
        <v>5.2610023662331562</v>
      </c>
      <c r="E122" s="120">
        <f t="shared" ca="1" si="9"/>
        <v>28957</v>
      </c>
      <c r="F122" s="116">
        <f t="shared" ca="1" si="1"/>
        <v>28.957000000000001</v>
      </c>
      <c r="G122" s="118">
        <f ca="1">C122/Summary!C$23</f>
        <v>6.5652710413694724</v>
      </c>
      <c r="H122" s="119">
        <f ca="1">H121+('Dev Plan (Wind)'!C121/Summary!C$23)*Summary!C$27</f>
        <v>186702.50458290632</v>
      </c>
      <c r="I122" s="119">
        <f t="shared" si="10"/>
        <v>5071.099999999994</v>
      </c>
      <c r="J122" s="119">
        <f t="shared" si="11"/>
        <v>30416.91000000008</v>
      </c>
      <c r="K122" s="119">
        <f t="shared" si="2"/>
        <v>35488.010000000075</v>
      </c>
      <c r="L122" s="122">
        <f ca="1">C121*Summary!C$16*Summary!C$17*24*375*1000*C$11</f>
        <v>565275690000</v>
      </c>
      <c r="M122" s="122">
        <f t="shared" ca="1" si="3"/>
        <v>579145690000</v>
      </c>
      <c r="N122" s="120">
        <f t="shared" ca="1" si="4"/>
        <v>17363</v>
      </c>
      <c r="O122" s="48">
        <f t="shared" ca="1" si="5"/>
        <v>36.816963692868711</v>
      </c>
      <c r="P122" s="115">
        <f ca="1">C122*Summary!$C$16</f>
        <v>2301127.5</v>
      </c>
      <c r="Q122" s="115">
        <f ca="1">P122*Summary!$C$17</f>
        <v>920451</v>
      </c>
      <c r="R122" s="48">
        <f ca="1">Q122/'Alberta Electricity Profile'!$C$33</f>
        <v>61.762799436355095</v>
      </c>
      <c r="S122" s="254">
        <f ca="1">P122/'Alberta Electricity Profile'!$D$49</f>
        <v>17.62735267306558</v>
      </c>
      <c r="T122" s="255">
        <f t="shared" si="6"/>
        <v>347.92166666666662</v>
      </c>
      <c r="U122" s="255">
        <f t="shared" ca="1" si="12"/>
        <v>5720.0392003317829</v>
      </c>
      <c r="V122" s="256">
        <f t="shared" ca="1" si="13"/>
        <v>6.3749861527019194</v>
      </c>
      <c r="W122" s="256">
        <f t="shared" ca="1" si="14"/>
        <v>12749.972305403839</v>
      </c>
    </row>
  </sheetData>
  <mergeCells count="3">
    <mergeCell ref="B1:N1"/>
    <mergeCell ref="B6:C6"/>
    <mergeCell ref="V19:W19"/>
  </mergeCells>
  <hyperlinks>
    <hyperlink ref="D7" r:id="rId1"/>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showGridLines="0" tabSelected="1" topLeftCell="A63" zoomScale="90" zoomScaleNormal="90" workbookViewId="0">
      <selection activeCell="I69" sqref="I69"/>
    </sheetView>
  </sheetViews>
  <sheetFormatPr defaultColWidth="17.28515625" defaultRowHeight="15" customHeight="1"/>
  <cols>
    <col min="1" max="1" width="4.42578125" style="192" customWidth="1"/>
    <col min="2" max="2" width="8.85546875" customWidth="1"/>
    <col min="3" max="3" width="17.5703125" bestFit="1" customWidth="1"/>
    <col min="4" max="8" width="18.7109375" bestFit="1" customWidth="1"/>
    <col min="9" max="9" width="9.85546875" style="192" customWidth="1"/>
    <col min="10" max="10" width="13.5703125" customWidth="1"/>
    <col min="11" max="11" width="17.5703125" bestFit="1" customWidth="1"/>
    <col min="12" max="16" width="18.7109375" bestFit="1" customWidth="1"/>
  </cols>
  <sheetData>
    <row r="1" spans="1:17" ht="24.75" customHeight="1">
      <c r="A1" s="191"/>
      <c r="B1" s="267" t="s">
        <v>366</v>
      </c>
      <c r="C1" s="230"/>
      <c r="D1" s="230"/>
      <c r="E1" s="230"/>
      <c r="F1" s="230"/>
      <c r="G1" s="230"/>
      <c r="H1" s="230"/>
      <c r="I1" s="230"/>
      <c r="J1" s="230"/>
      <c r="K1" s="230"/>
      <c r="L1" s="230"/>
      <c r="M1" s="230"/>
      <c r="N1" s="230"/>
      <c r="O1" s="230"/>
      <c r="P1" s="230"/>
    </row>
    <row r="2" spans="1:17" s="192" customFormat="1" ht="15.75" thickBot="1">
      <c r="A2" s="191"/>
      <c r="B2" s="261"/>
      <c r="C2" s="191"/>
      <c r="D2" s="191"/>
      <c r="E2" s="191"/>
      <c r="F2" s="191"/>
      <c r="G2" s="191"/>
      <c r="H2" s="191"/>
      <c r="I2" s="191"/>
      <c r="J2" s="191"/>
      <c r="K2" s="191"/>
      <c r="L2" s="191"/>
      <c r="M2" s="191"/>
      <c r="N2" s="191"/>
      <c r="O2" s="191"/>
      <c r="P2" s="191"/>
    </row>
    <row r="3" spans="1:17" ht="15.75" customHeight="1" thickBot="1">
      <c r="A3" s="191"/>
      <c r="B3" s="264" t="s">
        <v>34</v>
      </c>
      <c r="C3" s="265"/>
      <c r="D3" s="265"/>
      <c r="E3" s="265"/>
      <c r="F3" s="265"/>
      <c r="G3" s="265"/>
      <c r="H3" s="266"/>
      <c r="I3" s="191"/>
      <c r="J3" s="264" t="s">
        <v>45</v>
      </c>
      <c r="K3" s="265"/>
      <c r="L3" s="265"/>
      <c r="M3" s="265"/>
      <c r="N3" s="265"/>
      <c r="O3" s="265"/>
      <c r="P3" s="266"/>
      <c r="Q3" s="190"/>
    </row>
    <row r="4" spans="1:17" ht="15.75" customHeight="1" thickBot="1">
      <c r="A4" s="191"/>
      <c r="B4" s="35" t="s">
        <v>46</v>
      </c>
      <c r="C4" s="7" t="s">
        <v>365</v>
      </c>
      <c r="D4" s="7" t="s">
        <v>48</v>
      </c>
      <c r="E4" s="7" t="s">
        <v>49</v>
      </c>
      <c r="F4" s="7" t="s">
        <v>50</v>
      </c>
      <c r="G4" s="7" t="s">
        <v>51</v>
      </c>
      <c r="H4" s="7" t="s">
        <v>52</v>
      </c>
      <c r="I4" s="262"/>
      <c r="J4" s="35" t="s">
        <v>46</v>
      </c>
      <c r="K4" s="189" t="s">
        <v>365</v>
      </c>
      <c r="L4" s="37" t="s">
        <v>48</v>
      </c>
      <c r="M4" s="7" t="s">
        <v>49</v>
      </c>
      <c r="N4" s="7" t="s">
        <v>50</v>
      </c>
      <c r="O4" s="7" t="s">
        <v>51</v>
      </c>
      <c r="P4" s="7" t="s">
        <v>52</v>
      </c>
    </row>
    <row r="5" spans="1:17">
      <c r="A5" s="191"/>
      <c r="B5" s="47">
        <v>1</v>
      </c>
      <c r="C5" s="48">
        <v>0</v>
      </c>
      <c r="D5" s="48">
        <v>0</v>
      </c>
      <c r="E5" s="48">
        <v>0</v>
      </c>
      <c r="F5" s="48">
        <v>0</v>
      </c>
      <c r="G5" s="48">
        <v>0</v>
      </c>
      <c r="H5" s="48">
        <v>0</v>
      </c>
      <c r="I5" s="263"/>
      <c r="J5" s="47">
        <v>1</v>
      </c>
      <c r="K5" s="48">
        <v>0</v>
      </c>
      <c r="L5" s="48">
        <v>0</v>
      </c>
      <c r="M5" s="48">
        <v>0</v>
      </c>
      <c r="N5" s="48">
        <v>0</v>
      </c>
      <c r="O5" s="48">
        <v>0</v>
      </c>
      <c r="P5" s="48">
        <v>0</v>
      </c>
    </row>
    <row r="6" spans="1:17">
      <c r="A6" s="191"/>
      <c r="B6" s="47">
        <v>2</v>
      </c>
      <c r="C6" s="48">
        <v>3.1767588227944901E-3</v>
      </c>
      <c r="D6" s="48">
        <v>6.3535176455889802E-3</v>
      </c>
      <c r="E6" s="48">
        <v>9.5302764683834716E-3</v>
      </c>
      <c r="F6" s="48">
        <v>1.270703529117796E-2</v>
      </c>
      <c r="G6" s="48">
        <v>1.5883794113972449E-2</v>
      </c>
      <c r="H6" s="48">
        <v>1.9060552936766943E-2</v>
      </c>
      <c r="I6" s="263"/>
      <c r="J6" s="47">
        <v>2</v>
      </c>
      <c r="K6" s="48">
        <v>3.1767588227944901E-3</v>
      </c>
      <c r="L6" s="48">
        <v>6.3535176455889802E-3</v>
      </c>
      <c r="M6" s="48">
        <v>9.5302764683834716E-3</v>
      </c>
      <c r="N6" s="48">
        <v>1.270703529117796E-2</v>
      </c>
      <c r="O6" s="48">
        <v>1.5883794113972449E-2</v>
      </c>
      <c r="P6" s="48">
        <v>1.9060552936766943E-2</v>
      </c>
    </row>
    <row r="7" spans="1:17">
      <c r="A7" s="191"/>
      <c r="B7" s="47">
        <v>3</v>
      </c>
      <c r="C7" s="48">
        <v>6.4466598172738931E-3</v>
      </c>
      <c r="D7" s="48">
        <v>1.2893319634547786E-2</v>
      </c>
      <c r="E7" s="48">
        <v>1.9339979451821681E-2</v>
      </c>
      <c r="F7" s="48">
        <v>2.5786639269095572E-2</v>
      </c>
      <c r="G7" s="48">
        <v>3.2233299086369467E-2</v>
      </c>
      <c r="H7" s="48">
        <v>3.8692174270421716E-2</v>
      </c>
      <c r="I7" s="263"/>
      <c r="J7" s="47">
        <v>3</v>
      </c>
      <c r="K7" s="48">
        <v>6.4833059176089411E-3</v>
      </c>
      <c r="L7" s="48">
        <v>1.2966611835217882E-2</v>
      </c>
      <c r="M7" s="48">
        <v>1.9449917752826826E-2</v>
      </c>
      <c r="N7" s="48">
        <v>2.5945439037214114E-2</v>
      </c>
      <c r="O7" s="48">
        <v>3.2428744954823056E-2</v>
      </c>
      <c r="P7" s="48">
        <v>3.8912050872431998E-2</v>
      </c>
    </row>
    <row r="8" spans="1:17">
      <c r="A8" s="191"/>
      <c r="B8" s="47">
        <v>4</v>
      </c>
      <c r="C8" s="48">
        <v>9.8131385553446235E-3</v>
      </c>
      <c r="D8" s="48">
        <v>1.9626277110689247E-2</v>
      </c>
      <c r="E8" s="48">
        <v>2.943941566603387E-2</v>
      </c>
      <c r="F8" s="48">
        <v>3.9261715746462256E-2</v>
      </c>
      <c r="G8" s="48">
        <v>4.9074854301806886E-2</v>
      </c>
      <c r="H8" s="48">
        <v>5.8906315907319033E-2</v>
      </c>
      <c r="I8" s="263"/>
      <c r="J8" s="47">
        <v>4</v>
      </c>
      <c r="K8" s="48">
        <v>9.9230768563497683E-3</v>
      </c>
      <c r="L8" s="48">
        <v>1.9855315237783298E-2</v>
      </c>
      <c r="M8" s="48">
        <v>2.9787553619216828E-2</v>
      </c>
      <c r="N8" s="48">
        <v>3.9738115050817882E-2</v>
      </c>
      <c r="O8" s="48">
        <v>4.9670353432251416E-2</v>
      </c>
      <c r="P8" s="48">
        <v>5.9602591813684949E-2</v>
      </c>
    </row>
    <row r="9" spans="1:17">
      <c r="A9" s="191"/>
      <c r="B9" s="47">
        <v>5</v>
      </c>
      <c r="C9" s="48">
        <v>1.3276882151387961E-2</v>
      </c>
      <c r="D9" s="48">
        <v>2.656109352284293E-2</v>
      </c>
      <c r="E9" s="48">
        <v>3.9845304894297905E-2</v>
      </c>
      <c r="F9" s="48">
        <v>5.3144174705886886E-2</v>
      </c>
      <c r="G9" s="48">
        <v>6.6428386077341861E-2</v>
      </c>
      <c r="H9" s="48">
        <v>7.9734585108997863E-2</v>
      </c>
      <c r="I9" s="263"/>
      <c r="J9" s="47">
        <v>5</v>
      </c>
      <c r="K9" s="48">
        <v>1.351141719353227E-2</v>
      </c>
      <c r="L9" s="48">
        <v>2.7037492827198552E-2</v>
      </c>
      <c r="M9" s="48">
        <v>4.0563568460864848E-2</v>
      </c>
      <c r="N9" s="48">
        <v>5.4111631754732159E-2</v>
      </c>
      <c r="O9" s="48">
        <v>6.7645036608465464E-2</v>
      </c>
      <c r="P9" s="48">
        <v>8.1171112242131749E-2</v>
      </c>
    </row>
    <row r="10" spans="1:17">
      <c r="A10" s="191"/>
      <c r="B10" s="47">
        <v>6</v>
      </c>
      <c r="C10" s="48">
        <v>1.6844227326920175E-2</v>
      </c>
      <c r="D10" s="48">
        <v>3.3706777704007866E-2</v>
      </c>
      <c r="E10" s="48">
        <v>5.0569328081095564E-2</v>
      </c>
      <c r="F10" s="48">
        <v>6.7444093824961623E-2</v>
      </c>
      <c r="G10" s="48">
        <v>8.4306644202049308E-2</v>
      </c>
      <c r="H10" s="48">
        <v>0.10119362531269371</v>
      </c>
      <c r="I10" s="263"/>
      <c r="J10" s="47">
        <v>6</v>
      </c>
      <c r="K10" s="48">
        <v>1.7253442113994877E-2</v>
      </c>
      <c r="L10" s="48">
        <v>3.452520727815727E-2</v>
      </c>
      <c r="M10" s="48">
        <v>5.1796972442319685E-2</v>
      </c>
      <c r="N10" s="48">
        <v>6.9099276023427955E-2</v>
      </c>
      <c r="O10" s="48">
        <v>8.6383256554368709E-2</v>
      </c>
      <c r="P10" s="48">
        <v>0.10366112940192029</v>
      </c>
    </row>
    <row r="11" spans="1:17">
      <c r="A11" s="191"/>
      <c r="B11" s="47">
        <v>7</v>
      </c>
      <c r="C11" s="48">
        <v>2.0517889819733945E-2</v>
      </c>
      <c r="D11" s="48">
        <v>4.107242573980293E-2</v>
      </c>
      <c r="E11" s="48">
        <v>6.1621726502681204E-2</v>
      </c>
      <c r="F11" s="48">
        <v>8.2181497579940921E-2</v>
      </c>
      <c r="G11" s="48">
        <v>0.10273079834281917</v>
      </c>
      <c r="H11" s="48">
        <v>0.12330627489165107</v>
      </c>
      <c r="I11" s="263"/>
      <c r="J11" s="47">
        <v>7</v>
      </c>
      <c r="K11" s="48">
        <v>2.1156578997001928E-2</v>
      </c>
      <c r="L11" s="48">
        <v>4.2334098622766728E-2</v>
      </c>
      <c r="M11" s="48">
        <v>6.3511618248531548E-2</v>
      </c>
      <c r="N11" s="48">
        <v>8.4731019131822127E-2</v>
      </c>
      <c r="O11" s="48">
        <v>0.1059242442291591</v>
      </c>
      <c r="P11" s="48">
        <v>0.12711223416930537</v>
      </c>
    </row>
    <row r="12" spans="1:17">
      <c r="A12" s="191"/>
      <c r="B12" s="47">
        <v>8</v>
      </c>
      <c r="C12" s="48">
        <v>2.4303808261267514E-2</v>
      </c>
      <c r="D12" s="48">
        <v>4.8662585673037585E-2</v>
      </c>
      <c r="E12" s="48">
        <v>7.3012201559723919E-2</v>
      </c>
      <c r="F12" s="48">
        <v>9.7366398208952112E-2</v>
      </c>
      <c r="G12" s="48">
        <v>0.12171601409563843</v>
      </c>
      <c r="H12" s="48">
        <v>0.14609311455757604</v>
      </c>
      <c r="I12" s="263"/>
      <c r="J12" s="47">
        <v>8</v>
      </c>
      <c r="K12" s="48">
        <v>2.5229122294727471E-2</v>
      </c>
      <c r="L12" s="48">
        <v>5.0481148402164347E-2</v>
      </c>
      <c r="M12" s="48">
        <v>7.5733174509601237E-2</v>
      </c>
      <c r="N12" s="48">
        <v>0.10103558900499882</v>
      </c>
      <c r="O12" s="48">
        <v>0.12630593816260322</v>
      </c>
      <c r="P12" s="48">
        <v>0.15157170655766575</v>
      </c>
    </row>
    <row r="13" spans="1:17">
      <c r="A13" s="191"/>
      <c r="B13" s="47">
        <v>9</v>
      </c>
      <c r="C13" s="48">
        <v>2.8205281891208758E-2</v>
      </c>
      <c r="D13" s="48">
        <v>5.6483855983087604E-2</v>
      </c>
      <c r="E13" s="48">
        <v>8.475021470818811E-2</v>
      </c>
      <c r="F13" s="48">
        <v>0.11301657343328862</v>
      </c>
      <c r="G13" s="48">
        <v>0.14128293215838911</v>
      </c>
      <c r="H13" s="48">
        <v>0.16957779340597245</v>
      </c>
      <c r="I13" s="263"/>
      <c r="J13" s="47">
        <v>9</v>
      </c>
      <c r="K13" s="48">
        <v>2.9475680036157088E-2</v>
      </c>
      <c r="L13" s="48">
        <v>5.8979862594796997E-2</v>
      </c>
      <c r="M13" s="48">
        <v>8.8484045153436899E-2</v>
      </c>
      <c r="N13" s="48">
        <v>0.11804523275704244</v>
      </c>
      <c r="O13" s="48">
        <v>0.14756977426031292</v>
      </c>
      <c r="P13" s="48">
        <v>0.17709024397465731</v>
      </c>
    </row>
    <row r="14" spans="1:17">
      <c r="A14" s="191"/>
      <c r="B14" s="47">
        <v>10</v>
      </c>
      <c r="C14" s="48">
        <v>3.2227954863403949E-2</v>
      </c>
      <c r="D14" s="48">
        <v>6.4543860367612005E-2</v>
      </c>
      <c r="E14" s="48">
        <v>9.6848772041719558E-2</v>
      </c>
      <c r="F14" s="48">
        <v>0.1291500191057936</v>
      </c>
      <c r="G14" s="48">
        <v>0.16145126616986763</v>
      </c>
      <c r="H14" s="48">
        <v>0.19378549472424322</v>
      </c>
      <c r="I14" s="263"/>
      <c r="J14" s="47">
        <v>10</v>
      </c>
      <c r="K14" s="48">
        <v>3.3906346258749151E-2</v>
      </c>
      <c r="L14" s="48">
        <v>6.7849338617833349E-2</v>
      </c>
      <c r="M14" s="48">
        <v>0.10178866636688404</v>
      </c>
      <c r="N14" s="48">
        <v>0.13579395709653783</v>
      </c>
      <c r="O14" s="48">
        <v>0.16975893711582307</v>
      </c>
      <c r="P14" s="48">
        <v>0.2037165879150413</v>
      </c>
    </row>
    <row r="15" spans="1:17">
      <c r="A15" s="191"/>
      <c r="B15" s="47">
        <v>11</v>
      </c>
      <c r="C15" s="48">
        <v>3.6375418912118859E-2</v>
      </c>
      <c r="D15" s="48">
        <v>7.2854113197909201E-2</v>
      </c>
      <c r="E15" s="48">
        <v>0.10931948162903228</v>
      </c>
      <c r="F15" s="48">
        <v>0.1457815185964885</v>
      </c>
      <c r="G15" s="48">
        <v>0.18224355556394475</v>
      </c>
      <c r="H15" s="48">
        <v>0.21873890716806924</v>
      </c>
      <c r="I15" s="263"/>
      <c r="J15" s="47">
        <v>11</v>
      </c>
      <c r="K15" s="48">
        <v>3.853087590455305E-2</v>
      </c>
      <c r="L15" s="48">
        <v>7.7105060836774805E-2</v>
      </c>
      <c r="M15" s="48">
        <v>0.11567258284166289</v>
      </c>
      <c r="N15" s="48">
        <v>0.15431672851088793</v>
      </c>
      <c r="O15" s="48">
        <v>0.19291756515244424</v>
      </c>
      <c r="P15" s="48">
        <v>0.23150507593933331</v>
      </c>
    </row>
    <row r="16" spans="1:17">
      <c r="A16" s="191"/>
      <c r="B16" s="47">
        <v>12</v>
      </c>
      <c r="C16" s="48">
        <v>4.0650068526864036E-2</v>
      </c>
      <c r="D16" s="48">
        <v>8.1422290721511539E-2</v>
      </c>
      <c r="E16" s="48">
        <v>0.12217618986599156</v>
      </c>
      <c r="F16" s="48">
        <v>0.16292703516877696</v>
      </c>
      <c r="G16" s="48">
        <v>0.20367788047156235</v>
      </c>
      <c r="H16" s="48">
        <v>0.24446537187468287</v>
      </c>
      <c r="I16" s="263"/>
      <c r="J16" s="47">
        <v>12</v>
      </c>
      <c r="K16" s="48">
        <v>4.3358826109963007E-2</v>
      </c>
      <c r="L16" s="48">
        <v>8.6766513687039429E-2</v>
      </c>
      <c r="M16" s="48">
        <v>0.13016503973903204</v>
      </c>
      <c r="N16" s="48">
        <v>0.17365212720016776</v>
      </c>
      <c r="O16" s="48">
        <v>0.21709035319419001</v>
      </c>
      <c r="P16" s="48">
        <v>0.26051025613804474</v>
      </c>
    </row>
    <row r="17" spans="1:16">
      <c r="A17" s="191"/>
      <c r="B17" s="47">
        <v>13</v>
      </c>
      <c r="C17" s="48">
        <v>4.505919929273676E-2</v>
      </c>
      <c r="D17" s="48">
        <v>9.0256526194428671E-2</v>
      </c>
      <c r="E17" s="48">
        <v>0.13543130164976058</v>
      </c>
      <c r="F17" s="48">
        <v>0.18060607710509249</v>
      </c>
      <c r="G17" s="48">
        <v>0.22577803362962937</v>
      </c>
      <c r="H17" s="48">
        <v>0.27098945518529638</v>
      </c>
      <c r="I17" s="263"/>
      <c r="J17" s="47">
        <v>13</v>
      </c>
      <c r="K17" s="48">
        <v>4.8399632284816148E-2</v>
      </c>
      <c r="L17" s="48">
        <v>9.6852824254737374E-2</v>
      </c>
      <c r="M17" s="48">
        <v>0.14529474050147853</v>
      </c>
      <c r="N17" s="48">
        <v>0.1938381382568399</v>
      </c>
      <c r="O17" s="48">
        <v>0.24232797632709616</v>
      </c>
      <c r="P17" s="48">
        <v>0.29079244402019738</v>
      </c>
    </row>
    <row r="18" spans="1:16">
      <c r="A18" s="191"/>
      <c r="B18" s="47">
        <v>14</v>
      </c>
      <c r="C18" s="48">
        <v>4.9605404763354025E-2</v>
      </c>
      <c r="D18" s="48">
        <v>9.9365246663834297E-2</v>
      </c>
      <c r="E18" s="48">
        <v>0.14909891277836099</v>
      </c>
      <c r="F18" s="48">
        <v>0.19883519647148307</v>
      </c>
      <c r="G18" s="48">
        <v>0.24856624500741434</v>
      </c>
      <c r="H18" s="48">
        <v>0.29833917480087147</v>
      </c>
      <c r="I18" s="263"/>
      <c r="J18" s="47">
        <v>14</v>
      </c>
      <c r="K18" s="48">
        <v>5.3662651586162936E-2</v>
      </c>
      <c r="L18" s="48">
        <v>0.10738550748001917</v>
      </c>
      <c r="M18" s="48">
        <v>0.16109527548089855</v>
      </c>
      <c r="N18" s="48">
        <v>0.2149175993613785</v>
      </c>
      <c r="O18" s="48">
        <v>0.26868233651276047</v>
      </c>
      <c r="P18" s="48">
        <v>0.32241304514240277</v>
      </c>
    </row>
    <row r="19" spans="1:16">
      <c r="A19" s="191"/>
      <c r="B19" s="47">
        <v>15</v>
      </c>
      <c r="C19" s="48">
        <v>5.4293029951390646E-2</v>
      </c>
      <c r="D19" s="48">
        <v>0.10875951811103383</v>
      </c>
      <c r="E19" s="48">
        <v>0.16319424631705334</v>
      </c>
      <c r="F19" s="48">
        <v>0.21763386066978416</v>
      </c>
      <c r="G19" s="48">
        <v>0.27206614580244798</v>
      </c>
      <c r="H19" s="48">
        <v>0.32654484932886957</v>
      </c>
      <c r="I19" s="263"/>
      <c r="J19" s="47">
        <v>15</v>
      </c>
      <c r="K19" s="48">
        <v>5.9159632075885052E-2</v>
      </c>
      <c r="L19" s="48">
        <v>0.11838522713237319</v>
      </c>
      <c r="M19" s="48">
        <v>0.17759860682208295</v>
      </c>
      <c r="N19" s="48">
        <v>0.23693414017957626</v>
      </c>
      <c r="O19" s="48">
        <v>0.29620615362982211</v>
      </c>
      <c r="P19" s="48">
        <v>0.35543907790637724</v>
      </c>
    </row>
    <row r="20" spans="1:16">
      <c r="A20" s="191"/>
      <c r="B20" s="47">
        <v>16</v>
      </c>
      <c r="C20" s="48">
        <v>5.9127623997623655E-2</v>
      </c>
      <c r="D20" s="48">
        <v>0.11844764002200626</v>
      </c>
      <c r="E20" s="48">
        <v>0.1777310099460539</v>
      </c>
      <c r="F20" s="48">
        <v>0.2370212510139143</v>
      </c>
      <c r="G20" s="48">
        <v>0.29630233055669097</v>
      </c>
      <c r="H20" s="48">
        <v>0.3556360888686993</v>
      </c>
      <c r="I20" s="263"/>
      <c r="J20" s="47">
        <v>16</v>
      </c>
      <c r="K20" s="48">
        <v>6.4901675181664675E-2</v>
      </c>
      <c r="L20" s="48">
        <v>0.12987664256399947</v>
      </c>
      <c r="M20" s="48">
        <v>0.19483786765870859</v>
      </c>
      <c r="N20" s="48">
        <v>0.25993193486713229</v>
      </c>
      <c r="O20" s="48">
        <v>0.32495729063742773</v>
      </c>
      <c r="P20" s="48">
        <v>0.38993912916357532</v>
      </c>
    </row>
    <row r="21" spans="1:16">
      <c r="A21" s="191"/>
      <c r="B21" s="47">
        <v>17</v>
      </c>
      <c r="C21" s="48">
        <v>6.4115586015608142E-2</v>
      </c>
      <c r="D21" s="48">
        <v>0.12844027036842212</v>
      </c>
      <c r="E21" s="48">
        <v>0.19272615296794018</v>
      </c>
      <c r="F21" s="48">
        <v>0.2570185025263409</v>
      </c>
      <c r="G21" s="48">
        <v>0.32130222947289805</v>
      </c>
      <c r="H21" s="48">
        <v>0.38564200339643828</v>
      </c>
      <c r="I21" s="263"/>
      <c r="J21" s="47">
        <v>17</v>
      </c>
      <c r="K21" s="48">
        <v>7.0901581536474703E-2</v>
      </c>
      <c r="L21" s="48">
        <v>0.14188292223250218</v>
      </c>
      <c r="M21" s="48">
        <v>0.21284917335780343</v>
      </c>
      <c r="N21" s="48">
        <v>0.28395985323148404</v>
      </c>
      <c r="O21" s="48">
        <v>0.35499508525153356</v>
      </c>
      <c r="P21" s="48">
        <v>0.42598504855940461</v>
      </c>
    </row>
    <row r="22" spans="1:16">
      <c r="A22" s="191"/>
      <c r="B22" s="47">
        <v>18</v>
      </c>
      <c r="C22" s="48">
        <v>6.9261893093664734E-2</v>
      </c>
      <c r="D22" s="48">
        <v>0.13874773457826581</v>
      </c>
      <c r="E22" s="48">
        <v>0.20819489406806888</v>
      </c>
      <c r="F22" s="48">
        <v>0.27764816124126107</v>
      </c>
      <c r="G22" s="48">
        <v>0.34709124894213794</v>
      </c>
      <c r="H22" s="48">
        <v>0.41659541347690665</v>
      </c>
      <c r="I22" s="263"/>
      <c r="J22" s="47">
        <v>18</v>
      </c>
      <c r="K22" s="48">
        <v>7.7171343082645949E-2</v>
      </c>
      <c r="L22" s="48">
        <v>0.15442819373274036</v>
      </c>
      <c r="M22" s="48">
        <v>0.23167079312159336</v>
      </c>
      <c r="N22" s="48">
        <v>0.30906812048963878</v>
      </c>
      <c r="O22" s="48">
        <v>0.38638401207916184</v>
      </c>
      <c r="P22" s="48">
        <v>0.46365307809603457</v>
      </c>
    </row>
    <row r="23" spans="1:16">
      <c r="A23" s="191"/>
      <c r="B23" s="47">
        <v>19</v>
      </c>
      <c r="C23" s="48">
        <v>7.4570474512046556E-2</v>
      </c>
      <c r="D23" s="48">
        <v>0.14938204178945522</v>
      </c>
      <c r="E23" s="48">
        <v>0.22415310548228312</v>
      </c>
      <c r="F23" s="48">
        <v>0.29893188414360261</v>
      </c>
      <c r="G23" s="48">
        <v>0.37369716161006172</v>
      </c>
      <c r="H23" s="48">
        <v>0.44852801630869943</v>
      </c>
      <c r="I23" s="263"/>
      <c r="J23" s="47">
        <v>19</v>
      </c>
      <c r="K23" s="48">
        <v>8.3724284627317E-2</v>
      </c>
      <c r="L23" s="48">
        <v>0.16753922013441019</v>
      </c>
      <c r="M23" s="48">
        <v>0.25134258318876601</v>
      </c>
      <c r="N23" s="48">
        <v>0.33530988932356803</v>
      </c>
      <c r="O23" s="48">
        <v>0.41919040206283975</v>
      </c>
      <c r="P23" s="48">
        <v>0.50302269624903895</v>
      </c>
    </row>
    <row r="24" spans="1:16">
      <c r="A24" s="191"/>
      <c r="B24" s="47">
        <v>20</v>
      </c>
      <c r="C24" s="48">
        <v>8.0048138304989608E-2</v>
      </c>
      <c r="D24" s="48">
        <v>0.16035463161734129</v>
      </c>
      <c r="E24" s="48">
        <v>0.24061898191430767</v>
      </c>
      <c r="F24" s="48">
        <v>0.32089249373635781</v>
      </c>
      <c r="G24" s="48">
        <v>0.40114768250824046</v>
      </c>
      <c r="H24" s="48">
        <v>0.48147433117577643</v>
      </c>
      <c r="I24" s="263"/>
      <c r="J24" s="47">
        <v>20</v>
      </c>
      <c r="K24" s="48">
        <v>9.0574730626232183E-2</v>
      </c>
      <c r="L24" s="48">
        <v>0.18124474111333555</v>
      </c>
      <c r="M24" s="48">
        <v>0.27190559007535509</v>
      </c>
      <c r="N24" s="48">
        <v>0.36274050801396618</v>
      </c>
      <c r="O24" s="48">
        <v>0.45348381070173954</v>
      </c>
      <c r="P24" s="48">
        <v>0.54417764115406053</v>
      </c>
    </row>
    <row r="25" spans="1:16">
      <c r="A25" s="191"/>
      <c r="B25" s="47">
        <v>21</v>
      </c>
      <c r="C25" s="48">
        <v>8.5700395738304E-2</v>
      </c>
      <c r="D25" s="48">
        <v>0.17167650975531931</v>
      </c>
      <c r="E25" s="48">
        <v>0.25760899746241195</v>
      </c>
      <c r="F25" s="48">
        <v>0.34355195548388601</v>
      </c>
      <c r="G25" s="48">
        <v>0.42947222782420036</v>
      </c>
      <c r="H25" s="48">
        <v>0.5154710275223755</v>
      </c>
      <c r="I25" s="263"/>
      <c r="J25" s="47">
        <v>21</v>
      </c>
      <c r="K25" s="48">
        <v>9.7736022119771976E-2</v>
      </c>
      <c r="L25" s="48">
        <v>0.19557500233096151</v>
      </c>
      <c r="M25" s="48">
        <v>0.29340525728016642</v>
      </c>
      <c r="N25" s="48">
        <v>0.39142048778344357</v>
      </c>
      <c r="O25" s="48">
        <v>0.48933799535249384</v>
      </c>
      <c r="P25" s="48">
        <v>0.58720664145443069</v>
      </c>
    </row>
    <row r="26" spans="1:16">
      <c r="A26" s="191"/>
      <c r="B26" s="47">
        <v>22</v>
      </c>
      <c r="C26" s="48">
        <v>9.124358442229058E-2</v>
      </c>
      <c r="D26" s="48">
        <v>0.18278241981205329</v>
      </c>
      <c r="E26" s="48">
        <v>0.27427523935991799</v>
      </c>
      <c r="F26" s="48">
        <v>0.36577971903061662</v>
      </c>
      <c r="G26" s="48">
        <v>0.45725754699198073</v>
      </c>
      <c r="H26" s="48">
        <v>0.54882199300868206</v>
      </c>
      <c r="I26" s="263"/>
      <c r="J26" s="47">
        <v>22</v>
      </c>
      <c r="K26" s="48">
        <v>0.1049342343610979</v>
      </c>
      <c r="L26" s="48">
        <v>0.20998215491982616</v>
      </c>
      <c r="M26" s="48">
        <v>0.31502070573699142</v>
      </c>
      <c r="N26" s="48">
        <v>0.42025581291049924</v>
      </c>
      <c r="O26" s="48">
        <v>0.52538597897850214</v>
      </c>
      <c r="P26" s="48">
        <v>0.63046950455516948</v>
      </c>
    </row>
    <row r="27" spans="1:16">
      <c r="A27" s="191"/>
      <c r="B27" s="47">
        <v>23</v>
      </c>
      <c r="C27" s="48">
        <v>9.6698303950398176E-2</v>
      </c>
      <c r="D27" s="48">
        <v>0.19371128637106472</v>
      </c>
      <c r="E27" s="48">
        <v>0.29067607120324712</v>
      </c>
      <c r="F27" s="48">
        <v>0.38765360250511127</v>
      </c>
      <c r="G27" s="48">
        <v>0.4846008609414813</v>
      </c>
      <c r="H27" s="48">
        <v>0.58164212459175413</v>
      </c>
      <c r="I27" s="263"/>
      <c r="J27" s="47">
        <v>23</v>
      </c>
      <c r="K27" s="48">
        <v>0.11219004453986225</v>
      </c>
      <c r="L27" s="48">
        <v>0.22450516381347677</v>
      </c>
      <c r="M27" s="48">
        <v>0.33681191821636264</v>
      </c>
      <c r="N27" s="48">
        <v>0.44932261613415653</v>
      </c>
      <c r="O27" s="48">
        <v>0.56172496905965552</v>
      </c>
      <c r="P27" s="48">
        <v>0.67408111603255805</v>
      </c>
    </row>
    <row r="28" spans="1:16">
      <c r="A28" s="191"/>
      <c r="B28" s="47">
        <v>24</v>
      </c>
      <c r="C28" s="48">
        <v>0.10208019372965359</v>
      </c>
      <c r="D28" s="48">
        <v>0.20449440139465266</v>
      </c>
      <c r="E28" s="48">
        <v>0.30685993845764425</v>
      </c>
      <c r="F28" s="48">
        <v>0.40923616396656687</v>
      </c>
      <c r="G28" s="48">
        <v>0.5115803241376965</v>
      </c>
      <c r="H28" s="48">
        <v>0.61402678800559451</v>
      </c>
      <c r="I28" s="263"/>
      <c r="J28" s="47">
        <v>24</v>
      </c>
      <c r="K28" s="48">
        <v>0.11952068364744194</v>
      </c>
      <c r="L28" s="48">
        <v>0.23917688152008124</v>
      </c>
      <c r="M28" s="48">
        <v>0.35882716257443725</v>
      </c>
      <c r="N28" s="48">
        <v>0.47868815870571974</v>
      </c>
      <c r="O28" s="48">
        <v>0.59843616269430255</v>
      </c>
      <c r="P28" s="48">
        <v>0.71813988597831369</v>
      </c>
    </row>
    <row r="29" spans="1:16">
      <c r="A29" s="191"/>
      <c r="B29" s="47">
        <v>25</v>
      </c>
      <c r="C29" s="48">
        <v>0.10740239086195923</v>
      </c>
      <c r="D29" s="48">
        <v>0.21515805013114833</v>
      </c>
      <c r="E29" s="48">
        <v>0.32286460362588842</v>
      </c>
      <c r="F29" s="48">
        <v>0.43057848634069557</v>
      </c>
      <c r="G29" s="48">
        <v>0.53826012048720795</v>
      </c>
      <c r="H29" s="48">
        <v>0.64605022709071203</v>
      </c>
      <c r="I29" s="263"/>
      <c r="J29" s="47">
        <v>25</v>
      </c>
      <c r="K29" s="48">
        <v>0.12693915987258012</v>
      </c>
      <c r="L29" s="48">
        <v>0.25402636999051387</v>
      </c>
      <c r="M29" s="48">
        <v>0.38110844965440072</v>
      </c>
      <c r="N29" s="48">
        <v>0.50840894007628445</v>
      </c>
      <c r="O29" s="48">
        <v>0.63559069713308258</v>
      </c>
      <c r="P29" s="48">
        <v>0.76272994471349198</v>
      </c>
    </row>
    <row r="30" spans="1:16">
      <c r="A30" s="191"/>
      <c r="B30" s="47">
        <v>26</v>
      </c>
      <c r="C30" s="48">
        <v>0.11267601135661723</v>
      </c>
      <c r="D30" s="48">
        <v>0.22572306447912679</v>
      </c>
      <c r="E30" s="48">
        <v>0.33872061012954913</v>
      </c>
      <c r="F30" s="48">
        <v>0.45172379364156151</v>
      </c>
      <c r="G30" s="48">
        <v>0.56469314998403375</v>
      </c>
      <c r="H30" s="48">
        <v>0.67777667302370381</v>
      </c>
      <c r="I30" s="263"/>
      <c r="J30" s="47">
        <v>26</v>
      </c>
      <c r="K30" s="48">
        <v>0.13445788960961086</v>
      </c>
      <c r="L30" s="48">
        <v>0.26907822010628385</v>
      </c>
      <c r="M30" s="48">
        <v>0.40369273655819216</v>
      </c>
      <c r="N30" s="48">
        <v>0.53853276747370071</v>
      </c>
      <c r="O30" s="48">
        <v>0.67325017489962657</v>
      </c>
      <c r="P30" s="48">
        <v>0.80792529836362736</v>
      </c>
    </row>
    <row r="31" spans="1:16">
      <c r="A31" s="191"/>
      <c r="B31" s="47">
        <v>27</v>
      </c>
      <c r="C31" s="48">
        <v>0.11790916714376139</v>
      </c>
      <c r="D31" s="48">
        <v>0.23620583286699151</v>
      </c>
      <c r="E31" s="48">
        <v>0.35445261917587667</v>
      </c>
      <c r="F31" s="48">
        <v>0.47270483453666345</v>
      </c>
      <c r="G31" s="48">
        <v>0.59092040379711508</v>
      </c>
      <c r="H31" s="48">
        <v>0.70925676946237493</v>
      </c>
      <c r="I31" s="263"/>
      <c r="J31" s="47">
        <v>27</v>
      </c>
      <c r="K31" s="48">
        <v>0.14208744978704094</v>
      </c>
      <c r="L31" s="48">
        <v>0.28435337965534335</v>
      </c>
      <c r="M31" s="48">
        <v>0.4266115052615374</v>
      </c>
      <c r="N31" s="48">
        <v>0.56910172283652005</v>
      </c>
      <c r="O31" s="48">
        <v>0.71146707221776839</v>
      </c>
      <c r="P31" s="48">
        <v>0.8537903464467802</v>
      </c>
    </row>
    <row r="32" spans="1:16">
      <c r="A32" s="191"/>
      <c r="B32" s="47">
        <v>28</v>
      </c>
      <c r="C32" s="48">
        <v>0.12310881130636356</v>
      </c>
      <c r="D32" s="48">
        <v>0.24662040251908821</v>
      </c>
      <c r="E32" s="48">
        <v>0.37008176894251438</v>
      </c>
      <c r="F32" s="48">
        <v>0.49354967931242899</v>
      </c>
      <c r="G32" s="48">
        <v>0.61697701721411535</v>
      </c>
      <c r="H32" s="48">
        <v>0.74053261646697466</v>
      </c>
      <c r="I32" s="263"/>
      <c r="J32" s="47">
        <v>28</v>
      </c>
      <c r="K32" s="48">
        <v>0.14983690634359045</v>
      </c>
      <c r="L32" s="48">
        <v>0.29986980388450857</v>
      </c>
      <c r="M32" s="48">
        <v>0.44989174031505869</v>
      </c>
      <c r="N32" s="48">
        <v>0.60015449397638188</v>
      </c>
      <c r="O32" s="48">
        <v>0.75028898628653229</v>
      </c>
      <c r="P32" s="48">
        <v>0.90038159733915712</v>
      </c>
    </row>
    <row r="33" spans="1:16">
      <c r="A33" s="191"/>
      <c r="B33" s="47">
        <v>29</v>
      </c>
      <c r="C33" s="48">
        <v>0.12827967422283618</v>
      </c>
      <c r="D33" s="48">
        <v>0.25697761945294478</v>
      </c>
      <c r="E33" s="48">
        <v>0.38562501833776364</v>
      </c>
      <c r="F33" s="48">
        <v>0.51427999917437606</v>
      </c>
      <c r="G33" s="48">
        <v>0.64289075195885981</v>
      </c>
      <c r="H33" s="48">
        <v>0.7716367162169937</v>
      </c>
      <c r="I33" s="263"/>
      <c r="J33" s="47">
        <v>29</v>
      </c>
      <c r="K33" s="48">
        <v>0.15771533840230556</v>
      </c>
      <c r="L33" s="48">
        <v>0.31564423511346024</v>
      </c>
      <c r="M33" s="48">
        <v>0.47355923157966029</v>
      </c>
      <c r="N33" s="48">
        <v>0.63172316879641199</v>
      </c>
      <c r="O33" s="48">
        <v>0.78975568551541042</v>
      </c>
      <c r="P33" s="48">
        <v>0.9477465014995452</v>
      </c>
    </row>
    <row r="34" spans="1:16">
      <c r="A34" s="191"/>
      <c r="B34" s="47">
        <v>30</v>
      </c>
      <c r="C34" s="48">
        <v>0.13342585555447009</v>
      </c>
      <c r="D34" s="48">
        <v>0.26728688355041885</v>
      </c>
      <c r="E34" s="48">
        <v>0.40109584354547484</v>
      </c>
      <c r="F34" s="48">
        <v>0.5349121327605979</v>
      </c>
      <c r="G34" s="48">
        <v>0.66868322511864098</v>
      </c>
      <c r="H34" s="48">
        <v>0.8025947941946352</v>
      </c>
      <c r="I34" s="263"/>
      <c r="J34" s="47">
        <v>30</v>
      </c>
      <c r="K34" s="48">
        <v>0.16572939299981501</v>
      </c>
      <c r="L34" s="48">
        <v>0.33168996181591037</v>
      </c>
      <c r="M34" s="48">
        <v>0.49763510873144806</v>
      </c>
      <c r="N34" s="48">
        <v>0.66383677834933097</v>
      </c>
      <c r="O34" s="48">
        <v>0.82990285739597414</v>
      </c>
      <c r="P34" s="48">
        <v>0.99592862573224905</v>
      </c>
    </row>
    <row r="35" spans="1:16">
      <c r="A35" s="191"/>
      <c r="B35" s="47">
        <v>31</v>
      </c>
      <c r="C35" s="48">
        <v>0.13855092597400234</v>
      </c>
      <c r="D35" s="48">
        <v>0.27755401754084841</v>
      </c>
      <c r="E35" s="48">
        <v>0.41650361762252786</v>
      </c>
      <c r="F35" s="48">
        <v>0.55546031049782074</v>
      </c>
      <c r="G35" s="48">
        <v>0.69436971808235859</v>
      </c>
      <c r="H35" s="48">
        <v>0.83342689220050559</v>
      </c>
      <c r="I35" s="263"/>
      <c r="J35" s="47">
        <v>31</v>
      </c>
      <c r="K35" s="48">
        <v>0.17388485949060198</v>
      </c>
      <c r="L35" s="48">
        <v>0.34801973995607055</v>
      </c>
      <c r="M35" s="48">
        <v>0.52213777503670777</v>
      </c>
      <c r="N35" s="48">
        <v>0.69651942561330338</v>
      </c>
      <c r="O35" s="48">
        <v>0.87076158458217201</v>
      </c>
      <c r="P35" s="48">
        <v>1.044964733186168</v>
      </c>
    </row>
    <row r="36" spans="1:16">
      <c r="A36" s="191"/>
      <c r="B36" s="47">
        <v>32</v>
      </c>
      <c r="C36" s="48">
        <v>0.14365800982007795</v>
      </c>
      <c r="D36" s="48">
        <v>0.28778297112176887</v>
      </c>
      <c r="E36" s="48">
        <v>0.43185539680305751</v>
      </c>
      <c r="F36" s="48">
        <v>0.57593354843752387</v>
      </c>
      <c r="G36" s="48">
        <v>0.71996245687466454</v>
      </c>
      <c r="H36" s="48">
        <v>0.86414596604759397</v>
      </c>
      <c r="I36" s="263"/>
      <c r="J36" s="47">
        <v>32</v>
      </c>
      <c r="K36" s="48">
        <v>0.18218680355983921</v>
      </c>
      <c r="L36" s="48">
        <v>0.36464473100262607</v>
      </c>
      <c r="M36" s="48">
        <v>0.54708333335343939</v>
      </c>
      <c r="N36" s="48">
        <v>0.72979220069422357</v>
      </c>
      <c r="O36" s="48">
        <v>0.9123590643962094</v>
      </c>
      <c r="P36" s="48">
        <v>1.0948869916165895</v>
      </c>
    </row>
    <row r="37" spans="1:16">
      <c r="A37" s="191"/>
      <c r="B37" s="47">
        <v>33</v>
      </c>
      <c r="C37" s="48">
        <v>0.14874763174784955</v>
      </c>
      <c r="D37" s="48">
        <v>0.29797721523949938</v>
      </c>
      <c r="E37" s="48">
        <v>0.44715516104431341</v>
      </c>
      <c r="F37" s="48">
        <v>0.59633754880068346</v>
      </c>
      <c r="G37" s="48">
        <v>0.74546885411416186</v>
      </c>
      <c r="H37" s="48">
        <v>0.89476118017153705</v>
      </c>
      <c r="I37" s="263"/>
      <c r="J37" s="47">
        <v>33</v>
      </c>
      <c r="K37" s="48">
        <v>0.19064078735814322</v>
      </c>
      <c r="L37" s="48">
        <v>0.38157363303107794</v>
      </c>
      <c r="M37" s="48">
        <v>0.5724859346780673</v>
      </c>
      <c r="N37" s="48">
        <v>0.76367363732151394</v>
      </c>
      <c r="O37" s="48">
        <v>0.95471697653939813</v>
      </c>
      <c r="P37" s="48">
        <v>1.1457225591690585</v>
      </c>
    </row>
    <row r="38" spans="1:16">
      <c r="A38" s="191"/>
      <c r="B38" s="47">
        <v>34</v>
      </c>
      <c r="C38" s="48">
        <v>0.15382133251481453</v>
      </c>
      <c r="D38" s="48">
        <v>0.30813873466725272</v>
      </c>
      <c r="E38" s="48">
        <v>0.46240534424680002</v>
      </c>
      <c r="F38" s="48">
        <v>0.61667518730578885</v>
      </c>
      <c r="G38" s="48">
        <v>0.77089221686723564</v>
      </c>
      <c r="H38" s="48">
        <v>0.92527738735963183</v>
      </c>
      <c r="I38" s="263"/>
      <c r="J38" s="47">
        <v>34</v>
      </c>
      <c r="K38" s="48">
        <v>0.19925064083898936</v>
      </c>
      <c r="L38" s="48">
        <v>0.39881412081392725</v>
      </c>
      <c r="M38" s="48">
        <v>0.59835483170446579</v>
      </c>
      <c r="N38" s="48">
        <v>0.79817793313288032</v>
      </c>
      <c r="O38" s="48">
        <v>0.99785337233347404</v>
      </c>
      <c r="P38" s="48">
        <v>1.1974932432602132</v>
      </c>
    </row>
    <row r="39" spans="1:16">
      <c r="A39" s="191"/>
      <c r="B39" s="47">
        <v>35</v>
      </c>
      <c r="C39" s="48">
        <v>0.15887838272902283</v>
      </c>
      <c r="D39" s="48">
        <v>0.31826614625270278</v>
      </c>
      <c r="E39" s="48">
        <v>0.47760496105664951</v>
      </c>
      <c r="F39" s="48">
        <v>0.63694586992347269</v>
      </c>
      <c r="G39" s="48">
        <v>0.79623233315551201</v>
      </c>
      <c r="H39" s="48">
        <v>0.95569365063772171</v>
      </c>
      <c r="I39" s="263"/>
      <c r="J39" s="47">
        <v>35</v>
      </c>
      <c r="K39" s="48">
        <v>0.2080187092154461</v>
      </c>
      <c r="L39" s="48">
        <v>0.41637194497537938</v>
      </c>
      <c r="M39" s="48">
        <v>0.62469926670721865</v>
      </c>
      <c r="N39" s="48">
        <v>0.83331661614742381</v>
      </c>
      <c r="O39" s="48">
        <v>1.0417831930605359</v>
      </c>
      <c r="P39" s="48">
        <v>1.2502152179361896</v>
      </c>
    </row>
    <row r="40" spans="1:16">
      <c r="A40" s="191"/>
      <c r="B40" s="47">
        <v>36</v>
      </c>
      <c r="C40" s="48">
        <v>0.16391813404207448</v>
      </c>
      <c r="D40" s="48">
        <v>0.328359238474347</v>
      </c>
      <c r="E40" s="48">
        <v>0.4927531356037575</v>
      </c>
      <c r="F40" s="48">
        <v>0.65714703273316799</v>
      </c>
      <c r="G40" s="48">
        <v>0.82148596071207558</v>
      </c>
      <c r="H40" s="48">
        <v>0.98600506535096422</v>
      </c>
      <c r="I40" s="263"/>
      <c r="J40" s="47">
        <v>36</v>
      </c>
      <c r="K40" s="48">
        <v>0.21694707712135225</v>
      </c>
      <c r="L40" s="48">
        <v>0.43425018128693188</v>
      </c>
      <c r="M40" s="48">
        <v>0.65152541914704842</v>
      </c>
      <c r="N40" s="48">
        <v>0.86909789759877143</v>
      </c>
      <c r="O40" s="48">
        <v>1.0865166660185335</v>
      </c>
      <c r="P40" s="48">
        <v>1.3039018421796549</v>
      </c>
    </row>
    <row r="41" spans="1:16">
      <c r="A41" s="191"/>
      <c r="B41" s="47">
        <v>37</v>
      </c>
      <c r="C41" s="48">
        <v>0.16893901776214423</v>
      </c>
      <c r="D41" s="48">
        <v>0.33841485137243965</v>
      </c>
      <c r="E41" s="48">
        <v>0.50784512496610246</v>
      </c>
      <c r="F41" s="48">
        <v>0.67727341768947691</v>
      </c>
      <c r="G41" s="48">
        <v>0.84664525560963211</v>
      </c>
      <c r="H41" s="48">
        <v>1.0162042857720397</v>
      </c>
      <c r="I41" s="263"/>
      <c r="J41" s="47">
        <v>37</v>
      </c>
      <c r="K41" s="48">
        <v>0.22603661338958184</v>
      </c>
      <c r="L41" s="48">
        <v>0.45245256343938872</v>
      </c>
      <c r="M41" s="48">
        <v>0.67883780999972565</v>
      </c>
      <c r="N41" s="48">
        <v>0.90552712014932912</v>
      </c>
      <c r="O41" s="48">
        <v>1.1320609319812946</v>
      </c>
      <c r="P41" s="48">
        <v>1.3585610690183576</v>
      </c>
    </row>
    <row r="42" spans="1:16">
      <c r="A42" s="191"/>
      <c r="B42" s="47">
        <v>38</v>
      </c>
      <c r="C42" s="48">
        <v>0.17393866595180066</v>
      </c>
      <c r="D42" s="48">
        <v>0.34842919324351529</v>
      </c>
      <c r="E42" s="48">
        <v>0.52287475673448991</v>
      </c>
      <c r="F42" s="48">
        <v>0.69731646274121883</v>
      </c>
      <c r="G42" s="48">
        <v>0.8717012708553219</v>
      </c>
      <c r="H42" s="48">
        <v>1.0462799175527766</v>
      </c>
      <c r="I42" s="263"/>
      <c r="J42" s="47">
        <v>38</v>
      </c>
      <c r="K42" s="48">
        <v>0.23528809539691709</v>
      </c>
      <c r="L42" s="48">
        <v>0.47098050336134661</v>
      </c>
      <c r="M42" s="48">
        <v>0.70663759123565051</v>
      </c>
      <c r="N42" s="48">
        <v>0.9426061709628023</v>
      </c>
      <c r="O42" s="48">
        <v>1.1784175582069381</v>
      </c>
      <c r="P42" s="48">
        <v>1.4141951924639229</v>
      </c>
    </row>
    <row r="43" spans="1:16">
      <c r="A43" s="191"/>
      <c r="B43" s="47">
        <v>39</v>
      </c>
      <c r="C43" s="48">
        <v>0.17891589318258819</v>
      </c>
      <c r="D43" s="48">
        <v>0.35839698198957459</v>
      </c>
      <c r="E43" s="48">
        <v>0.53783555192373644</v>
      </c>
      <c r="F43" s="48">
        <v>0.71726660470911163</v>
      </c>
      <c r="G43" s="48">
        <v>0.89664127887858647</v>
      </c>
      <c r="H43" s="48">
        <v>1.0762170367781052</v>
      </c>
      <c r="I43" s="263"/>
      <c r="J43" s="47">
        <v>39</v>
      </c>
      <c r="K43" s="48">
        <v>0.24470128114558967</v>
      </c>
      <c r="L43" s="48">
        <v>0.48983244923741748</v>
      </c>
      <c r="M43" s="48">
        <v>0.73492391738721563</v>
      </c>
      <c r="N43" s="48">
        <v>0.98033392471684921</v>
      </c>
      <c r="O43" s="48">
        <v>1.225585132278364</v>
      </c>
      <c r="P43" s="48">
        <v>1.470802512670339</v>
      </c>
    </row>
    <row r="44" spans="1:16">
      <c r="A44" s="191"/>
      <c r="B44" s="47">
        <v>40</v>
      </c>
      <c r="C44" s="48">
        <v>0.18386688411137175</v>
      </c>
      <c r="D44" s="48">
        <v>0.36831163141740181</v>
      </c>
      <c r="E44" s="48">
        <v>0.55271709868463526</v>
      </c>
      <c r="F44" s="48">
        <v>0.73711157212176825</v>
      </c>
      <c r="G44" s="48">
        <v>0.92145016025588999</v>
      </c>
      <c r="H44" s="48">
        <v>1.1059967150094134</v>
      </c>
      <c r="I44" s="263"/>
      <c r="J44" s="47">
        <v>40</v>
      </c>
      <c r="K44" s="48">
        <v>0.25427412053259146</v>
      </c>
      <c r="L44" s="48">
        <v>0.50900608828124394</v>
      </c>
      <c r="M44" s="48">
        <v>0.76369327907604945</v>
      </c>
      <c r="N44" s="48">
        <v>1.0187057040113288</v>
      </c>
      <c r="O44" s="48">
        <v>1.2735578022576417</v>
      </c>
      <c r="P44" s="48">
        <v>1.528375086708637</v>
      </c>
    </row>
    <row r="45" spans="1:16">
      <c r="A45" s="191"/>
      <c r="B45" s="47">
        <v>41</v>
      </c>
      <c r="C45" s="48">
        <v>0.18878819562361485</v>
      </c>
      <c r="D45" s="48">
        <v>0.37816630408189139</v>
      </c>
      <c r="E45" s="48">
        <v>0.56750910715082081</v>
      </c>
      <c r="F45" s="48">
        <v>0.7568376093025464</v>
      </c>
      <c r="G45" s="48">
        <v>0.94610980159278124</v>
      </c>
      <c r="H45" s="48">
        <v>1.1355965076410752</v>
      </c>
      <c r="I45" s="263"/>
      <c r="J45" s="47">
        <v>41</v>
      </c>
      <c r="K45" s="48">
        <v>0.26400565727228908</v>
      </c>
      <c r="L45" s="48">
        <v>0.52849665192218631</v>
      </c>
      <c r="M45" s="48">
        <v>0.79293804026553227</v>
      </c>
      <c r="N45" s="48">
        <v>1.0577119249338698</v>
      </c>
      <c r="O45" s="48">
        <v>1.3223240304763373</v>
      </c>
      <c r="P45" s="48">
        <v>1.5868994899184703</v>
      </c>
    </row>
    <row r="46" spans="1:16">
      <c r="A46" s="191"/>
      <c r="B46" s="47">
        <v>42</v>
      </c>
      <c r="C46" s="48">
        <v>0.19367496746805413</v>
      </c>
      <c r="D46" s="48">
        <v>0.38795306867078921</v>
      </c>
      <c r="E46" s="48">
        <v>0.58219877733840675</v>
      </c>
      <c r="F46" s="48">
        <v>0.77642703548205527</v>
      </c>
      <c r="G46" s="48">
        <v>0.97059857942280403</v>
      </c>
      <c r="H46" s="48">
        <v>1.1649908724917619</v>
      </c>
      <c r="I46" s="263"/>
      <c r="J46" s="47">
        <v>42</v>
      </c>
      <c r="K46" s="48">
        <v>0.27389240857527614</v>
      </c>
      <c r="L46" s="48">
        <v>0.54829808068679253</v>
      </c>
      <c r="M46" s="48">
        <v>0.82264954710823002</v>
      </c>
      <c r="N46" s="48">
        <v>1.0973404262208661</v>
      </c>
      <c r="O46" s="48">
        <v>1.3718681429343909</v>
      </c>
      <c r="P46" s="48">
        <v>1.6463565959689859</v>
      </c>
    </row>
    <row r="47" spans="1:16">
      <c r="A47" s="191"/>
      <c r="B47" s="47">
        <v>43</v>
      </c>
      <c r="C47" s="48">
        <v>0.19852960938895495</v>
      </c>
      <c r="D47" s="48">
        <v>0.39767495848702783</v>
      </c>
      <c r="E47" s="48">
        <v>0.59679154465751216</v>
      </c>
      <c r="F47" s="48">
        <v>0.79588767719060027</v>
      </c>
      <c r="G47" s="48">
        <v>0.99492585775106535</v>
      </c>
      <c r="H47" s="48">
        <v>1.1941907327926731</v>
      </c>
      <c r="I47" s="263"/>
      <c r="J47" s="47">
        <v>43</v>
      </c>
      <c r="K47" s="48">
        <v>0.2839397379814711</v>
      </c>
      <c r="L47" s="48">
        <v>0.56842107123649843</v>
      </c>
      <c r="M47" s="48">
        <v>0.85284210887295131</v>
      </c>
      <c r="N47" s="48">
        <v>1.1376117105800332</v>
      </c>
      <c r="O47" s="48">
        <v>1.4222151264832694</v>
      </c>
      <c r="P47" s="48">
        <v>1.7067776351117139</v>
      </c>
    </row>
    <row r="48" spans="1:16">
      <c r="A48" s="191"/>
      <c r="B48" s="47">
        <v>44</v>
      </c>
      <c r="C48" s="48">
        <v>0.20335347919700553</v>
      </c>
      <c r="D48" s="48">
        <v>0.4073355639446446</v>
      </c>
      <c r="E48" s="48">
        <v>0.61129151752414712</v>
      </c>
      <c r="F48" s="48">
        <v>0.81522498372389851</v>
      </c>
      <c r="G48" s="48">
        <v>1.0190993164435638</v>
      </c>
      <c r="H48" s="48">
        <v>1.2232051858880733</v>
      </c>
      <c r="I48" s="263"/>
      <c r="J48" s="47">
        <v>44</v>
      </c>
      <c r="K48" s="48">
        <v>0.2941516885703378</v>
      </c>
      <c r="L48" s="48">
        <v>0.58887451494305632</v>
      </c>
      <c r="M48" s="48">
        <v>0.88353039971771974</v>
      </c>
      <c r="N48" s="48">
        <v>1.1785435839706502</v>
      </c>
      <c r="O48" s="48">
        <v>1.4733893621743219</v>
      </c>
      <c r="P48" s="48">
        <v>1.7681909984844093</v>
      </c>
    </row>
    <row r="49" spans="1:16">
      <c r="A49" s="191"/>
      <c r="B49" s="47">
        <v>45</v>
      </c>
      <c r="C49" s="48">
        <v>0.20814781400861068</v>
      </c>
      <c r="D49" s="48">
        <v>0.41693734195197729</v>
      </c>
      <c r="E49" s="48">
        <v>0.62570243916178736</v>
      </c>
      <c r="F49" s="48">
        <v>0.83444391999582579</v>
      </c>
      <c r="G49" s="48">
        <v>1.0431243239959724</v>
      </c>
      <c r="H49" s="48">
        <v>1.2520425204694041</v>
      </c>
      <c r="I49" s="263"/>
      <c r="J49" s="47">
        <v>45</v>
      </c>
      <c r="K49" s="48">
        <v>0.30453275839428395</v>
      </c>
      <c r="L49" s="48">
        <v>0.60966732719184791</v>
      </c>
      <c r="M49" s="48">
        <v>0.91472778943095656</v>
      </c>
      <c r="N49" s="48">
        <v>1.220154712673416</v>
      </c>
      <c r="O49" s="48">
        <v>1.5254122494965481</v>
      </c>
      <c r="P49" s="48">
        <v>1.8306233679259236</v>
      </c>
    </row>
    <row r="50" spans="1:16">
      <c r="A50" s="191"/>
      <c r="B50" s="47">
        <v>46</v>
      </c>
      <c r="C50" s="48">
        <v>0.21291374336483559</v>
      </c>
      <c r="D50" s="48">
        <v>0.42648173911880505</v>
      </c>
      <c r="E50" s="48">
        <v>0.64002772729621482</v>
      </c>
      <c r="F50" s="48">
        <v>0.85354822253426088</v>
      </c>
      <c r="G50" s="48">
        <v>1.067005782078253</v>
      </c>
      <c r="H50" s="48">
        <v>1.2807079145092639</v>
      </c>
      <c r="I50" s="263"/>
      <c r="J50" s="47">
        <v>46</v>
      </c>
      <c r="K50" s="48">
        <v>0.31508785102508058</v>
      </c>
      <c r="L50" s="48">
        <v>0.63080764811735202</v>
      </c>
      <c r="M50" s="48">
        <v>0.94644728186514038</v>
      </c>
      <c r="N50" s="48">
        <v>1.262462139814186</v>
      </c>
      <c r="O50" s="48">
        <v>1.5783057170768819</v>
      </c>
      <c r="P50" s="48">
        <v>1.8940999017695623</v>
      </c>
    </row>
    <row r="51" spans="1:16">
      <c r="A51" s="191"/>
      <c r="B51" s="47">
        <v>47</v>
      </c>
      <c r="C51" s="48">
        <v>0.21765230067559108</v>
      </c>
      <c r="D51" s="48">
        <v>0.43597007893918138</v>
      </c>
      <c r="E51" s="48">
        <v>0.65426972907866987</v>
      </c>
      <c r="F51" s="48">
        <v>0.87254130986471024</v>
      </c>
      <c r="G51" s="48">
        <v>1.0907481751969672</v>
      </c>
      <c r="H51" s="48">
        <v>1.3092061053017323</v>
      </c>
      <c r="I51" s="263"/>
      <c r="J51" s="47">
        <v>47</v>
      </c>
      <c r="K51" s="48">
        <v>0.32582067300497902</v>
      </c>
      <c r="L51" s="48">
        <v>0.65230370478090749</v>
      </c>
      <c r="M51" s="48">
        <v>0.97870155386616342</v>
      </c>
      <c r="N51" s="48">
        <v>1.3054822377442818</v>
      </c>
      <c r="O51" s="48">
        <v>1.6320906069803984</v>
      </c>
      <c r="P51" s="48">
        <v>1.9586459563266692</v>
      </c>
    </row>
    <row r="52" spans="1:16">
      <c r="A52" s="191"/>
      <c r="B52" s="47">
        <v>48</v>
      </c>
      <c r="C52" s="48">
        <v>0.22236366977287167</v>
      </c>
      <c r="D52" s="48">
        <v>0.44540433807641217</v>
      </c>
      <c r="E52" s="48">
        <v>0.66843059606445654</v>
      </c>
      <c r="F52" s="48">
        <v>0.8914255521751312</v>
      </c>
      <c r="G52" s="48">
        <v>1.1143548506893723</v>
      </c>
      <c r="H52" s="48">
        <v>1.3375406719059584</v>
      </c>
      <c r="I52" s="263"/>
      <c r="J52" s="47">
        <v>48</v>
      </c>
      <c r="K52" s="48">
        <v>0.33673538545813342</v>
      </c>
      <c r="L52" s="48">
        <v>0.67416380211583227</v>
      </c>
      <c r="M52" s="48">
        <v>1.0115022258760937</v>
      </c>
      <c r="N52" s="48">
        <v>1.3492300144524154</v>
      </c>
      <c r="O52" s="48">
        <v>1.6867860244334159</v>
      </c>
      <c r="P52" s="48">
        <v>2.0242840114222198</v>
      </c>
    </row>
    <row r="53" spans="1:16">
      <c r="A53" s="191"/>
      <c r="B53" s="47">
        <v>49</v>
      </c>
      <c r="C53" s="48">
        <v>0.22704876736157711</v>
      </c>
      <c r="D53" s="48">
        <v>0.45478558395393476</v>
      </c>
      <c r="E53" s="48">
        <v>0.6825115562921118</v>
      </c>
      <c r="F53" s="48">
        <v>0.91020312616874954</v>
      </c>
      <c r="G53" s="48">
        <v>1.1378273868815068</v>
      </c>
      <c r="H53" s="48">
        <v>1.365714901212997</v>
      </c>
      <c r="I53" s="263"/>
      <c r="J53" s="47">
        <v>49</v>
      </c>
      <c r="K53" s="48">
        <v>0.34783580982509327</v>
      </c>
      <c r="L53" s="48">
        <v>0.69639556710170347</v>
      </c>
      <c r="M53" s="48">
        <v>1.0448599697294825</v>
      </c>
      <c r="N53" s="48">
        <v>1.3937207485445595</v>
      </c>
      <c r="O53" s="48">
        <v>1.7424110108111379</v>
      </c>
      <c r="P53" s="48">
        <v>2.091036955432231</v>
      </c>
    </row>
    <row r="54" spans="1:16">
      <c r="A54" s="191"/>
      <c r="B54" s="47">
        <v>50</v>
      </c>
      <c r="C54" s="48">
        <v>0.23170770388820858</v>
      </c>
      <c r="D54" s="48">
        <v>0.46411406567930491</v>
      </c>
      <c r="E54" s="48">
        <v>0.69651300663508353</v>
      </c>
      <c r="F54" s="48">
        <v>0.92887456856852013</v>
      </c>
      <c r="G54" s="48">
        <v>1.1611672358333269</v>
      </c>
      <c r="H54" s="48">
        <v>1.3937296183965997</v>
      </c>
      <c r="I54" s="263"/>
      <c r="J54" s="47">
        <v>50</v>
      </c>
      <c r="K54" s="48">
        <v>0.35912546183116445</v>
      </c>
      <c r="L54" s="48">
        <v>0.71900601655973262</v>
      </c>
      <c r="M54" s="48">
        <v>1.0787860693581317</v>
      </c>
      <c r="N54" s="48">
        <v>1.4389684963382101</v>
      </c>
      <c r="O54" s="48">
        <v>1.7989830841787533</v>
      </c>
      <c r="P54" s="48">
        <v>2.1589265785846474</v>
      </c>
    </row>
    <row r="55" spans="1:16">
      <c r="A55" s="191"/>
      <c r="B55" s="47">
        <v>51</v>
      </c>
      <c r="C55" s="48">
        <v>0.23634058113679648</v>
      </c>
      <c r="D55" s="48">
        <v>0.47338929427124388</v>
      </c>
      <c r="E55" s="48">
        <v>0.71043531283949013</v>
      </c>
      <c r="F55" s="48">
        <v>0.94744037400147951</v>
      </c>
      <c r="G55" s="48">
        <v>1.1843757357177338</v>
      </c>
      <c r="H55" s="48">
        <v>1.4215863024619939</v>
      </c>
      <c r="I55" s="263"/>
      <c r="J55" s="47">
        <v>51</v>
      </c>
      <c r="K55" s="48">
        <v>0.37060758145849132</v>
      </c>
      <c r="L55" s="48">
        <v>0.74200233552319916</v>
      </c>
      <c r="M55" s="48">
        <v>1.1132909236795834</v>
      </c>
      <c r="N55" s="48">
        <v>1.4849876487965623</v>
      </c>
      <c r="O55" s="48">
        <v>1.8565198257375262</v>
      </c>
      <c r="P55" s="48">
        <v>2.2279736806209121</v>
      </c>
    </row>
    <row r="56" spans="1:16">
      <c r="A56" s="191"/>
      <c r="B56" s="47">
        <v>52</v>
      </c>
      <c r="C56" s="48">
        <v>0.24094749306183036</v>
      </c>
      <c r="D56" s="48">
        <v>0.48261222782781471</v>
      </c>
      <c r="E56" s="48">
        <v>0.72427881251713322</v>
      </c>
      <c r="F56" s="48">
        <v>0.96590099904643023</v>
      </c>
      <c r="G56" s="48">
        <v>1.2074534170385511</v>
      </c>
      <c r="H56" s="48">
        <v>1.4492856139120756</v>
      </c>
      <c r="I56" s="263"/>
      <c r="J56" s="47">
        <v>52</v>
      </c>
      <c r="K56" s="48">
        <v>0.38228586419252125</v>
      </c>
      <c r="L56" s="48">
        <v>0.76539115633051524</v>
      </c>
      <c r="M56" s="48">
        <v>1.1483841316946455</v>
      </c>
      <c r="N56" s="48">
        <v>1.5317921946183408</v>
      </c>
      <c r="O56" s="48">
        <v>1.9150381690213225</v>
      </c>
      <c r="P56" s="48">
        <v>2.2981988707677559</v>
      </c>
    </row>
    <row r="57" spans="1:16">
      <c r="A57" s="191"/>
      <c r="B57" s="47">
        <v>53</v>
      </c>
      <c r="C57" s="48">
        <v>0.24552783509103973</v>
      </c>
      <c r="D57" s="48">
        <v>0.49178236926608226</v>
      </c>
      <c r="E57" s="48">
        <v>0.73804381779967854</v>
      </c>
      <c r="F57" s="48">
        <v>0.98425617438754265</v>
      </c>
      <c r="G57" s="48">
        <v>1.2303993873898693</v>
      </c>
      <c r="H57" s="48">
        <v>1.4768274719646113</v>
      </c>
      <c r="I57" s="263"/>
      <c r="J57" s="47">
        <v>53</v>
      </c>
      <c r="K57" s="48">
        <v>0.39416303517828449</v>
      </c>
      <c r="L57" s="48">
        <v>0.78917930220210586</v>
      </c>
      <c r="M57" s="48">
        <v>1.1840759508229466</v>
      </c>
      <c r="N57" s="48">
        <v>1.5793950667514238</v>
      </c>
      <c r="O57" s="48">
        <v>1.9745544609973082</v>
      </c>
      <c r="P57" s="48">
        <v>2.3696218942744278</v>
      </c>
    </row>
    <row r="58" spans="1:16">
      <c r="A58" s="191"/>
      <c r="B58" s="47">
        <v>54</v>
      </c>
      <c r="C58" s="48">
        <v>0.2500817260667727</v>
      </c>
      <c r="D58" s="48">
        <v>0.5008999369555569</v>
      </c>
      <c r="E58" s="48">
        <v>0.7517299390664397</v>
      </c>
      <c r="F58" s="48">
        <v>1.0025063292897951</v>
      </c>
      <c r="G58" s="48">
        <v>1.2532134991014066</v>
      </c>
      <c r="H58" s="48">
        <v>1.5042111231897473</v>
      </c>
      <c r="I58" s="263"/>
      <c r="J58" s="47">
        <v>54</v>
      </c>
      <c r="K58" s="48">
        <v>0.40624229632970377</v>
      </c>
      <c r="L58" s="48">
        <v>0.81337309093466059</v>
      </c>
      <c r="M58" s="48">
        <v>1.2203765573067402</v>
      </c>
      <c r="N58" s="48">
        <v>1.6278095974105253</v>
      </c>
      <c r="O58" s="48">
        <v>2.0350851950091671</v>
      </c>
      <c r="P58" s="48">
        <v>2.4422623910420942</v>
      </c>
    </row>
    <row r="59" spans="1:16">
      <c r="A59" s="191"/>
      <c r="B59" s="47">
        <v>55</v>
      </c>
      <c r="C59" s="48">
        <v>0.25460927618829776</v>
      </c>
      <c r="D59" s="48">
        <v>0.50996513338433047</v>
      </c>
      <c r="E59" s="48">
        <v>0.76533681503278084</v>
      </c>
      <c r="F59" s="48">
        <v>1.0206511955061617</v>
      </c>
      <c r="G59" s="48">
        <v>1.2758956152425391</v>
      </c>
      <c r="H59" s="48">
        <v>1.53143586895253</v>
      </c>
      <c r="I59" s="263"/>
      <c r="J59" s="47">
        <v>55</v>
      </c>
      <c r="K59" s="48">
        <v>0.41852728298696829</v>
      </c>
      <c r="L59" s="48">
        <v>0.83797904714147997</v>
      </c>
      <c r="M59" s="48">
        <v>1.2572953872979353</v>
      </c>
      <c r="N59" s="48">
        <v>1.6770488154874779</v>
      </c>
      <c r="O59" s="48">
        <v>2.0966469974701458</v>
      </c>
      <c r="P59" s="48">
        <v>2.5161405714936764</v>
      </c>
    </row>
    <row r="60" spans="1:16">
      <c r="A60" s="191"/>
      <c r="B60" s="47">
        <v>56</v>
      </c>
      <c r="C60" s="48">
        <v>0.25911058778350671</v>
      </c>
      <c r="D60" s="48">
        <v>0.5189774921824104</v>
      </c>
      <c r="E60" s="48">
        <v>0.77886411022011082</v>
      </c>
      <c r="F60" s="48">
        <v>1.0386905239501174</v>
      </c>
      <c r="G60" s="48">
        <v>1.2984449542687522</v>
      </c>
      <c r="H60" s="48">
        <v>1.5585017149151501</v>
      </c>
      <c r="I60" s="263"/>
      <c r="J60" s="47">
        <v>56</v>
      </c>
      <c r="K60" s="48">
        <v>0.43102137082311076</v>
      </c>
      <c r="L60" s="48">
        <v>0.86300388378670578</v>
      </c>
      <c r="M60" s="48">
        <v>1.2948425117268867</v>
      </c>
      <c r="N60" s="48">
        <v>1.7271261280282793</v>
      </c>
      <c r="O60" s="48">
        <v>2.1592566159818425</v>
      </c>
      <c r="P60" s="48">
        <v>2.5912758568451042</v>
      </c>
    </row>
    <row r="61" spans="1:16">
      <c r="A61" s="191"/>
      <c r="B61" s="47">
        <v>57</v>
      </c>
      <c r="C61" s="48">
        <v>0.2635851130853461</v>
      </c>
      <c r="D61" s="48">
        <v>0.52793657970752328</v>
      </c>
      <c r="E61" s="48">
        <v>0.79231151269219624</v>
      </c>
      <c r="F61" s="48">
        <v>1.0566234401008539</v>
      </c>
      <c r="G61" s="48">
        <v>1.3208614323948011</v>
      </c>
      <c r="H61" s="48">
        <v>1.5854080234284109</v>
      </c>
      <c r="I61" s="263"/>
      <c r="J61" s="47">
        <v>57</v>
      </c>
      <c r="K61" s="48">
        <v>0.44372769862182848</v>
      </c>
      <c r="L61" s="48">
        <v>0.88845384274927697</v>
      </c>
      <c r="M61" s="48">
        <v>1.3330279377060366</v>
      </c>
      <c r="N61" s="48">
        <v>1.7780546441476368</v>
      </c>
      <c r="O61" s="48">
        <v>2.2229302657896088</v>
      </c>
      <c r="P61" s="48">
        <v>2.6676882341620858</v>
      </c>
    </row>
    <row r="62" spans="1:16">
      <c r="A62" s="191"/>
      <c r="B62" s="47">
        <v>58</v>
      </c>
      <c r="C62" s="48">
        <v>0.26803297393311648</v>
      </c>
      <c r="D62" s="48">
        <v>0.53684262405307526</v>
      </c>
      <c r="E62" s="48">
        <v>0.80567873202564722</v>
      </c>
      <c r="F62" s="48">
        <v>1.0744497615786579</v>
      </c>
      <c r="G62" s="48">
        <v>1.3431443397844185</v>
      </c>
      <c r="H62" s="48">
        <v>1.6121535689896067</v>
      </c>
      <c r="I62" s="263"/>
      <c r="J62" s="47">
        <v>58</v>
      </c>
      <c r="K62" s="48">
        <v>0.45664982052829339</v>
      </c>
      <c r="L62" s="48">
        <v>0.91433599909235508</v>
      </c>
      <c r="M62" s="48">
        <v>1.3718616140314575</v>
      </c>
      <c r="N62" s="48">
        <v>1.8298484643713289</v>
      </c>
      <c r="O62" s="48">
        <v>2.2876855711632782</v>
      </c>
      <c r="P62" s="48">
        <v>2.745398207579953</v>
      </c>
    </row>
    <row r="63" spans="1:16">
      <c r="A63" s="191"/>
      <c r="B63" s="47">
        <v>59</v>
      </c>
      <c r="C63" s="48">
        <v>0.27245366278548239</v>
      </c>
      <c r="D63" s="48">
        <v>0.54569521672816823</v>
      </c>
      <c r="E63" s="48">
        <v>0.81896549748679526</v>
      </c>
      <c r="F63" s="48">
        <v>1.0921686972481981</v>
      </c>
      <c r="G63" s="48">
        <v>1.3652930147258295</v>
      </c>
      <c r="H63" s="48">
        <v>1.6387378303013052</v>
      </c>
      <c r="I63" s="263"/>
      <c r="J63" s="47">
        <v>59</v>
      </c>
      <c r="K63" s="48">
        <v>0.4697910497286828</v>
      </c>
      <c r="L63" s="48">
        <v>0.94065756933414779</v>
      </c>
      <c r="M63" s="48">
        <v>1.4113540572452614</v>
      </c>
      <c r="N63" s="48">
        <v>1.8825213543776291</v>
      </c>
      <c r="O63" s="48">
        <v>2.3535402037476212</v>
      </c>
      <c r="P63" s="48">
        <v>2.8244267544842021</v>
      </c>
    </row>
    <row r="64" spans="1:16" ht="15.75" customHeight="1" thickBot="1">
      <c r="A64" s="191"/>
      <c r="B64" s="55">
        <v>60</v>
      </c>
      <c r="C64" s="56">
        <v>0.27684731670553619</v>
      </c>
      <c r="D64" s="56">
        <v>0.55449458724296952</v>
      </c>
      <c r="E64" s="56">
        <v>0.83217216715922204</v>
      </c>
      <c r="F64" s="56">
        <v>1.1097801194848373</v>
      </c>
      <c r="G64" s="56">
        <v>1.3873074503897163</v>
      </c>
      <c r="H64" s="56">
        <v>1.6651609315875759</v>
      </c>
      <c r="I64" s="263"/>
      <c r="J64" s="55">
        <v>60</v>
      </c>
      <c r="K64" s="56">
        <v>0.48315570006677366</v>
      </c>
      <c r="L64" s="56">
        <v>0.96742589965998715</v>
      </c>
      <c r="M64" s="56">
        <v>1.4515169150917706</v>
      </c>
      <c r="N64" s="56">
        <v>1.9360879944379434</v>
      </c>
      <c r="O64" s="56">
        <v>2.4205124893827747</v>
      </c>
      <c r="P64" s="56">
        <v>2.9047965076096571</v>
      </c>
    </row>
  </sheetData>
  <mergeCells count="3">
    <mergeCell ref="B3:H3"/>
    <mergeCell ref="J3:P3"/>
    <mergeCell ref="B1:P1"/>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2"/>
  <sheetViews>
    <sheetView showGridLines="0" topLeftCell="A67" workbookViewId="0">
      <selection activeCell="D21" sqref="D21:D80"/>
    </sheetView>
  </sheetViews>
  <sheetFormatPr defaultColWidth="17.28515625" defaultRowHeight="15" customHeight="1"/>
  <cols>
    <col min="1" max="1" width="8.85546875" style="192" customWidth="1"/>
    <col min="2" max="2" width="34.42578125" style="187" customWidth="1"/>
    <col min="3" max="3" width="16" style="187" customWidth="1"/>
    <col min="4" max="6" width="12.7109375" style="187" customWidth="1"/>
    <col min="7" max="7" width="16.28515625" style="187" customWidth="1"/>
    <col min="8" max="9" width="12.7109375" style="187" customWidth="1"/>
    <col min="10" max="10" width="21" style="187" customWidth="1"/>
    <col min="11" max="11" width="18.7109375" style="187" customWidth="1"/>
    <col min="12" max="12" width="14.85546875" style="187" customWidth="1"/>
    <col min="13" max="13" width="11.140625" style="187" bestFit="1" customWidth="1"/>
    <col min="14" max="14" width="13.140625" style="187" customWidth="1"/>
    <col min="15" max="15" width="12.7109375" style="187" customWidth="1"/>
    <col min="16" max="16" width="13.140625" style="187" customWidth="1"/>
    <col min="17" max="17" width="13.85546875" style="187" customWidth="1"/>
    <col min="18" max="18" width="13.140625" style="187" customWidth="1"/>
    <col min="19" max="19" width="14" style="187" customWidth="1"/>
  </cols>
  <sheetData>
    <row r="1" spans="1:20" ht="24" customHeight="1">
      <c r="A1" s="191"/>
      <c r="B1" s="237" t="s">
        <v>26</v>
      </c>
      <c r="C1" s="231"/>
      <c r="D1" s="231"/>
      <c r="E1" s="231"/>
      <c r="F1" s="231"/>
      <c r="G1" s="231"/>
      <c r="H1" s="231"/>
      <c r="I1" s="231"/>
      <c r="J1" s="231"/>
      <c r="K1" s="231"/>
      <c r="L1" s="231"/>
      <c r="M1" s="231"/>
      <c r="N1" s="188"/>
      <c r="O1" s="188"/>
      <c r="P1" s="188"/>
      <c r="Q1" s="188"/>
      <c r="R1" s="188"/>
      <c r="S1" s="188"/>
    </row>
    <row r="2" spans="1:20" s="192" customFormat="1" ht="15" customHeight="1">
      <c r="A2" s="191"/>
      <c r="B2" s="235"/>
      <c r="C2" s="235"/>
      <c r="D2" s="235"/>
      <c r="E2" s="235"/>
      <c r="F2" s="235"/>
      <c r="G2" s="235"/>
      <c r="H2" s="235"/>
      <c r="I2" s="235"/>
      <c r="J2" s="235"/>
      <c r="K2" s="235"/>
      <c r="L2" s="235"/>
      <c r="M2" s="235"/>
      <c r="N2" s="269"/>
      <c r="O2" s="269"/>
      <c r="P2" s="269"/>
      <c r="Q2" s="269"/>
      <c r="R2" s="269"/>
      <c r="S2" s="269"/>
    </row>
    <row r="3" spans="1:20" ht="16.5" customHeight="1">
      <c r="A3" s="191"/>
      <c r="B3" s="270" t="s">
        <v>47</v>
      </c>
      <c r="C3" s="271"/>
      <c r="D3" s="235"/>
      <c r="E3" s="235"/>
      <c r="F3" s="235"/>
      <c r="G3" s="235"/>
      <c r="H3" s="235"/>
      <c r="I3" s="272"/>
      <c r="J3" s="272"/>
      <c r="K3" s="235"/>
      <c r="L3" s="235"/>
      <c r="M3" s="235"/>
      <c r="N3" s="235"/>
      <c r="O3" s="235"/>
      <c r="P3" s="235"/>
      <c r="Q3" s="235"/>
      <c r="R3" s="235"/>
      <c r="S3" s="269"/>
    </row>
    <row r="4" spans="1:20" ht="16.5" customHeight="1">
      <c r="A4" s="191"/>
      <c r="B4" s="273" t="s">
        <v>55</v>
      </c>
      <c r="C4" s="274"/>
      <c r="D4" s="235"/>
      <c r="E4" s="235"/>
      <c r="F4" s="235"/>
      <c r="G4" s="235"/>
      <c r="H4" s="235"/>
      <c r="I4" s="272"/>
      <c r="J4" s="272"/>
      <c r="K4" s="235"/>
      <c r="L4" s="235"/>
      <c r="M4" s="235"/>
      <c r="N4" s="235"/>
      <c r="O4" s="235"/>
      <c r="P4" s="235"/>
      <c r="Q4" s="235"/>
      <c r="R4" s="235"/>
      <c r="S4" s="269"/>
    </row>
    <row r="5" spans="1:20" s="192" customFormat="1" ht="16.5" customHeight="1">
      <c r="A5" s="191"/>
      <c r="B5" s="275"/>
      <c r="C5" s="276"/>
      <c r="D5" s="235"/>
      <c r="E5" s="235"/>
      <c r="F5" s="235"/>
      <c r="G5" s="235"/>
      <c r="H5" s="235"/>
      <c r="I5" s="272"/>
      <c r="J5" s="272"/>
      <c r="K5" s="235"/>
      <c r="L5" s="235"/>
      <c r="M5" s="235"/>
      <c r="N5" s="235"/>
      <c r="O5" s="235"/>
      <c r="P5" s="235"/>
      <c r="Q5" s="235"/>
      <c r="R5" s="235"/>
      <c r="S5" s="269"/>
    </row>
    <row r="6" spans="1:20" ht="18" customHeight="1">
      <c r="A6" s="261"/>
      <c r="B6" s="277" t="s">
        <v>80</v>
      </c>
      <c r="C6" s="268"/>
      <c r="D6" s="235"/>
      <c r="E6" s="235"/>
      <c r="F6" s="235"/>
      <c r="G6" s="235"/>
      <c r="H6" s="235"/>
      <c r="I6" s="272"/>
      <c r="J6" s="272"/>
      <c r="K6" s="235"/>
      <c r="L6" s="235"/>
      <c r="M6" s="235"/>
      <c r="N6" s="235"/>
      <c r="O6" s="235"/>
      <c r="P6" s="235"/>
      <c r="Q6" s="235"/>
      <c r="R6" s="235"/>
      <c r="S6" s="278"/>
      <c r="T6" s="192"/>
    </row>
    <row r="7" spans="1:20">
      <c r="A7" s="191"/>
      <c r="B7" s="279" t="s">
        <v>160</v>
      </c>
      <c r="C7" s="280">
        <v>25</v>
      </c>
      <c r="D7" s="281" t="s">
        <v>163</v>
      </c>
      <c r="E7" s="282"/>
      <c r="F7" s="282"/>
      <c r="G7" s="282"/>
      <c r="H7" s="282"/>
      <c r="I7" s="282"/>
      <c r="J7" s="269"/>
      <c r="K7" s="269"/>
      <c r="L7" s="269"/>
      <c r="M7" s="269"/>
      <c r="N7" s="269"/>
      <c r="O7" s="269"/>
      <c r="P7" s="269"/>
      <c r="Q7" s="269"/>
      <c r="R7" s="269"/>
      <c r="S7" s="269"/>
      <c r="T7" s="192"/>
    </row>
    <row r="8" spans="1:20" ht="30" customHeight="1">
      <c r="A8" s="191"/>
      <c r="B8" s="283" t="s">
        <v>189</v>
      </c>
      <c r="C8" s="284">
        <f>Summary!C31</f>
        <v>693.5</v>
      </c>
      <c r="D8" s="285"/>
      <c r="E8" s="285"/>
      <c r="F8" s="285"/>
      <c r="G8" s="285"/>
      <c r="H8" s="285"/>
      <c r="I8" s="285"/>
      <c r="J8" s="269"/>
      <c r="K8" s="269"/>
      <c r="L8" s="269"/>
      <c r="M8" s="269"/>
      <c r="N8" s="269"/>
      <c r="O8" s="269"/>
      <c r="P8" s="269"/>
      <c r="Q8" s="269"/>
      <c r="R8" s="269"/>
      <c r="S8" s="269"/>
      <c r="T8" s="192"/>
    </row>
    <row r="9" spans="1:20" ht="30" customHeight="1">
      <c r="A9" s="191"/>
      <c r="B9" s="286" t="s">
        <v>205</v>
      </c>
      <c r="C9" s="287">
        <v>5</v>
      </c>
      <c r="D9" s="288"/>
      <c r="E9" s="288"/>
      <c r="F9" s="288"/>
      <c r="G9" s="288"/>
      <c r="H9" s="282"/>
      <c r="I9" s="282"/>
      <c r="J9" s="269"/>
      <c r="K9" s="269"/>
      <c r="L9" s="269"/>
      <c r="M9" s="269"/>
      <c r="N9" s="269"/>
      <c r="O9" s="269"/>
      <c r="P9" s="269"/>
      <c r="Q9" s="269"/>
      <c r="R9" s="269"/>
      <c r="S9" s="269"/>
      <c r="T9" s="192"/>
    </row>
    <row r="10" spans="1:20" ht="30" customHeight="1">
      <c r="A10" s="191"/>
      <c r="B10" s="283" t="s">
        <v>216</v>
      </c>
      <c r="C10" s="289">
        <f>C9*C8*1000000</f>
        <v>3467500000</v>
      </c>
      <c r="D10" s="290"/>
      <c r="E10" s="290"/>
      <c r="F10" s="290"/>
      <c r="G10" s="290"/>
      <c r="H10" s="282"/>
      <c r="I10" s="282"/>
      <c r="J10" s="269"/>
      <c r="K10" s="269"/>
      <c r="L10" s="269"/>
      <c r="M10" s="269"/>
      <c r="N10" s="269"/>
      <c r="O10" s="269"/>
      <c r="P10" s="269"/>
      <c r="Q10" s="269"/>
      <c r="R10" s="269"/>
      <c r="S10" s="269"/>
      <c r="T10" s="192"/>
    </row>
    <row r="11" spans="1:20" ht="30" customHeight="1">
      <c r="A11" s="191"/>
      <c r="B11" s="286" t="s">
        <v>219</v>
      </c>
      <c r="C11" s="287">
        <v>7.0000000000000007E-2</v>
      </c>
      <c r="D11" s="288"/>
      <c r="E11" s="288"/>
      <c r="F11" s="288"/>
      <c r="G11" s="288"/>
      <c r="H11" s="282"/>
      <c r="I11" s="282"/>
      <c r="J11" s="269"/>
      <c r="K11" s="269"/>
      <c r="L11" s="269"/>
      <c r="M11" s="269"/>
      <c r="N11" s="269"/>
      <c r="O11" s="269"/>
      <c r="P11" s="269"/>
      <c r="Q11" s="269"/>
      <c r="R11" s="269"/>
      <c r="S11" s="269"/>
      <c r="T11" s="192"/>
    </row>
    <row r="12" spans="1:20" ht="30" customHeight="1">
      <c r="A12" s="191"/>
      <c r="B12" s="283" t="s">
        <v>220</v>
      </c>
      <c r="C12" s="291"/>
      <c r="D12" s="282"/>
      <c r="E12" s="282"/>
      <c r="F12" s="282"/>
      <c r="G12" s="282"/>
      <c r="H12" s="282"/>
      <c r="I12" s="282"/>
      <c r="J12" s="269"/>
      <c r="K12" s="269"/>
      <c r="L12" s="269"/>
      <c r="M12" s="269"/>
      <c r="N12" s="269"/>
      <c r="O12" s="269"/>
      <c r="P12" s="269"/>
      <c r="Q12" s="269"/>
      <c r="R12" s="269"/>
      <c r="S12" s="269"/>
      <c r="T12" s="192"/>
    </row>
    <row r="13" spans="1:20" ht="45" customHeight="1">
      <c r="A13" s="191"/>
      <c r="B13" s="283" t="s">
        <v>229</v>
      </c>
      <c r="C13" s="292">
        <v>4</v>
      </c>
      <c r="D13" s="282"/>
      <c r="E13" s="282"/>
      <c r="F13" s="282"/>
      <c r="G13" s="282"/>
      <c r="H13" s="288"/>
      <c r="I13" s="282"/>
      <c r="J13" s="269"/>
      <c r="K13" s="269"/>
      <c r="L13" s="269"/>
      <c r="M13" s="269"/>
      <c r="N13" s="269"/>
      <c r="O13" s="269"/>
      <c r="P13" s="269"/>
      <c r="Q13" s="269"/>
      <c r="R13" s="269"/>
      <c r="S13" s="269"/>
      <c r="T13" s="192"/>
    </row>
    <row r="14" spans="1:20">
      <c r="A14" s="191"/>
      <c r="B14" s="283" t="s">
        <v>247</v>
      </c>
      <c r="C14" s="293">
        <f>Summary!C47</f>
        <v>200</v>
      </c>
      <c r="D14" s="282"/>
      <c r="E14" s="282"/>
      <c r="F14" s="282"/>
      <c r="G14" s="282"/>
      <c r="H14" s="288"/>
      <c r="I14" s="282"/>
      <c r="J14" s="269"/>
      <c r="K14" s="269"/>
      <c r="L14" s="269"/>
      <c r="M14" s="269"/>
      <c r="N14" s="269"/>
      <c r="O14" s="269"/>
      <c r="P14" s="269"/>
      <c r="Q14" s="269"/>
      <c r="R14" s="269"/>
      <c r="S14" s="269"/>
      <c r="T14" s="192"/>
    </row>
    <row r="15" spans="1:20" ht="30" customHeight="1">
      <c r="A15" s="191"/>
      <c r="B15" s="283" t="s">
        <v>291</v>
      </c>
      <c r="C15" s="294">
        <f>Summary!C48</f>
        <v>28.356481481481481</v>
      </c>
      <c r="D15" s="282"/>
      <c r="E15" s="282"/>
      <c r="F15" s="282"/>
      <c r="G15" s="282"/>
      <c r="H15" s="282"/>
      <c r="I15" s="282"/>
      <c r="J15" s="269"/>
      <c r="K15" s="269"/>
      <c r="L15" s="269"/>
      <c r="M15" s="269"/>
      <c r="N15" s="269"/>
      <c r="O15" s="269"/>
      <c r="P15" s="269"/>
      <c r="Q15" s="269"/>
      <c r="R15" s="269"/>
      <c r="S15" s="269"/>
      <c r="T15" s="192"/>
    </row>
    <row r="16" spans="1:20">
      <c r="A16" s="191"/>
      <c r="B16" s="283" t="s">
        <v>292</v>
      </c>
      <c r="C16" s="295">
        <f>C14*C13</f>
        <v>800</v>
      </c>
      <c r="D16" s="296"/>
      <c r="E16" s="296"/>
      <c r="F16" s="296"/>
      <c r="G16" s="296"/>
      <c r="H16" s="285"/>
      <c r="I16" s="285"/>
      <c r="J16" s="269"/>
      <c r="K16" s="269"/>
      <c r="L16" s="269"/>
      <c r="M16" s="269"/>
      <c r="N16" s="269"/>
      <c r="O16" s="269"/>
      <c r="P16" s="269"/>
      <c r="Q16" s="269"/>
      <c r="R16" s="269"/>
      <c r="S16" s="269"/>
      <c r="T16" s="192"/>
    </row>
    <row r="17" spans="1:20" ht="30" customHeight="1">
      <c r="A17" s="191"/>
      <c r="B17" s="283" t="s">
        <v>293</v>
      </c>
      <c r="C17" s="284">
        <f>C10/C16</f>
        <v>4334375</v>
      </c>
      <c r="D17" s="285"/>
      <c r="E17" s="285"/>
      <c r="F17" s="285"/>
      <c r="G17" s="285"/>
      <c r="H17" s="285"/>
      <c r="I17" s="285"/>
      <c r="J17" s="269"/>
      <c r="K17" s="269"/>
      <c r="L17" s="269"/>
      <c r="M17" s="269"/>
      <c r="N17" s="269"/>
      <c r="O17" s="269"/>
      <c r="P17" s="269"/>
      <c r="Q17" s="269"/>
      <c r="R17" s="269"/>
      <c r="S17" s="269"/>
      <c r="T17" s="192"/>
    </row>
    <row r="18" spans="1:20" ht="45.75" customHeight="1">
      <c r="A18" s="191"/>
      <c r="B18" s="297" t="s">
        <v>294</v>
      </c>
      <c r="C18" s="298">
        <v>1</v>
      </c>
      <c r="D18" s="285"/>
      <c r="E18" s="285"/>
      <c r="F18" s="285"/>
      <c r="G18" s="285"/>
      <c r="H18" s="285"/>
      <c r="I18" s="285"/>
      <c r="J18" s="269"/>
      <c r="K18" s="269"/>
      <c r="L18" s="269"/>
      <c r="M18" s="269"/>
      <c r="N18" s="269"/>
      <c r="O18" s="269"/>
      <c r="P18" s="269"/>
      <c r="Q18" s="269"/>
      <c r="R18" s="269"/>
      <c r="S18" s="269"/>
      <c r="T18" s="192"/>
    </row>
    <row r="19" spans="1:20" s="192" customFormat="1" ht="18.75" customHeight="1">
      <c r="A19" s="191"/>
      <c r="B19" s="299"/>
      <c r="C19" s="300"/>
      <c r="D19" s="285"/>
      <c r="E19" s="285"/>
      <c r="F19" s="285"/>
      <c r="G19" s="285"/>
      <c r="H19" s="285"/>
      <c r="I19" s="285"/>
      <c r="J19" s="269"/>
      <c r="K19" s="269"/>
      <c r="L19" s="269"/>
      <c r="M19" s="269"/>
      <c r="N19" s="269"/>
      <c r="O19" s="269"/>
      <c r="P19" s="269"/>
      <c r="Q19" s="269"/>
      <c r="R19" s="269"/>
      <c r="S19" s="269"/>
    </row>
    <row r="20" spans="1:20" ht="60.75" customHeight="1">
      <c r="A20" s="229"/>
      <c r="B20" s="43" t="s">
        <v>46</v>
      </c>
      <c r="C20" s="43" t="s">
        <v>304</v>
      </c>
      <c r="D20" s="43" t="s">
        <v>273</v>
      </c>
      <c r="E20" s="43" t="s">
        <v>305</v>
      </c>
      <c r="F20" s="43" t="s">
        <v>175</v>
      </c>
      <c r="G20" s="43" t="s">
        <v>306</v>
      </c>
      <c r="H20" s="43" t="s">
        <v>307</v>
      </c>
      <c r="I20" s="43" t="s">
        <v>278</v>
      </c>
      <c r="J20" s="43" t="s">
        <v>309</v>
      </c>
      <c r="K20" s="43" t="s">
        <v>310</v>
      </c>
      <c r="L20" s="43" t="s">
        <v>311</v>
      </c>
      <c r="M20" s="43" t="s">
        <v>312</v>
      </c>
      <c r="N20" s="43" t="s">
        <v>317</v>
      </c>
      <c r="O20" s="43" t="s">
        <v>318</v>
      </c>
      <c r="P20" s="43" t="s">
        <v>319</v>
      </c>
      <c r="Q20" s="43" t="s">
        <v>289</v>
      </c>
      <c r="R20" s="43" t="s">
        <v>320</v>
      </c>
      <c r="S20" s="43" t="s">
        <v>321</v>
      </c>
    </row>
    <row r="21" spans="1:20">
      <c r="A21" s="191"/>
      <c r="B21" s="124">
        <v>1</v>
      </c>
      <c r="C21" s="120">
        <f>E21</f>
        <v>4334375</v>
      </c>
      <c r="D21" s="48">
        <f t="shared" ref="D21:D120" si="0">H21/I21</f>
        <v>0</v>
      </c>
      <c r="E21" s="120">
        <f>K21/C$16</f>
        <v>4334375</v>
      </c>
      <c r="F21" s="116">
        <f t="shared" ref="F21:F120" si="1">E21*C$18/1000000</f>
        <v>4.3343749999999996</v>
      </c>
      <c r="G21" s="118">
        <f>C21/Summary!C$58</f>
        <v>6.8701458234268504E-4</v>
      </c>
      <c r="H21" s="119">
        <v>0</v>
      </c>
      <c r="I21" s="119">
        <f>Summary!C34</f>
        <v>347.92166666666662</v>
      </c>
      <c r="J21" s="120"/>
      <c r="K21" s="122">
        <f t="shared" ref="K21:K120" si="2">C$10+J21</f>
        <v>3467500000</v>
      </c>
      <c r="L21" s="120">
        <f t="shared" ref="L21:L120" ca="1" si="3">ROUNDUP(IF(B21&gt;$C$7,OFFSET(E21,-1*$C$7,0),0),0)</f>
        <v>0</v>
      </c>
      <c r="M21" s="301"/>
      <c r="N21" s="302">
        <f>M21/'Alberta Electricity Profile'!$D$49</f>
        <v>0</v>
      </c>
      <c r="O21" s="303">
        <f>I21</f>
        <v>347.92166666666662</v>
      </c>
      <c r="P21" s="301">
        <v>0</v>
      </c>
      <c r="Q21" s="301"/>
      <c r="R21" s="301"/>
      <c r="S21" s="301"/>
    </row>
    <row r="22" spans="1:20">
      <c r="A22" s="191"/>
      <c r="B22" s="124">
        <f t="shared" ref="B22:B120" si="4">B21+1</f>
        <v>2</v>
      </c>
      <c r="C22" s="120">
        <f t="shared" ref="C22:C120" ca="1" si="5">C21+E22-L22</f>
        <v>8682872</v>
      </c>
      <c r="D22" s="48">
        <f t="shared" si="0"/>
        <v>8.4400292154629105E-4</v>
      </c>
      <c r="E22" s="120">
        <f t="shared" ref="E22:E120" si="6">ROUNDDOWN(K22/C$16,0)</f>
        <v>4348497</v>
      </c>
      <c r="F22" s="116">
        <f t="shared" si="1"/>
        <v>4.3484970000000001</v>
      </c>
      <c r="G22" s="118">
        <f ca="1">C22/Summary!C$58</f>
        <v>1.3762675542875258E-3</v>
      </c>
      <c r="H22" s="119">
        <f>H21+M22*Summary!$C$26/1000000</f>
        <v>0.58729380627184291</v>
      </c>
      <c r="I22" s="119">
        <f t="shared" ref="I22:I120" si="7">I21+I$21</f>
        <v>695.84333333333325</v>
      </c>
      <c r="J22" s="122">
        <f>C21*Summary!C$49*Summary!C$62*24*365*1000*C$11</f>
        <v>11298175.505942386</v>
      </c>
      <c r="K22" s="122">
        <f t="shared" si="2"/>
        <v>3478798175.5059423</v>
      </c>
      <c r="L22" s="120">
        <f t="shared" ca="1" si="3"/>
        <v>0</v>
      </c>
      <c r="M22" s="303">
        <f>C21*Summary!$C$49*Summary!$C$61</f>
        <v>92.12471873729929</v>
      </c>
      <c r="N22" s="302">
        <f>M22/'Alberta Electricity Profile'!$D$49</f>
        <v>7.0570401122464852E-4</v>
      </c>
      <c r="O22" s="303">
        <f t="shared" ref="O22:O120" si="8">I22-I21</f>
        <v>347.92166666666662</v>
      </c>
      <c r="P22" s="303">
        <f t="shared" ref="P22:P120" si="9">H22-H21</f>
        <v>0.58729380627184291</v>
      </c>
      <c r="Q22" s="301">
        <f t="shared" ref="Q22:Q120" si="10">P22/M22*1000</f>
        <v>6.3749861527019291</v>
      </c>
      <c r="R22" s="301">
        <f t="shared" ref="R22:R120" si="11">M22*10^6/C21</f>
        <v>21.254441237156289</v>
      </c>
      <c r="S22" s="301">
        <f t="shared" ref="S22:S120" si="12">P22/C21*1000000</f>
        <v>0.1354967685702882</v>
      </c>
    </row>
    <row r="23" spans="1:20">
      <c r="A23" s="191"/>
      <c r="B23" s="124">
        <f t="shared" si="4"/>
        <v>3</v>
      </c>
      <c r="C23" s="120">
        <f t="shared" ca="1" si="5"/>
        <v>13045538</v>
      </c>
      <c r="D23" s="48">
        <f t="shared" ca="1" si="0"/>
        <v>1.6898390961387656E-3</v>
      </c>
      <c r="E23" s="120">
        <f t="shared" ca="1" si="6"/>
        <v>4362666</v>
      </c>
      <c r="F23" s="116">
        <f t="shared" ca="1" si="1"/>
        <v>4.3626659999999999</v>
      </c>
      <c r="G23" s="118">
        <f ca="1">C23/Summary!C$58</f>
        <v>2.0677663655095896E-3</v>
      </c>
      <c r="H23" s="119">
        <f ca="1">H22+M23*Summary!$C$26/1000000</f>
        <v>1.7637949041812784</v>
      </c>
      <c r="I23" s="119">
        <f t="shared" si="7"/>
        <v>1043.7649999999999</v>
      </c>
      <c r="J23" s="122">
        <f ca="1">C22*Summary!C$49*Summary!C$62*24*365*1000*C$11</f>
        <v>22633162.047961466</v>
      </c>
      <c r="K23" s="122">
        <f t="shared" ca="1" si="2"/>
        <v>3490133162.0479612</v>
      </c>
      <c r="L23" s="120">
        <f t="shared" ca="1" si="3"/>
        <v>0</v>
      </c>
      <c r="M23" s="303">
        <f ca="1">C22*Summary!$C$49*Summary!$C$61</f>
        <v>184.5495926937497</v>
      </c>
      <c r="N23" s="302">
        <f ca="1">M23/'Alberta Electricity Profile'!$D$49</f>
        <v>1.4137073048248448E-3</v>
      </c>
      <c r="O23" s="303">
        <f t="shared" si="8"/>
        <v>347.92166666666662</v>
      </c>
      <c r="P23" s="303">
        <f t="shared" ca="1" si="9"/>
        <v>1.1765010979094355</v>
      </c>
      <c r="Q23" s="301">
        <f t="shared" ca="1" si="10"/>
        <v>6.3749861527019291</v>
      </c>
      <c r="R23" s="301">
        <f t="shared" ca="1" si="11"/>
        <v>21.254441237156289</v>
      </c>
      <c r="S23" s="301">
        <f t="shared" ca="1" si="12"/>
        <v>0.1354967685702882</v>
      </c>
    </row>
    <row r="24" spans="1:20">
      <c r="A24" s="191"/>
      <c r="B24" s="124">
        <f t="shared" si="4"/>
        <v>4</v>
      </c>
      <c r="C24" s="120">
        <f t="shared" ca="1" si="5"/>
        <v>17422419</v>
      </c>
      <c r="D24" s="48">
        <f t="shared" ca="1" si="0"/>
        <v>2.537513099770192E-3</v>
      </c>
      <c r="E24" s="120">
        <f t="shared" ca="1" si="6"/>
        <v>4376881</v>
      </c>
      <c r="F24" s="116">
        <f t="shared" ca="1" si="1"/>
        <v>4.376881</v>
      </c>
      <c r="G24" s="118">
        <f ca="1">C24/Summary!C$58</f>
        <v>2.7615183071802189E-3</v>
      </c>
      <c r="H24" s="119">
        <f ca="1">H23+M24*Summary!$C$26/1000000</f>
        <v>3.5314231474421787</v>
      </c>
      <c r="I24" s="119">
        <f t="shared" si="7"/>
        <v>1391.6866666666665</v>
      </c>
      <c r="J24" s="122">
        <f ca="1">C23*Summary!C$49*Summary!C$62*24*365*1000*C$11</f>
        <v>34005082.138356887</v>
      </c>
      <c r="K24" s="122">
        <f t="shared" ca="1" si="2"/>
        <v>3501505082.1383567</v>
      </c>
      <c r="L24" s="120">
        <f t="shared" ca="1" si="3"/>
        <v>0</v>
      </c>
      <c r="M24" s="303">
        <f ca="1">C23*Summary!$C$49*Summary!$C$61</f>
        <v>277.27562082808936</v>
      </c>
      <c r="N24" s="302">
        <f ca="1">M24/'Alberta Electricity Profile'!$D$49</f>
        <v>2.1240175331353603E-3</v>
      </c>
      <c r="O24" s="303">
        <f t="shared" si="8"/>
        <v>347.92166666666662</v>
      </c>
      <c r="P24" s="303">
        <f t="shared" ca="1" si="9"/>
        <v>1.7676282432609003</v>
      </c>
      <c r="Q24" s="301">
        <f t="shared" ca="1" si="10"/>
        <v>6.3749861527019291</v>
      </c>
      <c r="R24" s="301">
        <f t="shared" ca="1" si="11"/>
        <v>21.254441237156286</v>
      </c>
      <c r="S24" s="301">
        <f t="shared" ca="1" si="12"/>
        <v>0.1354967685702882</v>
      </c>
    </row>
    <row r="25" spans="1:20">
      <c r="A25" s="191"/>
      <c r="B25" s="124">
        <f t="shared" si="4"/>
        <v>5</v>
      </c>
      <c r="C25" s="120">
        <f t="shared" ca="1" si="5"/>
        <v>21813561</v>
      </c>
      <c r="D25" s="48">
        <f t="shared" ca="1" si="0"/>
        <v>3.3870294305441001E-3</v>
      </c>
      <c r="E25" s="120">
        <f t="shared" ca="1" si="6"/>
        <v>4391142</v>
      </c>
      <c r="F25" s="116">
        <f t="shared" ca="1" si="1"/>
        <v>4.3911420000000003</v>
      </c>
      <c r="G25" s="118">
        <f ca="1">C25/Summary!C$58</f>
        <v>3.4575306704707561E-3</v>
      </c>
      <c r="H25" s="119">
        <f ca="1">H24+M25*Summary!$C$26/1000000</f>
        <v>5.8921046226197706</v>
      </c>
      <c r="I25" s="119">
        <f t="shared" si="7"/>
        <v>1739.6083333333331</v>
      </c>
      <c r="J25" s="122">
        <f ca="1">C24*Summary!C$49*Summary!C$62*24*365*1000*C$11</f>
        <v>45414055.682783619</v>
      </c>
      <c r="K25" s="122">
        <f t="shared" ca="1" si="2"/>
        <v>3512914055.6827836</v>
      </c>
      <c r="L25" s="120">
        <f t="shared" ca="1" si="3"/>
        <v>0</v>
      </c>
      <c r="M25" s="303">
        <f ca="1">C24*Summary!$C$49*Summary!$C$61</f>
        <v>370.30378084461523</v>
      </c>
      <c r="N25" s="302">
        <f ca="1">M25/'Alberta Electricity Profile'!$D$49</f>
        <v>2.8366421856753348E-3</v>
      </c>
      <c r="O25" s="303">
        <f t="shared" si="8"/>
        <v>347.92166666666662</v>
      </c>
      <c r="P25" s="303">
        <f t="shared" ca="1" si="9"/>
        <v>2.360681475177592</v>
      </c>
      <c r="Q25" s="301">
        <f t="shared" ca="1" si="10"/>
        <v>6.3749861527019291</v>
      </c>
      <c r="R25" s="301">
        <f t="shared" ca="1" si="11"/>
        <v>21.254441237156289</v>
      </c>
      <c r="S25" s="301">
        <f t="shared" ca="1" si="12"/>
        <v>0.1354967685702882</v>
      </c>
    </row>
    <row r="26" spans="1:20">
      <c r="A26" s="191"/>
      <c r="B26" s="124">
        <f t="shared" si="4"/>
        <v>6</v>
      </c>
      <c r="C26" s="120">
        <f t="shared" ca="1" si="5"/>
        <v>26219011</v>
      </c>
      <c r="D26" s="48">
        <f t="shared" ca="1" si="0"/>
        <v>4.2383925735824807E-3</v>
      </c>
      <c r="E26" s="120">
        <f t="shared" ca="1" si="6"/>
        <v>4405450</v>
      </c>
      <c r="F26" s="116">
        <f t="shared" ca="1" si="1"/>
        <v>4.4054500000000001</v>
      </c>
      <c r="G26" s="118">
        <f ca="1">C26/Summary!C$58</f>
        <v>4.1558109050562689E-3</v>
      </c>
      <c r="H26" s="119">
        <f ca="1">H25+M26*Summary!$C$26/1000000</f>
        <v>8.8477716491306353</v>
      </c>
      <c r="I26" s="119">
        <f t="shared" si="7"/>
        <v>2087.5299999999997</v>
      </c>
      <c r="J26" s="122">
        <f ca="1">C25*Summary!C$49*Summary!C$62*24*365*1000*C$11</f>
        <v>56860202.586896643</v>
      </c>
      <c r="K26" s="122">
        <f t="shared" ca="1" si="2"/>
        <v>3524360202.5868964</v>
      </c>
      <c r="L26" s="120">
        <f t="shared" ca="1" si="3"/>
        <v>0</v>
      </c>
      <c r="M26" s="303">
        <f ca="1">C25*Summary!$C$49*Summary!$C$61</f>
        <v>463.63505044762417</v>
      </c>
      <c r="N26" s="302">
        <f ca="1">M26/'Alberta Electricity Profile'!$D$49</f>
        <v>3.5515887519639057E-3</v>
      </c>
      <c r="O26" s="303">
        <f t="shared" si="8"/>
        <v>347.92166666666662</v>
      </c>
      <c r="P26" s="303">
        <f t="shared" ca="1" si="9"/>
        <v>2.9556670265108647</v>
      </c>
      <c r="Q26" s="301">
        <f t="shared" ca="1" si="10"/>
        <v>6.3749861527019291</v>
      </c>
      <c r="R26" s="301">
        <f t="shared" ca="1" si="11"/>
        <v>21.254441237156289</v>
      </c>
      <c r="S26" s="301">
        <f t="shared" ca="1" si="12"/>
        <v>0.13549676857028822</v>
      </c>
    </row>
    <row r="27" spans="1:20">
      <c r="A27" s="191"/>
      <c r="B27" s="124">
        <f t="shared" si="4"/>
        <v>7</v>
      </c>
      <c r="C27" s="120">
        <f t="shared" ca="1" si="5"/>
        <v>30638815</v>
      </c>
      <c r="D27" s="48">
        <f t="shared" ca="1" si="0"/>
        <v>5.0916070659334832E-3</v>
      </c>
      <c r="E27" s="120">
        <f t="shared" ca="1" si="6"/>
        <v>4419804</v>
      </c>
      <c r="F27" s="116">
        <f t="shared" ca="1" si="1"/>
        <v>4.4198040000000001</v>
      </c>
      <c r="G27" s="118">
        <f ca="1">C27/Summary!C$58</f>
        <v>4.8563663021080998E-3</v>
      </c>
      <c r="H27" s="119">
        <f ca="1">H26+M27*Summary!$C$26/1000000</f>
        <v>12.400362914739476</v>
      </c>
      <c r="I27" s="119">
        <f t="shared" si="7"/>
        <v>2435.4516666666664</v>
      </c>
      <c r="J27" s="122">
        <f ca="1">C26*Summary!C$49*Summary!C$62*24*365*1000*C$11</f>
        <v>68343645.362995595</v>
      </c>
      <c r="K27" s="122">
        <f t="shared" ca="1" si="2"/>
        <v>3535843645.3629956</v>
      </c>
      <c r="L27" s="120">
        <f t="shared" ca="1" si="3"/>
        <v>0</v>
      </c>
      <c r="M27" s="303">
        <f ca="1">C26*Summary!$C$49*Summary!$C$61</f>
        <v>557.27042859585436</v>
      </c>
      <c r="N27" s="302">
        <f ca="1">M27/'Alberta Electricity Profile'!$D$49</f>
        <v>4.2688648843358457E-3</v>
      </c>
      <c r="O27" s="303">
        <f t="shared" si="8"/>
        <v>347.92166666666662</v>
      </c>
      <c r="P27" s="303">
        <f t="shared" ca="1" si="9"/>
        <v>3.5525912656088412</v>
      </c>
      <c r="Q27" s="301">
        <f t="shared" ca="1" si="10"/>
        <v>6.37498615270193</v>
      </c>
      <c r="R27" s="301">
        <f t="shared" ca="1" si="11"/>
        <v>21.254441237156293</v>
      </c>
      <c r="S27" s="301">
        <f t="shared" ca="1" si="12"/>
        <v>0.13549676857028822</v>
      </c>
    </row>
    <row r="28" spans="1:20">
      <c r="A28" s="191"/>
      <c r="B28" s="124">
        <f t="shared" si="4"/>
        <v>8</v>
      </c>
      <c r="C28" s="120">
        <f t="shared" ca="1" si="5"/>
        <v>35073020</v>
      </c>
      <c r="D28" s="48">
        <f t="shared" ca="1" si="0"/>
        <v>5.9466774154367918E-3</v>
      </c>
      <c r="E28" s="120">
        <f t="shared" ca="1" si="6"/>
        <v>4434205</v>
      </c>
      <c r="F28" s="116">
        <f t="shared" ca="1" si="1"/>
        <v>4.4342050000000004</v>
      </c>
      <c r="G28" s="118">
        <f ca="1">C28/Summary!C$58</f>
        <v>5.5592043113013153E-3</v>
      </c>
      <c r="H28" s="119">
        <f ca="1">H27+M28*Summary!$C$26/1000000</f>
        <v>16.551823340062352</v>
      </c>
      <c r="I28" s="119">
        <f t="shared" si="7"/>
        <v>2783.373333333333</v>
      </c>
      <c r="J28" s="122">
        <f ca="1">C27*Summary!C$49*Summary!C$62*24*365*1000*C$11</f>
        <v>79864503.916735426</v>
      </c>
      <c r="K28" s="122">
        <f t="shared" ca="1" si="2"/>
        <v>3547364503.9167356</v>
      </c>
      <c r="L28" s="120">
        <f t="shared" ca="1" si="3"/>
        <v>0</v>
      </c>
      <c r="M28" s="303">
        <f ca="1">C27*Summary!$C$49*Summary!$C$61</f>
        <v>651.21089299360267</v>
      </c>
      <c r="N28" s="302">
        <f ca="1">M28/'Alberta Electricity Profile'!$D$49</f>
        <v>4.9884780723102934E-3</v>
      </c>
      <c r="O28" s="303">
        <f t="shared" si="8"/>
        <v>347.92166666666662</v>
      </c>
      <c r="P28" s="303">
        <f t="shared" ca="1" si="9"/>
        <v>4.1514604253228757</v>
      </c>
      <c r="Q28" s="301">
        <f t="shared" ca="1" si="10"/>
        <v>6.3749861527019309</v>
      </c>
      <c r="R28" s="301">
        <f t="shared" ca="1" si="11"/>
        <v>21.254441237156289</v>
      </c>
      <c r="S28" s="301">
        <f t="shared" ca="1" si="12"/>
        <v>0.13549676857028825</v>
      </c>
    </row>
    <row r="29" spans="1:20">
      <c r="A29" s="191"/>
      <c r="B29" s="124">
        <f t="shared" si="4"/>
        <v>9</v>
      </c>
      <c r="C29" s="120">
        <f t="shared" ca="1" si="5"/>
        <v>39521673</v>
      </c>
      <c r="D29" s="48">
        <f t="shared" ca="1" si="0"/>
        <v>6.8036081602223511E-3</v>
      </c>
      <c r="E29" s="120">
        <f t="shared" ca="1" si="6"/>
        <v>4448653</v>
      </c>
      <c r="F29" s="116">
        <f t="shared" ca="1" si="1"/>
        <v>4.4486530000000002</v>
      </c>
      <c r="G29" s="118">
        <f ca="1">C29/Summary!C$58</f>
        <v>6.2643323823109841E-3</v>
      </c>
      <c r="H29" s="119">
        <f ca="1">H28+M29*Summary!$C$26/1000000</f>
        <v>21.304104214063443</v>
      </c>
      <c r="I29" s="119">
        <f t="shared" si="7"/>
        <v>3131.2949999999996</v>
      </c>
      <c r="J29" s="122">
        <f ca="1">C28*Summary!C$49*Summary!C$62*24*365*1000*C$11</f>
        <v>91422900.760415852</v>
      </c>
      <c r="K29" s="122">
        <f t="shared" ca="1" si="2"/>
        <v>3558922900.760416</v>
      </c>
      <c r="L29" s="120">
        <f t="shared" ca="1" si="3"/>
        <v>0</v>
      </c>
      <c r="M29" s="303">
        <f ca="1">C28*Summary!$C$49*Summary!$C$61</f>
        <v>745.45744259960725</v>
      </c>
      <c r="N29" s="302">
        <f ca="1">M29/'Alberta Electricity Profile'!$D$49</f>
        <v>5.7104359682220206E-3</v>
      </c>
      <c r="O29" s="303">
        <f t="shared" si="8"/>
        <v>347.92166666666662</v>
      </c>
      <c r="P29" s="303">
        <f t="shared" ca="1" si="9"/>
        <v>4.7522808740010909</v>
      </c>
      <c r="Q29" s="301">
        <f t="shared" ca="1" si="10"/>
        <v>6.3749861527019309</v>
      </c>
      <c r="R29" s="301">
        <f t="shared" ca="1" si="11"/>
        <v>21.254441237156289</v>
      </c>
      <c r="S29" s="301">
        <f t="shared" ca="1" si="12"/>
        <v>0.13549676857028825</v>
      </c>
    </row>
    <row r="30" spans="1:20">
      <c r="A30" s="191"/>
      <c r="B30" s="124">
        <f t="shared" si="4"/>
        <v>10</v>
      </c>
      <c r="C30" s="120">
        <f t="shared" ca="1" si="5"/>
        <v>43984821</v>
      </c>
      <c r="D30" s="48">
        <f t="shared" ca="1" si="0"/>
        <v>7.662403853565234E-3</v>
      </c>
      <c r="E30" s="120">
        <f t="shared" ca="1" si="6"/>
        <v>4463148</v>
      </c>
      <c r="F30" s="116">
        <f t="shared" ca="1" si="1"/>
        <v>4.4631480000000003</v>
      </c>
      <c r="G30" s="118">
        <f ca="1">C30/Summary!C$58</f>
        <v>6.9717579648121732E-3</v>
      </c>
      <c r="H30" s="119">
        <f ca="1">H29+M30*Summary!$C$26/1000000</f>
        <v>26.659163194055051</v>
      </c>
      <c r="I30" s="119">
        <f t="shared" si="7"/>
        <v>3479.2166666666662</v>
      </c>
      <c r="J30" s="122">
        <f ca="1">C29*Summary!C$49*Summary!C$62*24*365*1000*C$11</f>
        <v>103018958.40633649</v>
      </c>
      <c r="K30" s="122">
        <f t="shared" ca="1" si="2"/>
        <v>3570518958.4063363</v>
      </c>
      <c r="L30" s="120">
        <f t="shared" ca="1" si="3"/>
        <v>0</v>
      </c>
      <c r="M30" s="303">
        <f ca="1">C29*Summary!$C$49*Summary!$C$61</f>
        <v>840.01107637260634</v>
      </c>
      <c r="N30" s="302">
        <f ca="1">M30/'Alberta Electricity Profile'!$D$49</f>
        <v>6.4347462244058002E-3</v>
      </c>
      <c r="O30" s="303">
        <f t="shared" si="8"/>
        <v>347.92166666666662</v>
      </c>
      <c r="P30" s="303">
        <f t="shared" ca="1" si="9"/>
        <v>5.3550589799916075</v>
      </c>
      <c r="Q30" s="301">
        <f t="shared" ca="1" si="10"/>
        <v>6.3749861527019283</v>
      </c>
      <c r="R30" s="301">
        <f t="shared" ca="1" si="11"/>
        <v>21.254441237156293</v>
      </c>
      <c r="S30" s="301">
        <f t="shared" ca="1" si="12"/>
        <v>0.1354967685702882</v>
      </c>
    </row>
    <row r="31" spans="1:20">
      <c r="A31" s="191"/>
      <c r="B31" s="124">
        <f t="shared" si="4"/>
        <v>11</v>
      </c>
      <c r="C31" s="120">
        <f t="shared" ca="1" si="5"/>
        <v>48462511</v>
      </c>
      <c r="D31" s="48">
        <f t="shared" ca="1" si="0"/>
        <v>8.523069057001495E-3</v>
      </c>
      <c r="E31" s="120">
        <f t="shared" ca="1" si="6"/>
        <v>4477690</v>
      </c>
      <c r="F31" s="116">
        <f t="shared" ca="1" si="1"/>
        <v>4.4776899999999999</v>
      </c>
      <c r="G31" s="118">
        <f ca="1">C31/Summary!C$58</f>
        <v>7.6814885084799493E-3</v>
      </c>
      <c r="H31" s="119">
        <f ca="1">H30+M31*Summary!$C$26/1000000</f>
        <v>32.618964305697602</v>
      </c>
      <c r="I31" s="119">
        <f t="shared" si="7"/>
        <v>3827.1383333333329</v>
      </c>
      <c r="J31" s="122">
        <f ca="1">C30*Summary!C$49*Summary!C$62*24*365*1000*C$11</f>
        <v>114652799.36679687</v>
      </c>
      <c r="K31" s="122">
        <f t="shared" ca="1" si="2"/>
        <v>3582152799.366797</v>
      </c>
      <c r="L31" s="120">
        <f t="shared" ca="1" si="3"/>
        <v>0</v>
      </c>
      <c r="M31" s="303">
        <f ca="1">C30*Summary!$C$49*Summary!$C$61</f>
        <v>934.87279327133786</v>
      </c>
      <c r="N31" s="302">
        <f ca="1">M31/'Alberta Electricity Profile'!$D$49</f>
        <v>7.1614164931964016E-3</v>
      </c>
      <c r="O31" s="303">
        <f t="shared" si="8"/>
        <v>347.92166666666662</v>
      </c>
      <c r="P31" s="303">
        <f t="shared" ca="1" si="9"/>
        <v>5.9598011116425518</v>
      </c>
      <c r="Q31" s="301">
        <f t="shared" ca="1" si="10"/>
        <v>6.3749861527019291</v>
      </c>
      <c r="R31" s="301">
        <f t="shared" ca="1" si="11"/>
        <v>21.254441237156289</v>
      </c>
      <c r="S31" s="301">
        <f t="shared" ca="1" si="12"/>
        <v>0.1354967685702882</v>
      </c>
    </row>
    <row r="32" spans="1:20">
      <c r="A32" s="191"/>
      <c r="B32" s="124">
        <f t="shared" si="4"/>
        <v>12</v>
      </c>
      <c r="C32" s="120">
        <f t="shared" ca="1" si="5"/>
        <v>52954791</v>
      </c>
      <c r="D32" s="48">
        <f t="shared" ca="1" si="0"/>
        <v>9.3856083368860938E-3</v>
      </c>
      <c r="E32" s="120">
        <f t="shared" ca="1" si="6"/>
        <v>4492280</v>
      </c>
      <c r="F32" s="116">
        <f t="shared" ca="1" si="1"/>
        <v>4.4922800000000001</v>
      </c>
      <c r="G32" s="118">
        <f ca="1">C32/Summary!C$58</f>
        <v>8.3935316214931045E-3</v>
      </c>
      <c r="H32" s="119">
        <f ca="1">H31+M32*Summary!$C$26/1000000</f>
        <v>39.185477942999647</v>
      </c>
      <c r="I32" s="119">
        <f t="shared" si="7"/>
        <v>4175.0599999999995</v>
      </c>
      <c r="J32" s="122">
        <f ca="1">C31*Summary!C$49*Summary!C$62*24*365*1000*C$11</f>
        <v>126324546.15409681</v>
      </c>
      <c r="K32" s="122">
        <f t="shared" ca="1" si="2"/>
        <v>3593824546.1540966</v>
      </c>
      <c r="L32" s="120">
        <f t="shared" ca="1" si="3"/>
        <v>0</v>
      </c>
      <c r="M32" s="303">
        <f ca="1">C31*Summary!$C$49*Summary!$C$61</f>
        <v>1030.0435922545403</v>
      </c>
      <c r="N32" s="302">
        <f ca="1">M32/'Alberta Electricity Profile'!$D$49</f>
        <v>7.8904544269286E-3</v>
      </c>
      <c r="O32" s="303">
        <f t="shared" si="8"/>
        <v>347.92166666666662</v>
      </c>
      <c r="P32" s="303">
        <f t="shared" ca="1" si="9"/>
        <v>6.5665136373020445</v>
      </c>
      <c r="Q32" s="301">
        <f t="shared" ca="1" si="10"/>
        <v>6.3749861527019274</v>
      </c>
      <c r="R32" s="301">
        <f t="shared" ca="1" si="11"/>
        <v>21.254441237156289</v>
      </c>
      <c r="S32" s="301">
        <f t="shared" ca="1" si="12"/>
        <v>0.13549676857028817</v>
      </c>
    </row>
    <row r="33" spans="1:19">
      <c r="A33" s="191"/>
      <c r="B33" s="124">
        <f t="shared" si="4"/>
        <v>13</v>
      </c>
      <c r="C33" s="120">
        <f t="shared" ca="1" si="5"/>
        <v>57461708</v>
      </c>
      <c r="D33" s="48">
        <f t="shared" ca="1" si="0"/>
        <v>1.0250026292496866E-2</v>
      </c>
      <c r="E33" s="120">
        <f t="shared" ca="1" si="6"/>
        <v>4506917</v>
      </c>
      <c r="F33" s="116">
        <f t="shared" ca="1" si="1"/>
        <v>4.5069169999999996</v>
      </c>
      <c r="G33" s="118">
        <f ca="1">C33/Summary!C$58</f>
        <v>9.1078947535267081E-3</v>
      </c>
      <c r="H33" s="119">
        <f ca="1">H32+M33*Summary!$C$26/1000000</f>
        <v>46.360681003814626</v>
      </c>
      <c r="I33" s="119">
        <f t="shared" si="7"/>
        <v>4522.9816666666666</v>
      </c>
      <c r="J33" s="122">
        <f ca="1">C32*Summary!C$49*Summary!C$62*24*365*1000*C$11</f>
        <v>138034323.8871806</v>
      </c>
      <c r="K33" s="122">
        <f t="shared" ca="1" si="2"/>
        <v>3605534323.8871808</v>
      </c>
      <c r="L33" s="120">
        <f t="shared" ca="1" si="3"/>
        <v>0</v>
      </c>
      <c r="M33" s="303">
        <f ca="1">C32*Summary!$C$49*Summary!$C$61</f>
        <v>1125.5244935353928</v>
      </c>
      <c r="N33" s="302">
        <f ca="1">M33/'Alberta Electricity Profile'!$D$49</f>
        <v>8.6218678407528008E-3</v>
      </c>
      <c r="O33" s="303">
        <f t="shared" si="8"/>
        <v>347.92166666666708</v>
      </c>
      <c r="P33" s="303">
        <f t="shared" ca="1" si="9"/>
        <v>7.1752030608149795</v>
      </c>
      <c r="Q33" s="301">
        <f t="shared" ca="1" si="10"/>
        <v>6.3749861527019274</v>
      </c>
      <c r="R33" s="301">
        <f t="shared" ca="1" si="11"/>
        <v>21.254441237156289</v>
      </c>
      <c r="S33" s="301">
        <f t="shared" ca="1" si="12"/>
        <v>0.1354967685702882</v>
      </c>
    </row>
    <row r="34" spans="1:19">
      <c r="A34" s="191"/>
      <c r="B34" s="124">
        <f t="shared" si="4"/>
        <v>14</v>
      </c>
      <c r="C34" s="120">
        <f t="shared" ca="1" si="5"/>
        <v>61983310</v>
      </c>
      <c r="D34" s="48">
        <f t="shared" ca="1" si="0"/>
        <v>1.1116327516458776E-2</v>
      </c>
      <c r="E34" s="120">
        <f t="shared" ca="1" si="6"/>
        <v>4521602</v>
      </c>
      <c r="F34" s="116">
        <f t="shared" ca="1" si="1"/>
        <v>4.5216019999999997</v>
      </c>
      <c r="G34" s="118">
        <f ca="1">C34/Summary!C$58</f>
        <v>9.8245855127595504E-3</v>
      </c>
      <c r="H34" s="119">
        <f ca="1">H33+M34*Summary!$C$26/1000000</f>
        <v>54.146556754344104</v>
      </c>
      <c r="I34" s="119">
        <f t="shared" si="7"/>
        <v>4870.9033333333336</v>
      </c>
      <c r="J34" s="122">
        <f ca="1">C33*Summary!C$49*Summary!C$62*24*365*1000*C$11</f>
        <v>149782255.0783478</v>
      </c>
      <c r="K34" s="122">
        <f t="shared" ca="1" si="2"/>
        <v>3617282255.0783477</v>
      </c>
      <c r="L34" s="120">
        <f t="shared" ca="1" si="3"/>
        <v>0</v>
      </c>
      <c r="M34" s="303">
        <f ca="1">C33*Summary!$C$49*Summary!$C$61</f>
        <v>1221.3164960726335</v>
      </c>
      <c r="N34" s="302">
        <f ca="1">M34/'Alberta Electricity Profile'!$D$49</f>
        <v>9.3556643870037724E-3</v>
      </c>
      <c r="O34" s="303">
        <f t="shared" si="8"/>
        <v>347.92166666666708</v>
      </c>
      <c r="P34" s="303">
        <f t="shared" ca="1" si="9"/>
        <v>7.7858757505294776</v>
      </c>
      <c r="Q34" s="301">
        <f t="shared" ca="1" si="10"/>
        <v>6.3749861527019283</v>
      </c>
      <c r="R34" s="301">
        <f t="shared" ca="1" si="11"/>
        <v>21.254441237156289</v>
      </c>
      <c r="S34" s="301">
        <f t="shared" ca="1" si="12"/>
        <v>0.1354967685702882</v>
      </c>
    </row>
    <row r="35" spans="1:19">
      <c r="A35" s="191"/>
      <c r="B35" s="124">
        <f t="shared" si="4"/>
        <v>15</v>
      </c>
      <c r="C35" s="120">
        <f t="shared" ca="1" si="5"/>
        <v>66519645</v>
      </c>
      <c r="D35" s="48">
        <f t="shared" ca="1" si="0"/>
        <v>1.198451662292461E-2</v>
      </c>
      <c r="E35" s="120">
        <f t="shared" ca="1" si="6"/>
        <v>4536335</v>
      </c>
      <c r="F35" s="116">
        <f t="shared" ca="1" si="1"/>
        <v>4.5363350000000002</v>
      </c>
      <c r="G35" s="118">
        <f ca="1">C35/Summary!C$58</f>
        <v>1.0543611507370423E-2</v>
      </c>
      <c r="H35" s="119">
        <f ca="1">H34+M35*Summary!$C$26/1000000</f>
        <v>62.545094964634536</v>
      </c>
      <c r="I35" s="119">
        <f t="shared" si="7"/>
        <v>5218.8250000000007</v>
      </c>
      <c r="J35" s="122">
        <f ca="1">C34*Summary!C$49*Summary!C$62*24*365*1000*C$11</f>
        <v>161568464.84654275</v>
      </c>
      <c r="K35" s="122">
        <f t="shared" ca="1" si="2"/>
        <v>3629068464.8465428</v>
      </c>
      <c r="L35" s="120">
        <f t="shared" ca="1" si="3"/>
        <v>0</v>
      </c>
      <c r="M35" s="303">
        <f ca="1">C34*Summary!$C$49*Summary!$C$61</f>
        <v>1317.420620079442</v>
      </c>
      <c r="N35" s="302">
        <f ca="1">M35/'Alberta Electricity Profile'!$D$49</f>
        <v>1.0091851880831925E-2</v>
      </c>
      <c r="O35" s="303">
        <f t="shared" si="8"/>
        <v>347.92166666666708</v>
      </c>
      <c r="P35" s="303">
        <f t="shared" ca="1" si="9"/>
        <v>8.3985382102904325</v>
      </c>
      <c r="Q35" s="301">
        <f t="shared" ca="1" si="10"/>
        <v>6.37498615270193</v>
      </c>
      <c r="R35" s="301">
        <f t="shared" ca="1" si="11"/>
        <v>21.254441237156293</v>
      </c>
      <c r="S35" s="301">
        <f t="shared" ca="1" si="12"/>
        <v>0.13549676857028825</v>
      </c>
    </row>
    <row r="36" spans="1:19">
      <c r="A36" s="191"/>
      <c r="B36" s="124">
        <f t="shared" si="4"/>
        <v>16</v>
      </c>
      <c r="C36" s="120">
        <f t="shared" ca="1" si="5"/>
        <v>71070761</v>
      </c>
      <c r="D36" s="48">
        <f t="shared" ca="1" si="0"/>
        <v>1.2854598240847542E-2</v>
      </c>
      <c r="E36" s="120">
        <f t="shared" ca="1" si="6"/>
        <v>4551116</v>
      </c>
      <c r="F36" s="116">
        <f t="shared" ca="1" si="1"/>
        <v>4.5511160000000004</v>
      </c>
      <c r="G36" s="118">
        <f ca="1">C36/Summary!C$58</f>
        <v>1.126498034553812E-2</v>
      </c>
      <c r="H36" s="119">
        <f ca="1">H35+M36*Summary!$C$26/1000000</f>
        <v>71.55829190857726</v>
      </c>
      <c r="I36" s="119">
        <f t="shared" si="7"/>
        <v>5566.7466666666678</v>
      </c>
      <c r="J36" s="122">
        <f ca="1">C35*Summary!C$49*Summary!C$62*24*365*1000*C$11</f>
        <v>173393078.3107098</v>
      </c>
      <c r="K36" s="122">
        <f t="shared" ca="1" si="2"/>
        <v>3640893078.31071</v>
      </c>
      <c r="L36" s="120">
        <f t="shared" ca="1" si="3"/>
        <v>0</v>
      </c>
      <c r="M36" s="303">
        <f ca="1">C35*Summary!$C$49*Summary!$C$61</f>
        <v>1413.837885768997</v>
      </c>
      <c r="N36" s="302">
        <f ca="1">M36/'Alberta Electricity Profile'!$D$49</f>
        <v>1.0830438137387658E-2</v>
      </c>
      <c r="O36" s="303">
        <f t="shared" si="8"/>
        <v>347.92166666666708</v>
      </c>
      <c r="P36" s="303">
        <f t="shared" ca="1" si="9"/>
        <v>9.0131969439427237</v>
      </c>
      <c r="Q36" s="301">
        <f t="shared" ca="1" si="10"/>
        <v>6.3749861527019265</v>
      </c>
      <c r="R36" s="301">
        <f t="shared" ca="1" si="11"/>
        <v>21.254441237156286</v>
      </c>
      <c r="S36" s="301">
        <f t="shared" ca="1" si="12"/>
        <v>0.13549676857028814</v>
      </c>
    </row>
    <row r="37" spans="1:19">
      <c r="A37" s="191"/>
      <c r="B37" s="124">
        <f t="shared" si="4"/>
        <v>17</v>
      </c>
      <c r="C37" s="120">
        <f t="shared" ca="1" si="5"/>
        <v>75636706</v>
      </c>
      <c r="D37" s="48">
        <f t="shared" ca="1" si="0"/>
        <v>1.3726577009628068E-2</v>
      </c>
      <c r="E37" s="120">
        <f t="shared" ca="1" si="6"/>
        <v>4565945</v>
      </c>
      <c r="F37" s="116">
        <f t="shared" ca="1" si="1"/>
        <v>4.5659450000000001</v>
      </c>
      <c r="G37" s="118">
        <f ca="1">C37/Summary!C$58</f>
        <v>1.1988699635441432E-2</v>
      </c>
      <c r="H37" s="119">
        <f ca="1">H36+M37*Summary!$C$26/1000000</f>
        <v>81.18815036390852</v>
      </c>
      <c r="I37" s="119">
        <f t="shared" si="7"/>
        <v>5914.6683333333349</v>
      </c>
      <c r="J37" s="122">
        <f ca="1">C36*Summary!C$49*Summary!C$62*24*365*1000*C$11</f>
        <v>185256220.58979329</v>
      </c>
      <c r="K37" s="122">
        <f t="shared" ca="1" si="2"/>
        <v>3652756220.5897932</v>
      </c>
      <c r="L37" s="120">
        <f t="shared" ca="1" si="3"/>
        <v>0</v>
      </c>
      <c r="M37" s="303">
        <f ca="1">C36*Summary!$C$49*Summary!$C$61</f>
        <v>1510.5693133544789</v>
      </c>
      <c r="N37" s="302">
        <f ca="1">M37/'Alberta Electricity Profile'!$D$49</f>
        <v>1.1571430971821384E-2</v>
      </c>
      <c r="O37" s="303">
        <f t="shared" si="8"/>
        <v>347.92166666666708</v>
      </c>
      <c r="P37" s="303">
        <f t="shared" ca="1" si="9"/>
        <v>9.6298584553312594</v>
      </c>
      <c r="Q37" s="301">
        <f t="shared" ca="1" si="10"/>
        <v>6.3749861527019256</v>
      </c>
      <c r="R37" s="301">
        <f t="shared" ca="1" si="11"/>
        <v>21.254441237156289</v>
      </c>
      <c r="S37" s="301">
        <f t="shared" ca="1" si="12"/>
        <v>0.13549676857028814</v>
      </c>
    </row>
    <row r="38" spans="1:19">
      <c r="A38" s="191"/>
      <c r="B38" s="124">
        <f t="shared" si="4"/>
        <v>18</v>
      </c>
      <c r="C38" s="120">
        <f t="shared" ca="1" si="5"/>
        <v>80217528</v>
      </c>
      <c r="D38" s="48">
        <f t="shared" ca="1" si="0"/>
        <v>1.4600457576211985E-2</v>
      </c>
      <c r="E38" s="120">
        <f t="shared" ca="1" si="6"/>
        <v>4580822</v>
      </c>
      <c r="F38" s="116">
        <f t="shared" ca="1" si="1"/>
        <v>4.5808220000000004</v>
      </c>
      <c r="G38" s="118">
        <f ca="1">C38/Summary!C$58</f>
        <v>1.2714776985259154E-2</v>
      </c>
      <c r="H38" s="119">
        <f ca="1">H37+M38*Summary!$C$26/1000000</f>
        <v>91.436679612209446</v>
      </c>
      <c r="I38" s="119">
        <f t="shared" si="7"/>
        <v>6262.590000000002</v>
      </c>
      <c r="J38" s="122">
        <f ca="1">C37*Summary!C$49*Summary!C$62*24*365*1000*C$11</f>
        <v>197158016.80273756</v>
      </c>
      <c r="K38" s="122">
        <f t="shared" ca="1" si="2"/>
        <v>3664658016.8027377</v>
      </c>
      <c r="L38" s="120">
        <f t="shared" ca="1" si="3"/>
        <v>0</v>
      </c>
      <c r="M38" s="303">
        <f ca="1">C37*Summary!$C$49*Summary!$C$61</f>
        <v>1607.6159230490664</v>
      </c>
      <c r="N38" s="302">
        <f ca="1">M38/'Alberta Electricity Profile'!$D$49</f>
        <v>1.2314838199283503E-2</v>
      </c>
      <c r="O38" s="303">
        <f t="shared" si="8"/>
        <v>347.92166666666708</v>
      </c>
      <c r="P38" s="303">
        <f t="shared" ca="1" si="9"/>
        <v>10.248529248300926</v>
      </c>
      <c r="Q38" s="301">
        <f t="shared" ca="1" si="10"/>
        <v>6.3749861527019274</v>
      </c>
      <c r="R38" s="301">
        <f t="shared" ca="1" si="11"/>
        <v>21.254441237156286</v>
      </c>
      <c r="S38" s="301">
        <f t="shared" ca="1" si="12"/>
        <v>0.13549676857028817</v>
      </c>
    </row>
    <row r="39" spans="1:19">
      <c r="A39" s="191"/>
      <c r="B39" s="124">
        <f t="shared" si="4"/>
        <v>19</v>
      </c>
      <c r="C39" s="120">
        <f t="shared" ca="1" si="5"/>
        <v>84813276</v>
      </c>
      <c r="D39" s="48">
        <f t="shared" ca="1" si="0"/>
        <v>1.5476244593104774E-2</v>
      </c>
      <c r="E39" s="120">
        <f t="shared" ca="1" si="6"/>
        <v>4595748</v>
      </c>
      <c r="F39" s="116">
        <f t="shared" ca="1" si="1"/>
        <v>4.5957480000000004</v>
      </c>
      <c r="G39" s="118">
        <f ca="1">C39/Summary!C$58</f>
        <v>1.34432201616738E-2</v>
      </c>
      <c r="H39" s="119">
        <f ca="1">H38+M39*Summary!$C$26/1000000</f>
        <v>102.30589543890606</v>
      </c>
      <c r="I39" s="119">
        <f t="shared" si="7"/>
        <v>6610.511666666669</v>
      </c>
      <c r="J39" s="122">
        <f ca="1">C38*Summary!C$49*Summary!C$62*24*365*1000*C$11</f>
        <v>209098592.06848684</v>
      </c>
      <c r="K39" s="122">
        <f t="shared" ca="1" si="2"/>
        <v>3676598592.0684867</v>
      </c>
      <c r="L39" s="120">
        <f t="shared" ca="1" si="3"/>
        <v>0</v>
      </c>
      <c r="M39" s="303">
        <f ca="1">C38*Summary!$C$49*Summary!$C$61</f>
        <v>1704.9787350659394</v>
      </c>
      <c r="N39" s="302">
        <f ca="1">M39/'Alberta Electricity Profile'!$D$49</f>
        <v>1.3060667634924427E-2</v>
      </c>
      <c r="O39" s="303">
        <f t="shared" si="8"/>
        <v>347.92166666666708</v>
      </c>
      <c r="P39" s="303">
        <f t="shared" ca="1" si="9"/>
        <v>10.869215826696617</v>
      </c>
      <c r="Q39" s="301">
        <f t="shared" ca="1" si="10"/>
        <v>6.3749861527019309</v>
      </c>
      <c r="R39" s="301">
        <f t="shared" ca="1" si="11"/>
        <v>21.254441237156293</v>
      </c>
      <c r="S39" s="301">
        <f t="shared" ca="1" si="12"/>
        <v>0.13549676857028825</v>
      </c>
    </row>
    <row r="40" spans="1:19">
      <c r="A40" s="191"/>
      <c r="B40" s="124">
        <f t="shared" si="4"/>
        <v>20</v>
      </c>
      <c r="C40" s="120">
        <f t="shared" ca="1" si="5"/>
        <v>89423998</v>
      </c>
      <c r="D40" s="48">
        <f t="shared" ca="1" si="0"/>
        <v>1.6353942736453991E-2</v>
      </c>
      <c r="E40" s="120">
        <f t="shared" ca="1" si="6"/>
        <v>4610722</v>
      </c>
      <c r="F40" s="116">
        <f t="shared" ca="1" si="1"/>
        <v>4.610722</v>
      </c>
      <c r="G40" s="118">
        <f ca="1">C40/Summary!C$58</f>
        <v>1.4174036772864163E-2</v>
      </c>
      <c r="H40" s="119">
        <f ca="1">H39+M40*Summary!$C$26/1000000</f>
        <v>113.79782026876605</v>
      </c>
      <c r="I40" s="119">
        <f t="shared" si="7"/>
        <v>6958.4333333333361</v>
      </c>
      <c r="J40" s="122">
        <f ca="1">C39*Summary!C$49*Summary!C$62*24*365*1000*C$11</f>
        <v>221078074.11263019</v>
      </c>
      <c r="K40" s="122">
        <f t="shared" ca="1" si="2"/>
        <v>3688578074.1126304</v>
      </c>
      <c r="L40" s="120">
        <f t="shared" ca="1" si="3"/>
        <v>0</v>
      </c>
      <c r="M40" s="303">
        <f ca="1">C39*Summary!$C$49*Summary!$C$61</f>
        <v>1802.6587908727179</v>
      </c>
      <c r="N40" s="302">
        <f ca="1">M40/'Alberta Electricity Profile'!$D$49</f>
        <v>1.3808927256710186E-2</v>
      </c>
      <c r="O40" s="303">
        <f t="shared" si="8"/>
        <v>347.92166666666708</v>
      </c>
      <c r="P40" s="303">
        <f t="shared" ca="1" si="9"/>
        <v>11.491924829859983</v>
      </c>
      <c r="Q40" s="301">
        <f t="shared" ca="1" si="10"/>
        <v>6.3749861527019309</v>
      </c>
      <c r="R40" s="301">
        <f t="shared" ca="1" si="11"/>
        <v>21.254441237156289</v>
      </c>
      <c r="S40" s="301">
        <f t="shared" ca="1" si="12"/>
        <v>0.13549676857028825</v>
      </c>
    </row>
    <row r="41" spans="1:19">
      <c r="A41" s="191"/>
      <c r="B41" s="124">
        <f t="shared" si="4"/>
        <v>21</v>
      </c>
      <c r="C41" s="120">
        <f t="shared" ca="1" si="5"/>
        <v>94049743</v>
      </c>
      <c r="D41" s="48">
        <f t="shared" ca="1" si="0"/>
        <v>1.7233556681875151E-2</v>
      </c>
      <c r="E41" s="120">
        <f t="shared" ca="1" si="6"/>
        <v>4625745</v>
      </c>
      <c r="F41" s="116">
        <f t="shared" ca="1" si="1"/>
        <v>4.6257450000000002</v>
      </c>
      <c r="G41" s="118">
        <f ca="1">C41/Summary!C$58</f>
        <v>1.490723458551276E-2</v>
      </c>
      <c r="H41" s="119">
        <f ca="1">H40+M41*Summary!$C$26/1000000</f>
        <v>125.91448303040197</v>
      </c>
      <c r="I41" s="119">
        <f t="shared" si="7"/>
        <v>7306.3550000000032</v>
      </c>
      <c r="J41" s="122">
        <f ca="1">C40*Summary!C$49*Summary!C$62*24*365*1000*C$11</f>
        <v>233096588.05411184</v>
      </c>
      <c r="K41" s="122">
        <f t="shared" ca="1" si="2"/>
        <v>3700596588.054112</v>
      </c>
      <c r="L41" s="120">
        <f t="shared" ca="1" si="3"/>
        <v>0</v>
      </c>
      <c r="M41" s="303">
        <f ca="1">C40*Summary!$C$49*Summary!$C$61</f>
        <v>1900.6571106825816</v>
      </c>
      <c r="N41" s="302">
        <f ca="1">M41/'Alberta Electricity Profile'!$D$49</f>
        <v>1.4559624879791191E-2</v>
      </c>
      <c r="O41" s="303">
        <f t="shared" si="8"/>
        <v>347.92166666666708</v>
      </c>
      <c r="P41" s="303">
        <f t="shared" ca="1" si="9"/>
        <v>12.116662761635922</v>
      </c>
      <c r="Q41" s="301">
        <f t="shared" ca="1" si="10"/>
        <v>6.3749861527019327</v>
      </c>
      <c r="R41" s="301">
        <f t="shared" ca="1" si="11"/>
        <v>21.254441237156289</v>
      </c>
      <c r="S41" s="301">
        <f t="shared" ca="1" si="12"/>
        <v>0.13549676857028828</v>
      </c>
    </row>
    <row r="42" spans="1:19">
      <c r="A42" s="191"/>
      <c r="B42" s="124">
        <f t="shared" si="4"/>
        <v>22</v>
      </c>
      <c r="C42" s="120">
        <f t="shared" ca="1" si="5"/>
        <v>98690560</v>
      </c>
      <c r="D42" s="48">
        <f t="shared" ca="1" si="0"/>
        <v>1.8115091122274735E-2</v>
      </c>
      <c r="E42" s="120">
        <f t="shared" ca="1" si="6"/>
        <v>4640817</v>
      </c>
      <c r="F42" s="116">
        <f t="shared" ca="1" si="1"/>
        <v>4.6408170000000002</v>
      </c>
      <c r="G42" s="118">
        <f ca="1">C42/Summary!C$58</f>
        <v>1.5642821366302108E-2</v>
      </c>
      <c r="H42" s="119">
        <f ca="1">H41+M42*Summary!$C$26/1000000</f>
        <v>138.65791929176805</v>
      </c>
      <c r="I42" s="119">
        <f t="shared" si="7"/>
        <v>7654.2766666666703</v>
      </c>
      <c r="J42" s="122">
        <f ca="1">C41*Summary!C$49*Summary!C$62*24*365*1000*C$11</f>
        <v>245154261.61852086</v>
      </c>
      <c r="K42" s="122">
        <f t="shared" ca="1" si="2"/>
        <v>3712654261.6185207</v>
      </c>
      <c r="L42" s="120">
        <f t="shared" ca="1" si="3"/>
        <v>0</v>
      </c>
      <c r="M42" s="303">
        <f ca="1">C41*Summary!$C$49*Summary!$C$61</f>
        <v>1998.974735963151</v>
      </c>
      <c r="N42" s="302">
        <f ca="1">M42/'Alberta Electricity Profile'!$D$49</f>
        <v>1.5312768482133482E-2</v>
      </c>
      <c r="O42" s="303">
        <f t="shared" si="8"/>
        <v>347.92166666666708</v>
      </c>
      <c r="P42" s="303">
        <f t="shared" ca="1" si="9"/>
        <v>12.743436261366085</v>
      </c>
      <c r="Q42" s="301">
        <f t="shared" ca="1" si="10"/>
        <v>6.37498615270193</v>
      </c>
      <c r="R42" s="301">
        <f t="shared" ca="1" si="11"/>
        <v>21.254441237156289</v>
      </c>
      <c r="S42" s="301">
        <f t="shared" ca="1" si="12"/>
        <v>0.13549676857028822</v>
      </c>
    </row>
    <row r="43" spans="1:19">
      <c r="A43" s="191"/>
      <c r="B43" s="124">
        <f t="shared" si="4"/>
        <v>23</v>
      </c>
      <c r="C43" s="120">
        <f t="shared" ca="1" si="5"/>
        <v>103346499</v>
      </c>
      <c r="D43" s="48">
        <f t="shared" ca="1" si="0"/>
        <v>1.8998550764091297E-2</v>
      </c>
      <c r="E43" s="120">
        <f t="shared" ca="1" si="6"/>
        <v>4655939</v>
      </c>
      <c r="F43" s="116">
        <f t="shared" ca="1" si="1"/>
        <v>4.655939</v>
      </c>
      <c r="G43" s="118">
        <f ca="1">C43/Summary!C$58</f>
        <v>1.6380805040418448E-2</v>
      </c>
      <c r="H43" s="119">
        <f ca="1">H42+M43*Summary!$C$26/1000000</f>
        <v>152.03017126016019</v>
      </c>
      <c r="I43" s="119">
        <f t="shared" si="7"/>
        <v>8002.1983333333374</v>
      </c>
      <c r="J43" s="122">
        <f ca="1">C42*Summary!C$49*Summary!C$62*24*365*1000*C$11</f>
        <v>257251222.53144634</v>
      </c>
      <c r="K43" s="122">
        <f t="shared" ca="1" si="2"/>
        <v>3724751222.5314465</v>
      </c>
      <c r="L43" s="120">
        <f t="shared" ca="1" si="3"/>
        <v>0</v>
      </c>
      <c r="M43" s="303">
        <f ca="1">C42*Summary!$C$49*Summary!$C$61</f>
        <v>2097.6127081820473</v>
      </c>
      <c r="N43" s="302">
        <f ca="1">M43/'Alberta Electricity Profile'!$D$49</f>
        <v>1.6068366041703096E-2</v>
      </c>
      <c r="O43" s="303">
        <f t="shared" si="8"/>
        <v>347.92166666666708</v>
      </c>
      <c r="P43" s="303">
        <f t="shared" ca="1" si="9"/>
        <v>13.372251968392135</v>
      </c>
      <c r="Q43" s="301">
        <f t="shared" ca="1" si="10"/>
        <v>6.3749861527019247</v>
      </c>
      <c r="R43" s="301">
        <f t="shared" ca="1" si="11"/>
        <v>21.254441237156293</v>
      </c>
      <c r="S43" s="301">
        <f t="shared" ca="1" si="12"/>
        <v>0.13549676857028814</v>
      </c>
    </row>
    <row r="44" spans="1:19">
      <c r="A44" s="191"/>
      <c r="B44" s="124">
        <f t="shared" si="4"/>
        <v>24</v>
      </c>
      <c r="C44" s="120">
        <f t="shared" ca="1" si="5"/>
        <v>108017608</v>
      </c>
      <c r="D44" s="48">
        <f t="shared" ca="1" si="0"/>
        <v>1.9883940340703201E-2</v>
      </c>
      <c r="E44" s="120">
        <f t="shared" ca="1" si="6"/>
        <v>4671109</v>
      </c>
      <c r="F44" s="116">
        <f t="shared" ca="1" si="1"/>
        <v>4.6711090000000004</v>
      </c>
      <c r="G44" s="118">
        <f ca="1">C44/Summary!C$58</f>
        <v>1.7121193216040578E-2</v>
      </c>
      <c r="H44" s="119">
        <f ca="1">H43+M44*Summary!$C$26/1000000</f>
        <v>166.0332879177127</v>
      </c>
      <c r="I44" s="119">
        <f t="shared" si="7"/>
        <v>8350.1200000000044</v>
      </c>
      <c r="J44" s="122">
        <f ca="1">C43*Summary!C$49*Summary!C$62*24*365*1000*C$11</f>
        <v>269387601.12512171</v>
      </c>
      <c r="K44" s="122">
        <f t="shared" ca="1" si="2"/>
        <v>3736887601.1251216</v>
      </c>
      <c r="L44" s="120">
        <f t="shared" ca="1" si="3"/>
        <v>0</v>
      </c>
      <c r="M44" s="303">
        <f ca="1">C43*Summary!$C$49*Summary!$C$61</f>
        <v>2196.5720900613314</v>
      </c>
      <c r="N44" s="302">
        <f ca="1">M44/'Alberta Electricity Profile'!$D$49</f>
        <v>1.6826425699281704E-2</v>
      </c>
      <c r="O44" s="303">
        <f t="shared" si="8"/>
        <v>347.92166666666708</v>
      </c>
      <c r="P44" s="303">
        <f t="shared" ca="1" si="9"/>
        <v>14.003116657552511</v>
      </c>
      <c r="Q44" s="301">
        <f t="shared" ca="1" si="10"/>
        <v>6.3749861527019238</v>
      </c>
      <c r="R44" s="301">
        <f t="shared" ca="1" si="11"/>
        <v>21.254441237156289</v>
      </c>
      <c r="S44" s="301">
        <f t="shared" ca="1" si="12"/>
        <v>0.13549676857028811</v>
      </c>
    </row>
    <row r="45" spans="1:19">
      <c r="A45" s="191"/>
      <c r="B45" s="124">
        <f t="shared" si="4"/>
        <v>25</v>
      </c>
      <c r="C45" s="120">
        <f t="shared" ca="1" si="5"/>
        <v>112703937</v>
      </c>
      <c r="D45" s="48">
        <f t="shared" ca="1" si="0"/>
        <v>2.0771264575884959E-2</v>
      </c>
      <c r="E45" s="120">
        <f t="shared" ca="1" si="6"/>
        <v>4686329</v>
      </c>
      <c r="F45" s="116">
        <f t="shared" ca="1" si="1"/>
        <v>4.6863289999999997</v>
      </c>
      <c r="G45" s="118">
        <f ca="1">C45/Summary!C$58</f>
        <v>1.7863993818354733E-2</v>
      </c>
      <c r="H45" s="119">
        <f ca="1">H44+M45*Summary!$C$26/1000000</f>
        <v>180.6693247504048</v>
      </c>
      <c r="I45" s="119">
        <f t="shared" si="7"/>
        <v>8698.0416666666715</v>
      </c>
      <c r="J45" s="122">
        <f ca="1">C44*Summary!C$49*Summary!C$62*24*365*1000*C$11</f>
        <v>281563522.51849139</v>
      </c>
      <c r="K45" s="122">
        <f t="shared" ca="1" si="2"/>
        <v>3749063522.5184913</v>
      </c>
      <c r="L45" s="120">
        <f t="shared" ca="1" si="3"/>
        <v>0</v>
      </c>
      <c r="M45" s="303">
        <f ca="1">C44*Summary!$C$49*Summary!$C$61</f>
        <v>2295.8539018141828</v>
      </c>
      <c r="N45" s="302">
        <f ca="1">M45/'Alberta Electricity Profile'!$D$49</f>
        <v>1.7586955270019709E-2</v>
      </c>
      <c r="O45" s="303">
        <f t="shared" si="8"/>
        <v>347.92166666666708</v>
      </c>
      <c r="P45" s="303">
        <f t="shared" ca="1" si="9"/>
        <v>14.636036832692099</v>
      </c>
      <c r="Q45" s="301">
        <f t="shared" ca="1" si="10"/>
        <v>6.3749861527019247</v>
      </c>
      <c r="R45" s="301">
        <f t="shared" ca="1" si="11"/>
        <v>21.254441237156286</v>
      </c>
      <c r="S45" s="301">
        <f t="shared" ca="1" si="12"/>
        <v>0.13549676857028808</v>
      </c>
    </row>
    <row r="46" spans="1:19">
      <c r="A46" s="191"/>
      <c r="B46" s="124">
        <f t="shared" si="4"/>
        <v>26</v>
      </c>
      <c r="C46" s="120">
        <f t="shared" ca="1" si="5"/>
        <v>113071160</v>
      </c>
      <c r="D46" s="48">
        <f t="shared" ca="1" si="0"/>
        <v>2.1660528215611534E-2</v>
      </c>
      <c r="E46" s="120">
        <f t="shared" ca="1" si="6"/>
        <v>4701598</v>
      </c>
      <c r="F46" s="116">
        <f t="shared" ca="1" si="1"/>
        <v>4.7015979999999997</v>
      </c>
      <c r="G46" s="118">
        <f ca="1">C46/Summary!C$58</f>
        <v>1.7922200031700745E-2</v>
      </c>
      <c r="H46" s="119">
        <f ca="1">H45+M46*Summary!$C$26/1000000</f>
        <v>195.94034401905415</v>
      </c>
      <c r="I46" s="119">
        <f t="shared" si="7"/>
        <v>9045.9633333333386</v>
      </c>
      <c r="J46" s="122">
        <f ca="1">C45*Summary!C$49*Summary!C$62*24*365*1000*C$11</f>
        <v>293779117.04378921</v>
      </c>
      <c r="K46" s="122">
        <f t="shared" ca="1" si="2"/>
        <v>3761279117.0437894</v>
      </c>
      <c r="L46" s="120">
        <f t="shared" ca="1" si="3"/>
        <v>4334375</v>
      </c>
      <c r="M46" s="303">
        <f ca="1">C45*Summary!$C$49*Summary!$C$61</f>
        <v>2395.4592061626645</v>
      </c>
      <c r="N46" s="302">
        <f ca="1">M46/'Alberta Electricity Profile'!$D$49</f>
        <v>1.8349962894698792E-2</v>
      </c>
      <c r="O46" s="303">
        <f t="shared" si="8"/>
        <v>347.92166666666708</v>
      </c>
      <c r="P46" s="303">
        <f t="shared" ca="1" si="9"/>
        <v>15.271019268649354</v>
      </c>
      <c r="Q46" s="301">
        <f t="shared" ca="1" si="10"/>
        <v>6.3749861527019345</v>
      </c>
      <c r="R46" s="301">
        <f t="shared" ca="1" si="11"/>
        <v>21.254441237156289</v>
      </c>
      <c r="S46" s="301">
        <f t="shared" ca="1" si="12"/>
        <v>0.13549676857028833</v>
      </c>
    </row>
    <row r="47" spans="1:19">
      <c r="A47" s="191"/>
      <c r="B47" s="124">
        <f t="shared" si="4"/>
        <v>27</v>
      </c>
      <c r="C47" s="120">
        <f t="shared" ca="1" si="5"/>
        <v>113425458</v>
      </c>
      <c r="D47" s="48">
        <f t="shared" ca="1" si="0"/>
        <v>2.248921727459385E-2</v>
      </c>
      <c r="E47" s="120">
        <f t="shared" ca="1" si="6"/>
        <v>4702795</v>
      </c>
      <c r="F47" s="116">
        <f t="shared" ca="1" si="1"/>
        <v>4.7027950000000001</v>
      </c>
      <c r="G47" s="118">
        <f ca="1">C47/Summary!C$58</f>
        <v>1.7978357584403235E-2</v>
      </c>
      <c r="H47" s="119">
        <f ca="1">H46+M47*Summary!$C$26/1000000</f>
        <v>211.26112081754817</v>
      </c>
      <c r="I47" s="119">
        <f t="shared" si="7"/>
        <v>9393.8850000000057</v>
      </c>
      <c r="J47" s="122">
        <f ca="1">C46*Summary!C$49*Summary!C$62*24*365*1000*C$11</f>
        <v>294736336.92066151</v>
      </c>
      <c r="K47" s="122">
        <f t="shared" ca="1" si="2"/>
        <v>3762236336.9206614</v>
      </c>
      <c r="L47" s="120">
        <f t="shared" ca="1" si="3"/>
        <v>4348497</v>
      </c>
      <c r="M47" s="303">
        <f ca="1">C46*Summary!$C$49*Summary!$C$61</f>
        <v>2403.2643258370967</v>
      </c>
      <c r="N47" s="302">
        <f ca="1">M47/'Alberta Electricity Profile'!$D$49</f>
        <v>1.8409752540060338E-2</v>
      </c>
      <c r="O47" s="303">
        <f t="shared" si="8"/>
        <v>347.92166666666708</v>
      </c>
      <c r="P47" s="303">
        <f t="shared" ca="1" si="9"/>
        <v>15.320776798494023</v>
      </c>
      <c r="Q47" s="301">
        <f t="shared" ca="1" si="10"/>
        <v>6.3749861527019265</v>
      </c>
      <c r="R47" s="301">
        <f t="shared" ca="1" si="11"/>
        <v>21.254441237156289</v>
      </c>
      <c r="S47" s="301">
        <f t="shared" ca="1" si="12"/>
        <v>0.13549676857028817</v>
      </c>
    </row>
    <row r="48" spans="1:19">
      <c r="A48" s="191"/>
      <c r="B48" s="124">
        <f t="shared" si="4"/>
        <v>28</v>
      </c>
      <c r="C48" s="120">
        <f t="shared" ca="1" si="5"/>
        <v>113766741</v>
      </c>
      <c r="D48" s="48">
        <f t="shared" ca="1" si="0"/>
        <v>2.3263642115338597E-2</v>
      </c>
      <c r="E48" s="120">
        <f t="shared" ca="1" si="6"/>
        <v>4703949</v>
      </c>
      <c r="F48" s="116">
        <f t="shared" ca="1" si="1"/>
        <v>4.7039489999999997</v>
      </c>
      <c r="G48" s="118">
        <f ca="1">C48/Summary!C$58</f>
        <v>1.8032452211126961E-2</v>
      </c>
      <c r="H48" s="119">
        <f ca="1">H47+M48*Summary!$C$26/1000000</f>
        <v>226.62990385015311</v>
      </c>
      <c r="I48" s="119">
        <f t="shared" si="7"/>
        <v>9741.8066666666728</v>
      </c>
      <c r="J48" s="122">
        <f ca="1">C47*Summary!C$49*Summary!C$62*24*365*1000*C$11</f>
        <v>295659865.91513127</v>
      </c>
      <c r="K48" s="122">
        <f t="shared" ca="1" si="2"/>
        <v>3763159865.9151311</v>
      </c>
      <c r="L48" s="120">
        <f t="shared" ca="1" si="3"/>
        <v>4362666</v>
      </c>
      <c r="M48" s="303">
        <f ca="1">C47*Summary!$C$49*Summary!$C$61</f>
        <v>2410.7947318585389</v>
      </c>
      <c r="N48" s="302">
        <f ca="1">M48/'Alberta Electricity Profile'!$D$49</f>
        <v>1.8467437793359572E-2</v>
      </c>
      <c r="O48" s="303">
        <f t="shared" si="8"/>
        <v>347.92166666666708</v>
      </c>
      <c r="P48" s="303">
        <f t="shared" ca="1" si="9"/>
        <v>15.368783032604938</v>
      </c>
      <c r="Q48" s="301">
        <f t="shared" ca="1" si="10"/>
        <v>6.3749861527019256</v>
      </c>
      <c r="R48" s="301">
        <f t="shared" ca="1" si="11"/>
        <v>21.254441237156289</v>
      </c>
      <c r="S48" s="301">
        <f t="shared" ca="1" si="12"/>
        <v>0.13549676857028814</v>
      </c>
    </row>
    <row r="49" spans="1:19">
      <c r="A49" s="191"/>
      <c r="B49" s="124">
        <f t="shared" si="4"/>
        <v>29</v>
      </c>
      <c r="C49" s="120">
        <f t="shared" ca="1" si="5"/>
        <v>114094921</v>
      </c>
      <c r="D49" s="48">
        <f t="shared" ca="1" si="0"/>
        <v>2.398924149689784E-2</v>
      </c>
      <c r="E49" s="120">
        <f t="shared" ca="1" si="6"/>
        <v>4705061</v>
      </c>
      <c r="F49" s="116">
        <f t="shared" ca="1" si="1"/>
        <v>4.7050609999999997</v>
      </c>
      <c r="G49" s="118">
        <f ca="1">C49/Summary!C$58</f>
        <v>1.8084469963544143E-2</v>
      </c>
      <c r="H49" s="119">
        <f ca="1">H48+M49*Summary!$C$26/1000000</f>
        <v>242.04492962642604</v>
      </c>
      <c r="I49" s="119">
        <f t="shared" si="7"/>
        <v>10089.72833333334</v>
      </c>
      <c r="J49" s="122">
        <f ca="1">C48*Summary!C$49*Summary!C$62*24*365*1000*C$11</f>
        <v>296549469.42917758</v>
      </c>
      <c r="K49" s="122">
        <f t="shared" ca="1" si="2"/>
        <v>3764049469.4291778</v>
      </c>
      <c r="L49" s="120">
        <f t="shared" ca="1" si="3"/>
        <v>4376881</v>
      </c>
      <c r="M49" s="303">
        <f ca="1">C48*Summary!$C$49*Summary!$C$61</f>
        <v>2418.0485113272789</v>
      </c>
      <c r="N49" s="302">
        <f ca="1">M49/'Alberta Electricity Profile'!$D$49</f>
        <v>1.8523004001189485E-2</v>
      </c>
      <c r="O49" s="303">
        <f t="shared" si="8"/>
        <v>347.92166666666708</v>
      </c>
      <c r="P49" s="303">
        <f t="shared" ca="1" si="9"/>
        <v>15.415025776272927</v>
      </c>
      <c r="Q49" s="301">
        <f t="shared" ca="1" si="10"/>
        <v>6.3749861527019336</v>
      </c>
      <c r="R49" s="301">
        <f t="shared" ca="1" si="11"/>
        <v>21.254441237156289</v>
      </c>
      <c r="S49" s="301">
        <f t="shared" ca="1" si="12"/>
        <v>0.13549676857028828</v>
      </c>
    </row>
    <row r="50" spans="1:19">
      <c r="A50" s="191"/>
      <c r="B50" s="124">
        <f t="shared" si="4"/>
        <v>30</v>
      </c>
      <c r="C50" s="120">
        <f t="shared" ca="1" si="5"/>
        <v>114409910</v>
      </c>
      <c r="D50" s="48">
        <f t="shared" ca="1" si="0"/>
        <v>2.4670727868074536E-2</v>
      </c>
      <c r="E50" s="120">
        <f t="shared" ca="1" si="6"/>
        <v>4706131</v>
      </c>
      <c r="F50" s="116">
        <f t="shared" ca="1" si="1"/>
        <v>4.7061310000000001</v>
      </c>
      <c r="G50" s="118">
        <f ca="1">C50/Summary!C$58</f>
        <v>1.8134396893326993E-2</v>
      </c>
      <c r="H50" s="119">
        <f ca="1">H49+M50*Summary!$C$26/1000000</f>
        <v>257.50442273220835</v>
      </c>
      <c r="I50" s="119">
        <f t="shared" si="7"/>
        <v>10437.650000000007</v>
      </c>
      <c r="J50" s="122">
        <f ca="1">C49*Summary!C$49*Summary!C$62*24*365*1000*C$11</f>
        <v>297404918.07806933</v>
      </c>
      <c r="K50" s="122">
        <f t="shared" ca="1" si="2"/>
        <v>3764904918.0780692</v>
      </c>
      <c r="L50" s="120">
        <f t="shared" ca="1" si="3"/>
        <v>4391142</v>
      </c>
      <c r="M50" s="303">
        <f ca="1">C49*Summary!$C$49*Summary!$C$61</f>
        <v>2425.0237938524892</v>
      </c>
      <c r="N50" s="302">
        <f ca="1">M50/'Alberta Electricity Profile'!$D$49</f>
        <v>1.8576436835774337E-2</v>
      </c>
      <c r="O50" s="303">
        <f t="shared" si="8"/>
        <v>347.92166666666708</v>
      </c>
      <c r="P50" s="303">
        <f t="shared" ca="1" si="9"/>
        <v>15.459493105782315</v>
      </c>
      <c r="Q50" s="301">
        <f t="shared" ca="1" si="10"/>
        <v>6.3749861527019283</v>
      </c>
      <c r="R50" s="301">
        <f t="shared" ca="1" si="11"/>
        <v>21.254441237156293</v>
      </c>
      <c r="S50" s="301">
        <f t="shared" ca="1" si="12"/>
        <v>0.1354967685702882</v>
      </c>
    </row>
    <row r="51" spans="1:19">
      <c r="A51" s="191"/>
      <c r="B51" s="124">
        <f t="shared" si="4"/>
        <v>31</v>
      </c>
      <c r="C51" s="120">
        <f t="shared" ca="1" si="5"/>
        <v>114711617</v>
      </c>
      <c r="D51" s="48">
        <f t="shared" ca="1" si="0"/>
        <v>2.5312204514236904E-2</v>
      </c>
      <c r="E51" s="120">
        <f t="shared" ca="1" si="6"/>
        <v>4707157</v>
      </c>
      <c r="F51" s="116">
        <f t="shared" ca="1" si="1"/>
        <v>4.7071569999999996</v>
      </c>
      <c r="G51" s="118">
        <f ca="1">C51/Summary!C$58</f>
        <v>1.8182218576636551E-2</v>
      </c>
      <c r="H51" s="119">
        <f ca="1">H50+M51*Summary!$C$26/1000000</f>
        <v>273.00659582962584</v>
      </c>
      <c r="I51" s="119">
        <f t="shared" si="7"/>
        <v>10785.571666666674</v>
      </c>
      <c r="J51" s="122">
        <f ca="1">C50*Summary!C$49*Summary!C$62*24*365*1000*C$11</f>
        <v>298225982.47707522</v>
      </c>
      <c r="K51" s="122">
        <f t="shared" ca="1" si="2"/>
        <v>3765725982.4770751</v>
      </c>
      <c r="L51" s="120">
        <f t="shared" ca="1" si="3"/>
        <v>4405450</v>
      </c>
      <c r="M51" s="303">
        <f ca="1">C50*Summary!$C$49*Summary!$C$61</f>
        <v>2431.7187090433399</v>
      </c>
      <c r="N51" s="302">
        <f ca="1">M51/'Alberta Electricity Profile'!$D$49</f>
        <v>1.8627721969338377E-2</v>
      </c>
      <c r="O51" s="303">
        <f t="shared" si="8"/>
        <v>347.92166666666708</v>
      </c>
      <c r="P51" s="303">
        <f t="shared" ca="1" si="9"/>
        <v>15.502173097417483</v>
      </c>
      <c r="Q51" s="301">
        <f t="shared" ca="1" si="10"/>
        <v>6.3749861527019203</v>
      </c>
      <c r="R51" s="301">
        <f t="shared" ca="1" si="11"/>
        <v>21.254441237156289</v>
      </c>
      <c r="S51" s="301">
        <f t="shared" ca="1" si="12"/>
        <v>0.13549676857028803</v>
      </c>
    </row>
    <row r="52" spans="1:19">
      <c r="A52" s="191"/>
      <c r="B52" s="124">
        <f t="shared" si="4"/>
        <v>32</v>
      </c>
      <c r="C52" s="120">
        <f t="shared" ca="1" si="5"/>
        <v>114999953</v>
      </c>
      <c r="D52" s="48">
        <f t="shared" ca="1" si="0"/>
        <v>2.5917260702594529E-2</v>
      </c>
      <c r="E52" s="120">
        <f t="shared" ca="1" si="6"/>
        <v>4708140</v>
      </c>
      <c r="F52" s="116">
        <f t="shared" ca="1" si="1"/>
        <v>4.7081400000000002</v>
      </c>
      <c r="G52" s="118">
        <f ca="1">C52/Summary!C$58</f>
        <v>1.8227920906641305E-2</v>
      </c>
      <c r="H52" s="119">
        <f ca="1">H51+M52*Summary!$C$26/1000000</f>
        <v>288.54964925059835</v>
      </c>
      <c r="I52" s="119">
        <f t="shared" si="7"/>
        <v>11133.493333333341</v>
      </c>
      <c r="J52" s="122">
        <f ca="1">C51*Summary!C$49*Summary!C$62*24*365*1000*C$11</f>
        <v>299012425.42153007</v>
      </c>
      <c r="K52" s="122">
        <f t="shared" ca="1" si="2"/>
        <v>3766512425.4215302</v>
      </c>
      <c r="L52" s="120">
        <f t="shared" ca="1" si="3"/>
        <v>4419804</v>
      </c>
      <c r="M52" s="303">
        <f ca="1">C51*Summary!$C$49*Summary!$C$61</f>
        <v>2438.1313227456781</v>
      </c>
      <c r="N52" s="302">
        <f ca="1">M52/'Alberta Electricity Profile'!$D$49</f>
        <v>1.8676844585658964E-2</v>
      </c>
      <c r="O52" s="303">
        <f t="shared" si="8"/>
        <v>347.92166666666708</v>
      </c>
      <c r="P52" s="303">
        <f t="shared" ca="1" si="9"/>
        <v>15.543053420972512</v>
      </c>
      <c r="Q52" s="301">
        <f t="shared" ca="1" si="10"/>
        <v>6.3749861527019194</v>
      </c>
      <c r="R52" s="301">
        <f t="shared" ca="1" si="11"/>
        <v>21.254441237156286</v>
      </c>
      <c r="S52" s="301">
        <f t="shared" ca="1" si="12"/>
        <v>0.13549676857028797</v>
      </c>
    </row>
    <row r="53" spans="1:19">
      <c r="A53" s="191"/>
      <c r="B53" s="124">
        <f t="shared" si="4"/>
        <v>33</v>
      </c>
      <c r="C53" s="120">
        <f t="shared" ca="1" si="5"/>
        <v>115274828</v>
      </c>
      <c r="D53" s="48">
        <f t="shared" ca="1" si="0"/>
        <v>2.6489049587340337E-2</v>
      </c>
      <c r="E53" s="120">
        <f t="shared" ca="1" si="6"/>
        <v>4709080</v>
      </c>
      <c r="F53" s="116">
        <f t="shared" ca="1" si="1"/>
        <v>4.7090800000000002</v>
      </c>
      <c r="G53" s="118">
        <f ca="1">C53/Summary!C$58</f>
        <v>1.8271489618006023E-2</v>
      </c>
      <c r="H53" s="119">
        <f ca="1">H52+M53*Summary!$C$26/1000000</f>
        <v>304.13177126783336</v>
      </c>
      <c r="I53" s="119">
        <f t="shared" si="7"/>
        <v>11481.415000000008</v>
      </c>
      <c r="J53" s="122">
        <f ca="1">C52*Summary!C$49*Summary!C$62*24*365*1000*C$11</f>
        <v>299764014.92005789</v>
      </c>
      <c r="K53" s="122">
        <f t="shared" ca="1" si="2"/>
        <v>3767264014.9200578</v>
      </c>
      <c r="L53" s="120">
        <f t="shared" ca="1" si="3"/>
        <v>4434205</v>
      </c>
      <c r="M53" s="303">
        <f ca="1">C52*Summary!$C$49*Summary!$C$61</f>
        <v>2444.259743314235</v>
      </c>
      <c r="N53" s="302">
        <f ca="1">M53/'Alberta Electricity Profile'!$D$49</f>
        <v>1.8723790194144725E-2</v>
      </c>
      <c r="O53" s="303">
        <f t="shared" si="8"/>
        <v>347.92166666666708</v>
      </c>
      <c r="P53" s="303">
        <f t="shared" ca="1" si="9"/>
        <v>15.582122017235008</v>
      </c>
      <c r="Q53" s="301">
        <f t="shared" ca="1" si="10"/>
        <v>6.3749861527019238</v>
      </c>
      <c r="R53" s="301">
        <f t="shared" ca="1" si="11"/>
        <v>21.254441237156289</v>
      </c>
      <c r="S53" s="301">
        <f t="shared" ca="1" si="12"/>
        <v>0.13549676857028808</v>
      </c>
    </row>
    <row r="54" spans="1:19">
      <c r="A54" s="191"/>
      <c r="B54" s="124">
        <f t="shared" si="4"/>
        <v>34</v>
      </c>
      <c r="C54" s="120">
        <f t="shared" ca="1" si="5"/>
        <v>115536150</v>
      </c>
      <c r="D54" s="48">
        <f t="shared" ca="1" si="0"/>
        <v>2.7030352332463464E-2</v>
      </c>
      <c r="E54" s="120">
        <f t="shared" ca="1" si="6"/>
        <v>4709975</v>
      </c>
      <c r="F54" s="116">
        <f t="shared" ca="1" si="1"/>
        <v>4.709975</v>
      </c>
      <c r="G54" s="118">
        <f ca="1">C54/Summary!C$58</f>
        <v>1.8312910128388017E-2</v>
      </c>
      <c r="H54" s="119">
        <f ca="1">H53+M54*Summary!$C$26/1000000</f>
        <v>319.75113795932913</v>
      </c>
      <c r="I54" s="119">
        <f t="shared" si="7"/>
        <v>11829.336666666675</v>
      </c>
      <c r="J54" s="122">
        <f ca="1">C53*Summary!C$49*Summary!C$62*24*365*1000*C$11</f>
        <v>300480516.37463796</v>
      </c>
      <c r="K54" s="122">
        <f t="shared" ca="1" si="2"/>
        <v>3767980516.3746381</v>
      </c>
      <c r="L54" s="120">
        <f t="shared" ca="1" si="3"/>
        <v>4448653</v>
      </c>
      <c r="M54" s="303">
        <f ca="1">C53*Summary!$C$49*Summary!$C$61</f>
        <v>2450.1020578492985</v>
      </c>
      <c r="N54" s="302">
        <f ca="1">M54/'Alberta Electricity Profile'!$D$49</f>
        <v>1.8768544141388649E-2</v>
      </c>
      <c r="O54" s="303">
        <f t="shared" si="8"/>
        <v>347.92166666666708</v>
      </c>
      <c r="P54" s="303">
        <f t="shared" ca="1" si="9"/>
        <v>15.61936669149577</v>
      </c>
      <c r="Q54" s="301">
        <f t="shared" ca="1" si="10"/>
        <v>6.3749861527019256</v>
      </c>
      <c r="R54" s="301">
        <f t="shared" ca="1" si="11"/>
        <v>21.254441237156289</v>
      </c>
      <c r="S54" s="301">
        <f t="shared" ca="1" si="12"/>
        <v>0.13549676857028814</v>
      </c>
    </row>
    <row r="55" spans="1:19">
      <c r="A55" s="191"/>
      <c r="B55" s="124">
        <f t="shared" si="4"/>
        <v>35</v>
      </c>
      <c r="C55" s="120">
        <f t="shared" ca="1" si="5"/>
        <v>115783829</v>
      </c>
      <c r="D55" s="48">
        <f t="shared" ca="1" si="0"/>
        <v>2.754363123095286E-2</v>
      </c>
      <c r="E55" s="120">
        <f t="shared" ca="1" si="6"/>
        <v>4710827</v>
      </c>
      <c r="F55" s="116">
        <f t="shared" ca="1" si="1"/>
        <v>4.7108270000000001</v>
      </c>
      <c r="G55" s="118">
        <f ca="1">C55/Summary!C$58</f>
        <v>1.8352168172452051E-2</v>
      </c>
      <c r="H55" s="119">
        <f ca="1">H54+M55*Summary!$C$26/1000000</f>
        <v>335.40591293738123</v>
      </c>
      <c r="I55" s="119">
        <f t="shared" si="7"/>
        <v>12177.258333333342</v>
      </c>
      <c r="J55" s="122">
        <f ca="1">C54*Summary!C$49*Summary!C$62*24*365*1000*C$11</f>
        <v>301161689.97396052</v>
      </c>
      <c r="K55" s="122">
        <f t="shared" ca="1" si="2"/>
        <v>3768661689.9739604</v>
      </c>
      <c r="L55" s="120">
        <f t="shared" ca="1" si="3"/>
        <v>4463148</v>
      </c>
      <c r="M55" s="303">
        <f ca="1">C54*Summary!$C$49*Summary!$C$61</f>
        <v>2455.6563109422746</v>
      </c>
      <c r="N55" s="302">
        <f ca="1">M55/'Alberta Electricity Profile'!$D$49</f>
        <v>1.8811091448352454E-2</v>
      </c>
      <c r="O55" s="303">
        <f t="shared" si="8"/>
        <v>347.92166666666708</v>
      </c>
      <c r="P55" s="303">
        <f t="shared" ca="1" si="9"/>
        <v>15.654774978052103</v>
      </c>
      <c r="Q55" s="301">
        <f t="shared" ca="1" si="10"/>
        <v>6.3749861527019291</v>
      </c>
      <c r="R55" s="301">
        <f t="shared" ca="1" si="11"/>
        <v>21.254441237156289</v>
      </c>
      <c r="S55" s="301">
        <f t="shared" ca="1" si="12"/>
        <v>0.1354967685702882</v>
      </c>
    </row>
    <row r="56" spans="1:19">
      <c r="A56" s="191"/>
      <c r="B56" s="124">
        <f t="shared" si="4"/>
        <v>36</v>
      </c>
      <c r="C56" s="120">
        <f t="shared" ca="1" si="5"/>
        <v>116017773</v>
      </c>
      <c r="D56" s="48">
        <f t="shared" ca="1" si="0"/>
        <v>2.8031074014072115E-2</v>
      </c>
      <c r="E56" s="120">
        <f t="shared" ca="1" si="6"/>
        <v>4711634</v>
      </c>
      <c r="F56" s="116">
        <f t="shared" ca="1" si="1"/>
        <v>4.7116340000000001</v>
      </c>
      <c r="G56" s="118">
        <f ca="1">C56/Summary!C$58</f>
        <v>1.8389249167855445E-2</v>
      </c>
      <c r="H56" s="119">
        <f ca="1">H55+M56*Summary!$C$26/1000000</f>
        <v>351.09424761957604</v>
      </c>
      <c r="I56" s="119">
        <f t="shared" si="7"/>
        <v>12525.180000000009</v>
      </c>
      <c r="J56" s="122">
        <f ca="1">C55*Summary!C$49*Summary!C$62*24*365*1000*C$11</f>
        <v>301807301.12000507</v>
      </c>
      <c r="K56" s="122">
        <f t="shared" ca="1" si="2"/>
        <v>3769307301.1200051</v>
      </c>
      <c r="L56" s="120">
        <f t="shared" ca="1" si="3"/>
        <v>4477690</v>
      </c>
      <c r="M56" s="303">
        <f ca="1">C55*Summary!$C$49*Summary!$C$61</f>
        <v>2460.9205896934523</v>
      </c>
      <c r="N56" s="302">
        <f ca="1">M56/'Alberta Electricity Profile'!$D$49</f>
        <v>1.8851417461629136E-2</v>
      </c>
      <c r="O56" s="303">
        <f t="shared" si="8"/>
        <v>347.92166666666708</v>
      </c>
      <c r="P56" s="303">
        <f t="shared" ca="1" si="9"/>
        <v>15.688334682194807</v>
      </c>
      <c r="Q56" s="301">
        <f t="shared" ca="1" si="10"/>
        <v>6.374986152701922</v>
      </c>
      <c r="R56" s="301">
        <f t="shared" ca="1" si="11"/>
        <v>21.254441237156289</v>
      </c>
      <c r="S56" s="301">
        <f t="shared" ca="1" si="12"/>
        <v>0.13549676857028806</v>
      </c>
    </row>
    <row r="57" spans="1:19">
      <c r="A57" s="191"/>
      <c r="B57" s="124">
        <f t="shared" si="4"/>
        <v>37</v>
      </c>
      <c r="C57" s="120">
        <f t="shared" ca="1" si="5"/>
        <v>116237889</v>
      </c>
      <c r="D57" s="48">
        <f t="shared" ca="1" si="0"/>
        <v>2.8494630933244162E-2</v>
      </c>
      <c r="E57" s="120">
        <f t="shared" ca="1" si="6"/>
        <v>4712396</v>
      </c>
      <c r="F57" s="116">
        <f t="shared" ca="1" si="1"/>
        <v>4.712396</v>
      </c>
      <c r="G57" s="118">
        <f ca="1">C57/Summary!C$58</f>
        <v>1.8424138373751783E-2</v>
      </c>
      <c r="H57" s="119">
        <f ca="1">H56+M57*Summary!$C$26/1000000</f>
        <v>366.81428095779728</v>
      </c>
      <c r="I57" s="119">
        <f t="shared" si="7"/>
        <v>12873.101666666676</v>
      </c>
      <c r="J57" s="122">
        <f ca="1">C56*Summary!C$49*Summary!C$62*24*365*1000*C$11</f>
        <v>302417110.00146133</v>
      </c>
      <c r="K57" s="122">
        <f t="shared" ca="1" si="2"/>
        <v>3769917110.0014615</v>
      </c>
      <c r="L57" s="120">
        <f t="shared" ca="1" si="3"/>
        <v>4492280</v>
      </c>
      <c r="M57" s="303">
        <f ca="1">C56*Summary!$C$49*Summary!$C$61</f>
        <v>2465.8929386942373</v>
      </c>
      <c r="N57" s="302">
        <f ca="1">M57/'Alberta Electricity Profile'!$D$49</f>
        <v>1.8889507202180411E-2</v>
      </c>
      <c r="O57" s="303">
        <f t="shared" si="8"/>
        <v>347.92166666666708</v>
      </c>
      <c r="P57" s="303">
        <f t="shared" ca="1" si="9"/>
        <v>15.720033338221242</v>
      </c>
      <c r="Q57" s="301">
        <f t="shared" ca="1" si="10"/>
        <v>6.3749861527019345</v>
      </c>
      <c r="R57" s="301">
        <f t="shared" ca="1" si="11"/>
        <v>21.254441237156286</v>
      </c>
      <c r="S57" s="301">
        <f t="shared" ca="1" si="12"/>
        <v>0.13549676857028831</v>
      </c>
    </row>
    <row r="58" spans="1:19">
      <c r="A58" s="191"/>
      <c r="B58" s="124">
        <f t="shared" si="4"/>
        <v>38</v>
      </c>
      <c r="C58" s="120">
        <f t="shared" ca="1" si="5"/>
        <v>116444085</v>
      </c>
      <c r="D58" s="48">
        <f t="shared" ca="1" si="0"/>
        <v>2.8936045997150158E-2</v>
      </c>
      <c r="E58" s="120">
        <f t="shared" ca="1" si="6"/>
        <v>4713113</v>
      </c>
      <c r="F58" s="116">
        <f t="shared" ca="1" si="1"/>
        <v>4.7131129999999999</v>
      </c>
      <c r="G58" s="118">
        <f ca="1">C58/Summary!C$58</f>
        <v>1.8456821207798384E-2</v>
      </c>
      <c r="H58" s="119">
        <f ca="1">H57+M58*Summary!$C$26/1000000</f>
        <v>382.56413930272913</v>
      </c>
      <c r="I58" s="119">
        <f t="shared" si="7"/>
        <v>13221.023333333344</v>
      </c>
      <c r="J58" s="122">
        <f ca="1">C57*Summary!C$49*Summary!C$62*24*365*1000*C$11</f>
        <v>302990874.20037496</v>
      </c>
      <c r="K58" s="122">
        <f t="shared" ca="1" si="2"/>
        <v>3770490874.2003751</v>
      </c>
      <c r="L58" s="120">
        <f t="shared" ca="1" si="3"/>
        <v>4506917</v>
      </c>
      <c r="M58" s="303">
        <f ca="1">C57*Summary!$C$49*Summary!$C$61</f>
        <v>2470.5713812815952</v>
      </c>
      <c r="N58" s="302">
        <f ca="1">M58/'Alberta Electricity Profile'!$D$49</f>
        <v>1.8925345528152372E-2</v>
      </c>
      <c r="O58" s="303">
        <f t="shared" si="8"/>
        <v>347.92166666666708</v>
      </c>
      <c r="P58" s="303">
        <f t="shared" ca="1" si="9"/>
        <v>15.749858344931852</v>
      </c>
      <c r="Q58" s="301">
        <f t="shared" ca="1" si="10"/>
        <v>6.3749861527019309</v>
      </c>
      <c r="R58" s="301">
        <f t="shared" ca="1" si="11"/>
        <v>21.254441237156289</v>
      </c>
      <c r="S58" s="301">
        <f t="shared" ca="1" si="12"/>
        <v>0.13549676857028822</v>
      </c>
    </row>
    <row r="59" spans="1:19">
      <c r="A59" s="191"/>
      <c r="B59" s="124">
        <f t="shared" si="4"/>
        <v>39</v>
      </c>
      <c r="C59" s="120">
        <f t="shared" ca="1" si="5"/>
        <v>116636268</v>
      </c>
      <c r="D59" s="48">
        <f t="shared" ca="1" si="0"/>
        <v>2.9356883423092422E-2</v>
      </c>
      <c r="E59" s="120">
        <f t="shared" ca="1" si="6"/>
        <v>4713785</v>
      </c>
      <c r="F59" s="116">
        <f t="shared" ca="1" si="1"/>
        <v>4.7137849999999997</v>
      </c>
      <c r="G59" s="118">
        <f ca="1">C59/Summary!C$58</f>
        <v>1.8487282929148835E-2</v>
      </c>
      <c r="H59" s="119">
        <f ca="1">H58+M59*Summary!$C$26/1000000</f>
        <v>398.34193653935313</v>
      </c>
      <c r="I59" s="119">
        <f t="shared" si="7"/>
        <v>13568.945000000011</v>
      </c>
      <c r="J59" s="122">
        <f ca="1">C58*Summary!C$49*Summary!C$62*24*365*1000*C$11</f>
        <v>303528353.9054358</v>
      </c>
      <c r="K59" s="122">
        <f t="shared" ca="1" si="2"/>
        <v>3771028353.9054356</v>
      </c>
      <c r="L59" s="120">
        <f t="shared" ca="1" si="3"/>
        <v>4521602</v>
      </c>
      <c r="M59" s="303">
        <f ca="1">C58*Summary!$C$49*Summary!$C$61</f>
        <v>2474.9539620469322</v>
      </c>
      <c r="N59" s="302">
        <f ca="1">M59/'Alberta Electricity Profile'!$D$49</f>
        <v>1.8958917460506746E-2</v>
      </c>
      <c r="O59" s="303">
        <f t="shared" si="8"/>
        <v>347.92166666666708</v>
      </c>
      <c r="P59" s="303">
        <f t="shared" ca="1" si="9"/>
        <v>15.777797236623996</v>
      </c>
      <c r="Q59" s="301">
        <f t="shared" ca="1" si="10"/>
        <v>6.3749861527019407</v>
      </c>
      <c r="R59" s="301">
        <f t="shared" ca="1" si="11"/>
        <v>21.254441237156289</v>
      </c>
      <c r="S59" s="301">
        <f t="shared" ca="1" si="12"/>
        <v>0.13549676857028845</v>
      </c>
    </row>
    <row r="60" spans="1:19">
      <c r="A60" s="191"/>
      <c r="B60" s="124">
        <f t="shared" si="4"/>
        <v>40</v>
      </c>
      <c r="C60" s="120">
        <f t="shared" ca="1" si="5"/>
        <v>116814344</v>
      </c>
      <c r="D60" s="48">
        <f t="shared" ca="1" si="0"/>
        <v>2.9758550101180649E-2</v>
      </c>
      <c r="E60" s="120">
        <f t="shared" ca="1" si="6"/>
        <v>4714411</v>
      </c>
      <c r="F60" s="116">
        <f t="shared" ca="1" si="1"/>
        <v>4.7144110000000001</v>
      </c>
      <c r="G60" s="118">
        <f ca="1">C60/Summary!C$58</f>
        <v>1.8515508638453002E-2</v>
      </c>
      <c r="H60" s="119">
        <f ca="1">H59+M60*Summary!$C$26/1000000</f>
        <v>414.14577395145125</v>
      </c>
      <c r="I60" s="119">
        <f t="shared" si="7"/>
        <v>13916.866666666678</v>
      </c>
      <c r="J60" s="122">
        <f ca="1">C59*Summary!C$49*Summary!C$62*24*365*1000*C$11</f>
        <v>304029306.6986894</v>
      </c>
      <c r="K60" s="122">
        <f t="shared" ca="1" si="2"/>
        <v>3771529306.6986895</v>
      </c>
      <c r="L60" s="120">
        <f t="shared" ca="1" si="3"/>
        <v>4536335</v>
      </c>
      <c r="M60" s="303">
        <f ca="1">C59*Summary!$C$49*Summary!$C$61</f>
        <v>2479.0387043272126</v>
      </c>
      <c r="N60" s="302">
        <f ca="1">M60/'Alberta Electricity Profile'!$D$49</f>
        <v>1.8990207857389616E-2</v>
      </c>
      <c r="O60" s="303">
        <f t="shared" si="8"/>
        <v>347.92166666666708</v>
      </c>
      <c r="P60" s="303">
        <f t="shared" ca="1" si="9"/>
        <v>15.803837412098119</v>
      </c>
      <c r="Q60" s="301">
        <f t="shared" ca="1" si="10"/>
        <v>6.3749861527019318</v>
      </c>
      <c r="R60" s="301">
        <f t="shared" ca="1" si="11"/>
        <v>21.254441237156293</v>
      </c>
      <c r="S60" s="301">
        <f t="shared" ca="1" si="12"/>
        <v>0.13549676857028828</v>
      </c>
    </row>
    <row r="61" spans="1:19">
      <c r="A61" s="191"/>
      <c r="B61" s="124">
        <f t="shared" si="4"/>
        <v>41</v>
      </c>
      <c r="C61" s="120">
        <f t="shared" ca="1" si="5"/>
        <v>116978219</v>
      </c>
      <c r="D61" s="48">
        <f t="shared" ca="1" si="0"/>
        <v>3.014231477107621E-2</v>
      </c>
      <c r="E61" s="120">
        <f t="shared" ca="1" si="6"/>
        <v>4714991</v>
      </c>
      <c r="F61" s="116">
        <f t="shared" ca="1" si="1"/>
        <v>4.7149910000000004</v>
      </c>
      <c r="G61" s="118">
        <f ca="1">C61/Summary!C$58</f>
        <v>1.8541483436360754E-2</v>
      </c>
      <c r="H61" s="119">
        <f ca="1">H60+M61*Summary!$C$26/1000000</f>
        <v>429.97374008610927</v>
      </c>
      <c r="I61" s="119">
        <f t="shared" si="7"/>
        <v>14264.788333333345</v>
      </c>
      <c r="J61" s="122">
        <f ca="1">C60*Summary!C$49*Summary!C$62*24*365*1000*C$11</f>
        <v>304493487.55553633</v>
      </c>
      <c r="K61" s="122">
        <f t="shared" ca="1" si="2"/>
        <v>3771993487.5555363</v>
      </c>
      <c r="L61" s="120">
        <f t="shared" ca="1" si="3"/>
        <v>4551116</v>
      </c>
      <c r="M61" s="303">
        <f ca="1">C60*Summary!$C$49*Summary!$C$61</f>
        <v>2482.8236102049605</v>
      </c>
      <c r="N61" s="302">
        <f ca="1">M61/'Alberta Electricity Profile'!$D$49</f>
        <v>1.901920141413144E-2</v>
      </c>
      <c r="O61" s="303">
        <f t="shared" si="8"/>
        <v>347.92166666666708</v>
      </c>
      <c r="P61" s="303">
        <f t="shared" ca="1" si="9"/>
        <v>15.827966134658027</v>
      </c>
      <c r="Q61" s="301">
        <f t="shared" ca="1" si="10"/>
        <v>6.3749861527019256</v>
      </c>
      <c r="R61" s="301">
        <f t="shared" ca="1" si="11"/>
        <v>21.254441237156289</v>
      </c>
      <c r="S61" s="301">
        <f t="shared" ca="1" si="12"/>
        <v>0.13549676857028814</v>
      </c>
    </row>
    <row r="62" spans="1:19">
      <c r="A62" s="191"/>
      <c r="B62" s="124">
        <f t="shared" si="4"/>
        <v>42</v>
      </c>
      <c r="C62" s="120">
        <f t="shared" ca="1" si="5"/>
        <v>117127799</v>
      </c>
      <c r="D62" s="48">
        <f t="shared" ca="1" si="0"/>
        <v>3.0509324468474115E-2</v>
      </c>
      <c r="E62" s="120">
        <f t="shared" ca="1" si="6"/>
        <v>4715525</v>
      </c>
      <c r="F62" s="116">
        <f t="shared" ca="1" si="1"/>
        <v>4.7155250000000004</v>
      </c>
      <c r="G62" s="118">
        <f ca="1">C62/Summary!C$58</f>
        <v>1.8565192423521951E-2</v>
      </c>
      <c r="H62" s="119">
        <f ca="1">H61+M62*Summary!$C$26/1000000</f>
        <v>445.82391075371675</v>
      </c>
      <c r="I62" s="119">
        <f t="shared" si="7"/>
        <v>14612.710000000012</v>
      </c>
      <c r="J62" s="122">
        <f ca="1">C61*Summary!C$49*Summary!C$62*24*365*1000*C$11</f>
        <v>304920651.45137745</v>
      </c>
      <c r="K62" s="122">
        <f t="shared" ca="1" si="2"/>
        <v>3772420651.4513774</v>
      </c>
      <c r="L62" s="120">
        <f t="shared" ca="1" si="3"/>
        <v>4565945</v>
      </c>
      <c r="M62" s="303">
        <f ca="1">C61*Summary!$C$49*Summary!$C$61</f>
        <v>2486.3066817626991</v>
      </c>
      <c r="N62" s="302">
        <f ca="1">M62/'Alberta Electricity Profile'!$D$49</f>
        <v>1.904588282606267E-2</v>
      </c>
      <c r="O62" s="303">
        <f t="shared" si="8"/>
        <v>347.92166666666708</v>
      </c>
      <c r="P62" s="303">
        <f t="shared" ca="1" si="9"/>
        <v>15.850170667607472</v>
      </c>
      <c r="Q62" s="301">
        <f t="shared" ca="1" si="10"/>
        <v>6.374986152701922</v>
      </c>
      <c r="R62" s="301">
        <f t="shared" ca="1" si="11"/>
        <v>21.254441237156289</v>
      </c>
      <c r="S62" s="301">
        <f t="shared" ca="1" si="12"/>
        <v>0.13549676857028806</v>
      </c>
    </row>
    <row r="63" spans="1:19">
      <c r="A63" s="191"/>
      <c r="B63" s="124">
        <f t="shared" si="4"/>
        <v>43</v>
      </c>
      <c r="C63" s="120">
        <f t="shared" ca="1" si="5"/>
        <v>117262990</v>
      </c>
      <c r="D63" s="48">
        <f t="shared" ca="1" si="0"/>
        <v>3.086061867672699E-2</v>
      </c>
      <c r="E63" s="120">
        <f t="shared" ca="1" si="6"/>
        <v>4716013</v>
      </c>
      <c r="F63" s="116">
        <f t="shared" ca="1" si="1"/>
        <v>4.7160130000000002</v>
      </c>
      <c r="G63" s="118">
        <f ca="1">C63/Summary!C$58</f>
        <v>1.8586620700586465E-2</v>
      </c>
      <c r="H63" s="119">
        <f ca="1">H62+M63*Summary!$C$26/1000000</f>
        <v>461.69434902796695</v>
      </c>
      <c r="I63" s="119">
        <f t="shared" si="7"/>
        <v>14960.631666666679</v>
      </c>
      <c r="J63" s="122">
        <f ca="1">C62*Summary!C$49*Summary!C$62*24*365*1000*C$11</f>
        <v>305310553.36161345</v>
      </c>
      <c r="K63" s="122">
        <f t="shared" ca="1" si="2"/>
        <v>3772810553.3616133</v>
      </c>
      <c r="L63" s="120">
        <f t="shared" ca="1" si="3"/>
        <v>4580822</v>
      </c>
      <c r="M63" s="303">
        <f ca="1">C62*Summary!$C$49*Summary!$C$61</f>
        <v>2489.4859210829532</v>
      </c>
      <c r="N63" s="302">
        <f ca="1">M63/'Alberta Electricity Profile'!$D$49</f>
        <v>1.9070236788513769E-2</v>
      </c>
      <c r="O63" s="303">
        <f t="shared" si="8"/>
        <v>347.92166666666708</v>
      </c>
      <c r="P63" s="303">
        <f t="shared" ca="1" si="9"/>
        <v>15.870438274250205</v>
      </c>
      <c r="Q63" s="301">
        <f t="shared" ca="1" si="10"/>
        <v>6.3749861527019167</v>
      </c>
      <c r="R63" s="301">
        <f t="shared" ca="1" si="11"/>
        <v>21.254441237156289</v>
      </c>
      <c r="S63" s="301">
        <f t="shared" ca="1" si="12"/>
        <v>0.13549676857028795</v>
      </c>
    </row>
    <row r="64" spans="1:19">
      <c r="A64" s="191"/>
      <c r="B64" s="124">
        <f t="shared" si="4"/>
        <v>44</v>
      </c>
      <c r="C64" s="120">
        <f t="shared" ca="1" si="5"/>
        <v>117383695</v>
      </c>
      <c r="D64" s="48">
        <f t="shared" ca="1" si="0"/>
        <v>3.1197141548702179E-2</v>
      </c>
      <c r="E64" s="120">
        <f t="shared" ca="1" si="6"/>
        <v>4716453</v>
      </c>
      <c r="F64" s="116">
        <f t="shared" ca="1" si="1"/>
        <v>4.7164529999999996</v>
      </c>
      <c r="G64" s="118">
        <f ca="1">C64/Summary!C$58</f>
        <v>1.8605752892692978E-2</v>
      </c>
      <c r="H64" s="119">
        <f ca="1">H63+M64*Summary!$C$26/1000000</f>
        <v>477.58310524585698</v>
      </c>
      <c r="I64" s="119">
        <f t="shared" si="7"/>
        <v>15308.553333333346</v>
      </c>
      <c r="J64" s="122">
        <f ca="1">C63*Summary!C$49*Summary!C$62*24*365*1000*C$11</f>
        <v>305662948.26164484</v>
      </c>
      <c r="K64" s="122">
        <f t="shared" ca="1" si="2"/>
        <v>3773162948.2616448</v>
      </c>
      <c r="L64" s="120">
        <f t="shared" ca="1" si="3"/>
        <v>4595748</v>
      </c>
      <c r="M64" s="303">
        <f ca="1">C63*Summary!$C$49*Summary!$C$61</f>
        <v>2492.3593302482454</v>
      </c>
      <c r="N64" s="302">
        <f ca="1">M64/'Alberta Electricity Profile'!$D$49</f>
        <v>1.9092247996815189E-2</v>
      </c>
      <c r="O64" s="303">
        <f t="shared" si="8"/>
        <v>347.92166666666708</v>
      </c>
      <c r="P64" s="303">
        <f t="shared" ca="1" si="9"/>
        <v>15.888756217890034</v>
      </c>
      <c r="Q64" s="301">
        <f t="shared" ca="1" si="10"/>
        <v>6.3749861527019354</v>
      </c>
      <c r="R64" s="301">
        <f t="shared" ca="1" si="11"/>
        <v>21.254441237156286</v>
      </c>
      <c r="S64" s="301">
        <f t="shared" ca="1" si="12"/>
        <v>0.13549676857028833</v>
      </c>
    </row>
    <row r="65" spans="1:19">
      <c r="A65" s="191"/>
      <c r="B65" s="124">
        <f t="shared" si="4"/>
        <v>45</v>
      </c>
      <c r="C65" s="120">
        <f t="shared" ca="1" si="5"/>
        <v>117489819</v>
      </c>
      <c r="D65" s="48">
        <f t="shared" ca="1" si="0"/>
        <v>3.1519752473094798E-2</v>
      </c>
      <c r="E65" s="120">
        <f t="shared" ca="1" si="6"/>
        <v>4716846</v>
      </c>
      <c r="F65" s="116">
        <f t="shared" ca="1" si="1"/>
        <v>4.7168460000000003</v>
      </c>
      <c r="G65" s="118">
        <f ca="1">C65/Summary!C$58</f>
        <v>1.8622573941987637E-2</v>
      </c>
      <c r="H65" s="119">
        <f ca="1">H64+M65*Summary!$C$26/1000000</f>
        <v>493.48821660119728</v>
      </c>
      <c r="I65" s="119">
        <f t="shared" si="7"/>
        <v>15656.475000000013</v>
      </c>
      <c r="J65" s="122">
        <f ca="1">C64*Summary!C$49*Summary!C$62*24*365*1000*C$11</f>
        <v>305977583.30693847</v>
      </c>
      <c r="K65" s="122">
        <f t="shared" ca="1" si="2"/>
        <v>3773477583.3069386</v>
      </c>
      <c r="L65" s="120">
        <f t="shared" ca="1" si="3"/>
        <v>4610722</v>
      </c>
      <c r="M65" s="303">
        <f ca="1">C64*Summary!$C$49*Summary!$C$61</f>
        <v>2494.9248475777763</v>
      </c>
      <c r="N65" s="302">
        <f ca="1">M65/'Alberta Electricity Profile'!$D$49</f>
        <v>1.9111900657850487E-2</v>
      </c>
      <c r="O65" s="303">
        <f t="shared" si="8"/>
        <v>347.92166666666708</v>
      </c>
      <c r="P65" s="303">
        <f t="shared" ca="1" si="9"/>
        <v>15.905111355340296</v>
      </c>
      <c r="Q65" s="301">
        <f t="shared" ca="1" si="10"/>
        <v>6.3749861527019291</v>
      </c>
      <c r="R65" s="301">
        <f t="shared" ca="1" si="11"/>
        <v>21.254441237156289</v>
      </c>
      <c r="S65" s="301">
        <f t="shared" ca="1" si="12"/>
        <v>0.1354967685702882</v>
      </c>
    </row>
    <row r="66" spans="1:19">
      <c r="A66" s="191"/>
      <c r="B66" s="124">
        <f t="shared" si="4"/>
        <v>46</v>
      </c>
      <c r="C66" s="120">
        <f t="shared" ca="1" si="5"/>
        <v>117581266</v>
      </c>
      <c r="D66" s="48">
        <f t="shared" ca="1" si="0"/>
        <v>3.1829235304857158E-2</v>
      </c>
      <c r="E66" s="120">
        <f t="shared" ca="1" si="6"/>
        <v>4717192</v>
      </c>
      <c r="F66" s="116">
        <f t="shared" ca="1" si="1"/>
        <v>4.7171919999999998</v>
      </c>
      <c r="G66" s="118">
        <f ca="1">C66/Summary!C$58</f>
        <v>1.8637068632112855E-2</v>
      </c>
      <c r="H66" s="119">
        <f ca="1">H65+M66*Summary!$C$26/1000000</f>
        <v>509.40770741560533</v>
      </c>
      <c r="I66" s="119">
        <f t="shared" si="7"/>
        <v>16004.39666666668</v>
      </c>
      <c r="J66" s="122">
        <f ca="1">C65*Summary!C$49*Summary!C$62*24*365*1000*C$11</f>
        <v>306254210.86625046</v>
      </c>
      <c r="K66" s="122">
        <f t="shared" ca="1" si="2"/>
        <v>3773754210.8662505</v>
      </c>
      <c r="L66" s="120">
        <f t="shared" ca="1" si="3"/>
        <v>4625745</v>
      </c>
      <c r="M66" s="303">
        <f ca="1">C65*Summary!$C$49*Summary!$C$61</f>
        <v>2497.1804538996284</v>
      </c>
      <c r="N66" s="302">
        <f ca="1">M66/'Alberta Electricity Profile'!$D$49</f>
        <v>1.9129179304134488E-2</v>
      </c>
      <c r="O66" s="303">
        <f t="shared" si="8"/>
        <v>347.92166666666708</v>
      </c>
      <c r="P66" s="303">
        <f t="shared" ca="1" si="9"/>
        <v>15.91949081440805</v>
      </c>
      <c r="Q66" s="301">
        <f t="shared" ca="1" si="10"/>
        <v>6.3749861527019291</v>
      </c>
      <c r="R66" s="301">
        <f t="shared" ca="1" si="11"/>
        <v>21.254441237156289</v>
      </c>
      <c r="S66" s="301">
        <f t="shared" ca="1" si="12"/>
        <v>0.13549676857028822</v>
      </c>
    </row>
    <row r="67" spans="1:19">
      <c r="A67" s="191"/>
      <c r="B67" s="124">
        <f t="shared" si="4"/>
        <v>47</v>
      </c>
      <c r="C67" s="120">
        <f t="shared" ca="1" si="5"/>
        <v>117657939</v>
      </c>
      <c r="D67" s="48">
        <f t="shared" ca="1" si="0"/>
        <v>3.2126306392417252E-2</v>
      </c>
      <c r="E67" s="120">
        <f t="shared" ca="1" si="6"/>
        <v>4717490</v>
      </c>
      <c r="F67" s="116">
        <f t="shared" ca="1" si="1"/>
        <v>4.7174899999999997</v>
      </c>
      <c r="G67" s="118">
        <f ca="1">C67/Summary!C$58</f>
        <v>1.8649221588207324E-2</v>
      </c>
      <c r="H67" s="119">
        <f ca="1">H66+M67*Summary!$C$26/1000000</f>
        <v>525.33958900300888</v>
      </c>
      <c r="I67" s="119">
        <f t="shared" si="7"/>
        <v>16352.318333333347</v>
      </c>
      <c r="J67" s="122">
        <f ca="1">C66*Summary!C$49*Summary!C$62*24*365*1000*C$11</f>
        <v>306492580.70169204</v>
      </c>
      <c r="K67" s="122">
        <f t="shared" ca="1" si="2"/>
        <v>3773992580.7016921</v>
      </c>
      <c r="L67" s="120">
        <f t="shared" ca="1" si="3"/>
        <v>4640817</v>
      </c>
      <c r="M67" s="303">
        <f ca="1">C66*Summary!$C$49*Summary!$C$61</f>
        <v>2499.1241087874428</v>
      </c>
      <c r="N67" s="302">
        <f ca="1">M67/'Alberta Electricity Profile'!$D$49</f>
        <v>1.9144068305366375E-2</v>
      </c>
      <c r="O67" s="303">
        <f t="shared" si="8"/>
        <v>347.92166666666708</v>
      </c>
      <c r="P67" s="303">
        <f t="shared" ca="1" si="9"/>
        <v>15.931881587403552</v>
      </c>
      <c r="Q67" s="301">
        <f t="shared" ca="1" si="10"/>
        <v>6.3749861527019513</v>
      </c>
      <c r="R67" s="301">
        <f t="shared" ca="1" si="11"/>
        <v>21.254441237156289</v>
      </c>
      <c r="S67" s="301">
        <f t="shared" ca="1" si="12"/>
        <v>0.13549676857028867</v>
      </c>
    </row>
    <row r="68" spans="1:19">
      <c r="A68" s="191"/>
      <c r="B68" s="124">
        <f t="shared" si="4"/>
        <v>48</v>
      </c>
      <c r="C68" s="120">
        <f t="shared" ca="1" si="5"/>
        <v>117719740</v>
      </c>
      <c r="D68" s="48">
        <f t="shared" ca="1" si="0"/>
        <v>3.2411621601494862E-2</v>
      </c>
      <c r="E68" s="120">
        <f t="shared" ca="1" si="6"/>
        <v>4717740</v>
      </c>
      <c r="F68" s="116">
        <f t="shared" ca="1" si="1"/>
        <v>4.71774</v>
      </c>
      <c r="G68" s="118">
        <f ca="1">C68/Summary!C$58</f>
        <v>1.8659017276906009E-2</v>
      </c>
      <c r="H68" s="119">
        <f ca="1">H67+M68*Summary!$C$26/1000000</f>
        <v>541.28185953414902</v>
      </c>
      <c r="I68" s="119">
        <f t="shared" si="7"/>
        <v>16700.240000000013</v>
      </c>
      <c r="J68" s="122">
        <f ca="1">C67*Summary!C$49*Summary!C$62*24*365*1000*C$11</f>
        <v>306692439.96872991</v>
      </c>
      <c r="K68" s="122">
        <f t="shared" ca="1" si="2"/>
        <v>3774192439.96873</v>
      </c>
      <c r="L68" s="120">
        <f t="shared" ca="1" si="3"/>
        <v>4655939</v>
      </c>
      <c r="M68" s="303">
        <f ca="1">C67*Summary!$C$49*Summary!$C$61</f>
        <v>2500.7537505604191</v>
      </c>
      <c r="N68" s="302">
        <f ca="1">M68/'Alberta Electricity Profile'!$D$49</f>
        <v>1.9156551868429707E-2</v>
      </c>
      <c r="O68" s="303">
        <f t="shared" si="8"/>
        <v>347.92166666666526</v>
      </c>
      <c r="P68" s="303">
        <f t="shared" ca="1" si="9"/>
        <v>15.942270531140139</v>
      </c>
      <c r="Q68" s="301">
        <f t="shared" ca="1" si="10"/>
        <v>6.3749861527019505</v>
      </c>
      <c r="R68" s="301">
        <f t="shared" ca="1" si="11"/>
        <v>21.254441237156289</v>
      </c>
      <c r="S68" s="301">
        <f t="shared" ca="1" si="12"/>
        <v>0.13549676857028864</v>
      </c>
    </row>
    <row r="69" spans="1:19">
      <c r="A69" s="191"/>
      <c r="B69" s="124">
        <f t="shared" si="4"/>
        <v>49</v>
      </c>
      <c r="C69" s="120">
        <f t="shared" ca="1" si="5"/>
        <v>117766572</v>
      </c>
      <c r="D69" s="48">
        <f t="shared" ca="1" si="0"/>
        <v>3.2685782478858658E-2</v>
      </c>
      <c r="E69" s="120">
        <f t="shared" ca="1" si="6"/>
        <v>4717941</v>
      </c>
      <c r="F69" s="116">
        <f t="shared" ca="1" si="1"/>
        <v>4.7179409999999997</v>
      </c>
      <c r="G69" s="118">
        <f ca="1">C69/Summary!C$58</f>
        <v>1.8666440323347598E-2</v>
      </c>
      <c r="H69" s="119">
        <f ca="1">H68+M69*Summary!$C$26/1000000</f>
        <v>557.23250390108353</v>
      </c>
      <c r="I69" s="119">
        <f t="shared" si="7"/>
        <v>17048.161666666678</v>
      </c>
      <c r="J69" s="122">
        <f ca="1">C68*Summary!C$49*Summary!C$62*24*365*1000*C$11</f>
        <v>306853533.21618605</v>
      </c>
      <c r="K69" s="122">
        <f t="shared" ca="1" si="2"/>
        <v>3774353533.216186</v>
      </c>
      <c r="L69" s="120">
        <f t="shared" ca="1" si="3"/>
        <v>4671109</v>
      </c>
      <c r="M69" s="303">
        <f ca="1">C68*Summary!$C$49*Summary!$C$61</f>
        <v>2502.0672962833164</v>
      </c>
      <c r="N69" s="302">
        <f ca="1">M69/'Alberta Electricity Profile'!$D$49</f>
        <v>1.9166614037392404E-2</v>
      </c>
      <c r="O69" s="303">
        <f t="shared" si="8"/>
        <v>347.92166666666526</v>
      </c>
      <c r="P69" s="303">
        <f t="shared" ca="1" si="9"/>
        <v>15.950644366934512</v>
      </c>
      <c r="Q69" s="301">
        <f t="shared" ca="1" si="10"/>
        <v>6.3749861527019354</v>
      </c>
      <c r="R69" s="301">
        <f t="shared" ca="1" si="11"/>
        <v>21.254441237156289</v>
      </c>
      <c r="S69" s="301">
        <f t="shared" ca="1" si="12"/>
        <v>0.13549676857028833</v>
      </c>
    </row>
    <row r="70" spans="1:19">
      <c r="A70" s="191"/>
      <c r="B70" s="124">
        <f t="shared" si="4"/>
        <v>50</v>
      </c>
      <c r="C70" s="120">
        <f t="shared" ca="1" si="5"/>
        <v>117798337</v>
      </c>
      <c r="D70" s="48">
        <f t="shared" ca="1" si="0"/>
        <v>3.2949341692010178E-2</v>
      </c>
      <c r="E70" s="120">
        <f t="shared" ca="1" si="6"/>
        <v>4718094</v>
      </c>
      <c r="F70" s="116">
        <f t="shared" ca="1" si="1"/>
        <v>4.7180939999999998</v>
      </c>
      <c r="G70" s="118">
        <f ca="1">C70/Summary!C$58</f>
        <v>1.8671475194167064E-2</v>
      </c>
      <c r="H70" s="119">
        <f ca="1">H69+M70*Summary!$C$26/1000000</f>
        <v>573.18949385268377</v>
      </c>
      <c r="I70" s="119">
        <f t="shared" si="7"/>
        <v>17396.083333333343</v>
      </c>
      <c r="J70" s="122">
        <f ca="1">C69*Summary!C$49*Summary!C$62*24*365*1000*C$11</f>
        <v>306975607.59952718</v>
      </c>
      <c r="K70" s="122">
        <f t="shared" ca="1" si="2"/>
        <v>3774475607.5995274</v>
      </c>
      <c r="L70" s="120">
        <f t="shared" ca="1" si="3"/>
        <v>4686329</v>
      </c>
      <c r="M70" s="303">
        <f ca="1">C69*Summary!$C$49*Summary!$C$61</f>
        <v>2503.0626842753354</v>
      </c>
      <c r="N70" s="302">
        <f ca="1">M70/'Alberta Electricity Profile'!$D$49</f>
        <v>1.9174239019138027E-2</v>
      </c>
      <c r="O70" s="303">
        <f t="shared" si="8"/>
        <v>347.92166666666526</v>
      </c>
      <c r="P70" s="303">
        <f t="shared" ca="1" si="9"/>
        <v>15.956989951600235</v>
      </c>
      <c r="Q70" s="301">
        <f t="shared" ca="1" si="10"/>
        <v>6.3749861527019496</v>
      </c>
      <c r="R70" s="301">
        <f t="shared" ca="1" si="11"/>
        <v>21.254441237156289</v>
      </c>
      <c r="S70" s="301">
        <f t="shared" ca="1" si="12"/>
        <v>0.13549676857028864</v>
      </c>
    </row>
    <row r="71" spans="1:19">
      <c r="A71" s="191"/>
      <c r="B71" s="124">
        <f t="shared" si="4"/>
        <v>51</v>
      </c>
      <c r="C71" s="120">
        <f t="shared" ca="1" si="5"/>
        <v>117814937</v>
      </c>
      <c r="D71" s="48">
        <f t="shared" ca="1" si="0"/>
        <v>3.3202807813632683E-2</v>
      </c>
      <c r="E71" s="120">
        <f t="shared" ca="1" si="6"/>
        <v>4718198</v>
      </c>
      <c r="F71" s="116">
        <f t="shared" ca="1" si="1"/>
        <v>4.7181980000000001</v>
      </c>
      <c r="G71" s="118">
        <f ca="1">C71/Summary!C$58</f>
        <v>1.8674106355999365E-2</v>
      </c>
      <c r="H71" s="119">
        <f ca="1">H70+M71*Summary!$C$26/1000000</f>
        <v>589.15078785913761</v>
      </c>
      <c r="I71" s="119">
        <f t="shared" si="7"/>
        <v>17744.005000000008</v>
      </c>
      <c r="J71" s="122">
        <f ca="1">C70*Summary!C$49*Summary!C$62*24*365*1000*C$11</f>
        <v>307058407.66757542</v>
      </c>
      <c r="K71" s="122">
        <f t="shared" ca="1" si="2"/>
        <v>3774558407.6675754</v>
      </c>
      <c r="L71" s="120">
        <f t="shared" ca="1" si="3"/>
        <v>4701598</v>
      </c>
      <c r="M71" s="303">
        <f ca="1">C70*Summary!$C$49*Summary!$C$61</f>
        <v>2503.7378316012337</v>
      </c>
      <c r="N71" s="302">
        <f ca="1">M71/'Alberta Electricity Profile'!$D$49</f>
        <v>1.9179410857734492E-2</v>
      </c>
      <c r="O71" s="303">
        <f t="shared" si="8"/>
        <v>347.92166666666526</v>
      </c>
      <c r="P71" s="303">
        <f t="shared" ca="1" si="9"/>
        <v>15.961294006453841</v>
      </c>
      <c r="Q71" s="301">
        <f t="shared" ca="1" si="10"/>
        <v>6.374986152701938</v>
      </c>
      <c r="R71" s="301">
        <f t="shared" ca="1" si="11"/>
        <v>21.254441237156289</v>
      </c>
      <c r="S71" s="301">
        <f t="shared" ca="1" si="12"/>
        <v>0.13549676857028839</v>
      </c>
    </row>
    <row r="72" spans="1:19">
      <c r="A72" s="191"/>
      <c r="B72" s="124">
        <f t="shared" si="4"/>
        <v>52</v>
      </c>
      <c r="C72" s="120">
        <f t="shared" ca="1" si="5"/>
        <v>117830394</v>
      </c>
      <c r="D72" s="48">
        <f t="shared" ca="1" si="0"/>
        <v>3.3446649561477484E-2</v>
      </c>
      <c r="E72" s="120">
        <f t="shared" ca="1" si="6"/>
        <v>4718252</v>
      </c>
      <c r="F72" s="116">
        <f t="shared" ca="1" si="1"/>
        <v>4.7182519999999997</v>
      </c>
      <c r="G72" s="118">
        <f ca="1">C72/Summary!C$58</f>
        <v>1.8676556348074181E-2</v>
      </c>
      <c r="H72" s="119">
        <f ca="1">H71+M72*Summary!$C$26/1000000</f>
        <v>605.1143311119497</v>
      </c>
      <c r="I72" s="119">
        <f t="shared" si="7"/>
        <v>18091.926666666674</v>
      </c>
      <c r="J72" s="122">
        <f ca="1">C71*Summary!C$49*Summary!C$62*24*365*1000*C$11</f>
        <v>307101677.96915251</v>
      </c>
      <c r="K72" s="122">
        <f t="shared" ca="1" si="2"/>
        <v>3774601677.9691525</v>
      </c>
      <c r="L72" s="120">
        <f t="shared" ca="1" si="3"/>
        <v>4702795</v>
      </c>
      <c r="M72" s="303">
        <f ca="1">C71*Summary!$C$49*Summary!$C$61</f>
        <v>2504.0906553257701</v>
      </c>
      <c r="N72" s="302">
        <f ca="1">M72/'Alberta Electricity Profile'!$D$49</f>
        <v>1.9182113597249719E-2</v>
      </c>
      <c r="O72" s="303">
        <f t="shared" si="8"/>
        <v>347.92166666666526</v>
      </c>
      <c r="P72" s="303">
        <f t="shared" ca="1" si="9"/>
        <v>15.963543252812087</v>
      </c>
      <c r="Q72" s="301">
        <f t="shared" ca="1" si="10"/>
        <v>6.3749861527019309</v>
      </c>
      <c r="R72" s="301">
        <f t="shared" ca="1" si="11"/>
        <v>21.254441237156286</v>
      </c>
      <c r="S72" s="301">
        <f t="shared" ca="1" si="12"/>
        <v>0.13549676857028822</v>
      </c>
    </row>
    <row r="73" spans="1:19">
      <c r="A73" s="191"/>
      <c r="B73" s="124">
        <f t="shared" si="4"/>
        <v>53</v>
      </c>
      <c r="C73" s="120">
        <f t="shared" ca="1" si="5"/>
        <v>117844747</v>
      </c>
      <c r="D73" s="48">
        <f t="shared" ca="1" si="0"/>
        <v>3.3681403312607508E-2</v>
      </c>
      <c r="E73" s="120">
        <f t="shared" ca="1" si="6"/>
        <v>4718302</v>
      </c>
      <c r="F73" s="116">
        <f t="shared" ca="1" si="1"/>
        <v>4.7183020000000004</v>
      </c>
      <c r="G73" s="118">
        <f ca="1">C73/Summary!C$58</f>
        <v>1.8678831352036771E-2</v>
      </c>
      <c r="H73" s="119">
        <f ca="1">H72+M73*Summary!$C$26/1000000</f>
        <v>621.0799687383136</v>
      </c>
      <c r="I73" s="119">
        <f t="shared" si="7"/>
        <v>18439.848333333339</v>
      </c>
      <c r="J73" s="122">
        <f ca="1">C72*Summary!C$49*Summary!C$62*24*365*1000*C$11</f>
        <v>307141968.87586808</v>
      </c>
      <c r="K73" s="122">
        <f t="shared" ca="1" si="2"/>
        <v>3774641968.8758678</v>
      </c>
      <c r="L73" s="120">
        <f t="shared" ca="1" si="3"/>
        <v>4703949</v>
      </c>
      <c r="M73" s="303">
        <f ca="1">C72*Summary!$C$49*Summary!$C$61</f>
        <v>2504.4191852239728</v>
      </c>
      <c r="N73" s="302">
        <f ca="1">M73/'Alberta Electricity Profile'!$D$49</f>
        <v>1.9184630238495919E-2</v>
      </c>
      <c r="O73" s="303">
        <f t="shared" si="8"/>
        <v>347.92166666666526</v>
      </c>
      <c r="P73" s="303">
        <f t="shared" ca="1" si="9"/>
        <v>15.9656376263639</v>
      </c>
      <c r="Q73" s="301">
        <f t="shared" ca="1" si="10"/>
        <v>6.3749861527019398</v>
      </c>
      <c r="R73" s="301">
        <f t="shared" ca="1" si="11"/>
        <v>21.254441237156289</v>
      </c>
      <c r="S73" s="301">
        <f t="shared" ca="1" si="12"/>
        <v>0.13549676857028839</v>
      </c>
    </row>
    <row r="74" spans="1:19">
      <c r="A74" s="191"/>
      <c r="B74" s="124">
        <f t="shared" si="4"/>
        <v>54</v>
      </c>
      <c r="C74" s="120">
        <f t="shared" ca="1" si="5"/>
        <v>117858035</v>
      </c>
      <c r="D74" s="48">
        <f t="shared" ca="1" si="0"/>
        <v>3.3907565993718074E-2</v>
      </c>
      <c r="E74" s="120">
        <f t="shared" ca="1" si="6"/>
        <v>4718349</v>
      </c>
      <c r="F74" s="116">
        <f t="shared" ca="1" si="1"/>
        <v>4.7183489999999999</v>
      </c>
      <c r="G74" s="118">
        <f ca="1">C74/Summary!C$58</f>
        <v>1.8680937549532414E-2</v>
      </c>
      <c r="H74" s="119">
        <f ca="1">H73+M74*Summary!$C$26/1000000</f>
        <v>637.04755114979673</v>
      </c>
      <c r="I74" s="119">
        <f t="shared" si="7"/>
        <v>18787.770000000004</v>
      </c>
      <c r="J74" s="122">
        <f ca="1">C73*Summary!C$49*Summary!C$62*24*365*1000*C$11</f>
        <v>307179382.04686439</v>
      </c>
      <c r="K74" s="122">
        <f t="shared" ca="1" si="2"/>
        <v>3774679382.0468645</v>
      </c>
      <c r="L74" s="120">
        <f t="shared" ca="1" si="3"/>
        <v>4705061</v>
      </c>
      <c r="M74" s="303">
        <f ca="1">C73*Summary!$C$49*Summary!$C$61</f>
        <v>2504.7242502190497</v>
      </c>
      <c r="N74" s="302">
        <f ca="1">M74/'Alberta Electricity Profile'!$D$49</f>
        <v>1.9186967131282793E-2</v>
      </c>
      <c r="O74" s="303">
        <f t="shared" si="8"/>
        <v>347.92166666666526</v>
      </c>
      <c r="P74" s="303">
        <f t="shared" ca="1" si="9"/>
        <v>15.967582411483136</v>
      </c>
      <c r="Q74" s="301">
        <f t="shared" ca="1" si="10"/>
        <v>6.3749861527019176</v>
      </c>
      <c r="R74" s="301">
        <f t="shared" ca="1" si="11"/>
        <v>21.254441237156289</v>
      </c>
      <c r="S74" s="301">
        <f t="shared" ca="1" si="12"/>
        <v>0.13549676857028795</v>
      </c>
    </row>
    <row r="75" spans="1:19">
      <c r="A75" s="191"/>
      <c r="B75" s="124">
        <f t="shared" si="4"/>
        <v>55</v>
      </c>
      <c r="C75" s="120">
        <f t="shared" ca="1" si="5"/>
        <v>117870296</v>
      </c>
      <c r="D75" s="48">
        <f t="shared" ca="1" si="0"/>
        <v>3.4125598667533952E-2</v>
      </c>
      <c r="E75" s="120">
        <f t="shared" ca="1" si="6"/>
        <v>4718392</v>
      </c>
      <c r="F75" s="116">
        <f t="shared" ca="1" si="1"/>
        <v>4.7183919999999997</v>
      </c>
      <c r="G75" s="118">
        <f ca="1">C75/Summary!C$58</f>
        <v>1.8682880963702648E-2</v>
      </c>
      <c r="H75" s="119">
        <f ca="1">H74+M75*Summary!$C$26/1000000</f>
        <v>653.01693404234061</v>
      </c>
      <c r="I75" s="119">
        <f t="shared" si="7"/>
        <v>19135.691666666669</v>
      </c>
      <c r="J75" s="122">
        <f ca="1">C74*Summary!C$49*Summary!C$62*24*365*1000*C$11</f>
        <v>307214019.14128345</v>
      </c>
      <c r="K75" s="122">
        <f t="shared" ca="1" si="2"/>
        <v>3774714019.1412835</v>
      </c>
      <c r="L75" s="120">
        <f t="shared" ca="1" si="3"/>
        <v>4706131</v>
      </c>
      <c r="M75" s="303">
        <f ca="1">C74*Summary!$C$49*Summary!$C$61</f>
        <v>2505.0066792342091</v>
      </c>
      <c r="N75" s="302">
        <f ca="1">M75/'Alberta Electricity Profile'!$D$49</f>
        <v>1.9189130625420044E-2</v>
      </c>
      <c r="O75" s="303">
        <f t="shared" si="8"/>
        <v>347.92166666666526</v>
      </c>
      <c r="P75" s="303">
        <f t="shared" ca="1" si="9"/>
        <v>15.969382892543877</v>
      </c>
      <c r="Q75" s="301">
        <f t="shared" ca="1" si="10"/>
        <v>6.3749861527019096</v>
      </c>
      <c r="R75" s="301">
        <f t="shared" ca="1" si="11"/>
        <v>21.254441237156289</v>
      </c>
      <c r="S75" s="301">
        <f t="shared" ca="1" si="12"/>
        <v>0.13549676857028778</v>
      </c>
    </row>
    <row r="76" spans="1:19">
      <c r="A76" s="191"/>
      <c r="B76" s="124">
        <f t="shared" si="4"/>
        <v>56</v>
      </c>
      <c r="C76" s="120">
        <f t="shared" ca="1" si="5"/>
        <v>117881571</v>
      </c>
      <c r="D76" s="48">
        <f t="shared" ca="1" si="0"/>
        <v>3.4335929727995214E-2</v>
      </c>
      <c r="E76" s="120">
        <f t="shared" ca="1" si="6"/>
        <v>4718432</v>
      </c>
      <c r="F76" s="116">
        <f t="shared" ca="1" si="1"/>
        <v>4.718432</v>
      </c>
      <c r="G76" s="118">
        <f ca="1">C76/Summary!C$58</f>
        <v>1.8684668093200189E-2</v>
      </c>
      <c r="H76" s="119">
        <f ca="1">H75+M76*Summary!$C$26/1000000</f>
        <v>668.98797826076395</v>
      </c>
      <c r="I76" s="119">
        <f t="shared" si="7"/>
        <v>19483.613333333335</v>
      </c>
      <c r="J76" s="122">
        <f ca="1">C75*Summary!C$49*Summary!C$62*24*365*1000*C$11</f>
        <v>307245979.21162307</v>
      </c>
      <c r="K76" s="122">
        <f t="shared" ca="1" si="2"/>
        <v>3774745979.2116232</v>
      </c>
      <c r="L76" s="120">
        <f t="shared" ca="1" si="3"/>
        <v>4707157</v>
      </c>
      <c r="M76" s="303">
        <f ca="1">C75*Summary!$C$49*Summary!$C$61</f>
        <v>2505.2672799382181</v>
      </c>
      <c r="N76" s="302">
        <f ca="1">M76/'Alberta Electricity Profile'!$D$49</f>
        <v>1.919112690790175E-2</v>
      </c>
      <c r="O76" s="303">
        <f t="shared" si="8"/>
        <v>347.92166666666526</v>
      </c>
      <c r="P76" s="303">
        <f t="shared" ca="1" si="9"/>
        <v>15.971044218423344</v>
      </c>
      <c r="Q76" s="301">
        <f t="shared" ca="1" si="10"/>
        <v>6.3749861527019194</v>
      </c>
      <c r="R76" s="301">
        <f t="shared" ca="1" si="11"/>
        <v>21.254441237156289</v>
      </c>
      <c r="S76" s="301">
        <f t="shared" ca="1" si="12"/>
        <v>0.135496768570288</v>
      </c>
    </row>
    <row r="77" spans="1:19">
      <c r="A77" s="191"/>
      <c r="B77" s="124">
        <f t="shared" si="4"/>
        <v>57</v>
      </c>
      <c r="C77" s="120">
        <f t="shared" ca="1" si="5"/>
        <v>117891900</v>
      </c>
      <c r="D77" s="48">
        <f t="shared" ca="1" si="0"/>
        <v>3.4538957786437258E-2</v>
      </c>
      <c r="E77" s="120">
        <f t="shared" ca="1" si="6"/>
        <v>4718469</v>
      </c>
      <c r="F77" s="116">
        <f t="shared" ca="1" si="1"/>
        <v>4.7184689999999998</v>
      </c>
      <c r="G77" s="118">
        <f ca="1">C77/Summary!C$58</f>
        <v>1.8686305278174036E-2</v>
      </c>
      <c r="H77" s="119">
        <f ca="1">H76+M77*Summary!$C$26/1000000</f>
        <v>684.96055020525296</v>
      </c>
      <c r="I77" s="119">
        <f t="shared" si="7"/>
        <v>19831.535</v>
      </c>
      <c r="J77" s="122">
        <f ca="1">C76*Summary!C$49*Summary!C$62*24*365*1000*C$11</f>
        <v>307275369.13031483</v>
      </c>
      <c r="K77" s="122">
        <f t="shared" ca="1" si="2"/>
        <v>3774775369.1303148</v>
      </c>
      <c r="L77" s="120">
        <f t="shared" ca="1" si="3"/>
        <v>4708140</v>
      </c>
      <c r="M77" s="303">
        <f ca="1">C76*Summary!$C$49*Summary!$C$61</f>
        <v>2505.5069237631669</v>
      </c>
      <c r="N77" s="302">
        <f ca="1">M77/'Alberta Electricity Profile'!$D$49</f>
        <v>1.9192962654168869E-2</v>
      </c>
      <c r="O77" s="303">
        <f t="shared" si="8"/>
        <v>347.92166666666526</v>
      </c>
      <c r="P77" s="303">
        <f t="shared" ca="1" si="9"/>
        <v>15.972571944489005</v>
      </c>
      <c r="Q77" s="301">
        <f t="shared" ca="1" si="10"/>
        <v>6.3749861527019318</v>
      </c>
      <c r="R77" s="301">
        <f t="shared" ca="1" si="11"/>
        <v>21.254441237156289</v>
      </c>
      <c r="S77" s="301">
        <f t="shared" ca="1" si="12"/>
        <v>0.13549676857028828</v>
      </c>
    </row>
    <row r="78" spans="1:19">
      <c r="A78" s="191"/>
      <c r="B78" s="124">
        <f t="shared" si="4"/>
        <v>58</v>
      </c>
      <c r="C78" s="120">
        <f t="shared" ca="1" si="5"/>
        <v>117901322</v>
      </c>
      <c r="D78" s="48">
        <f t="shared" ca="1" si="0"/>
        <v>3.4735054232342126E-2</v>
      </c>
      <c r="E78" s="120">
        <f t="shared" ca="1" si="6"/>
        <v>4718502</v>
      </c>
      <c r="F78" s="116">
        <f t="shared" ca="1" si="1"/>
        <v>4.718502</v>
      </c>
      <c r="G78" s="118">
        <f ca="1">C78/Summary!C$58</f>
        <v>1.8687798700269456E-2</v>
      </c>
      <c r="H78" s="119">
        <f ca="1">H77+M78*Summary!$C$26/1000000</f>
        <v>700.93452169586453</v>
      </c>
      <c r="I78" s="119">
        <f t="shared" si="7"/>
        <v>20179.456666666665</v>
      </c>
      <c r="J78" s="122">
        <f ca="1">C77*Summary!C$49*Summary!C$62*24*365*1000*C$11</f>
        <v>307302293.1631456</v>
      </c>
      <c r="K78" s="122">
        <f t="shared" ca="1" si="2"/>
        <v>3774802293.1631455</v>
      </c>
      <c r="L78" s="120">
        <f t="shared" ca="1" si="3"/>
        <v>4709080</v>
      </c>
      <c r="M78" s="303">
        <f ca="1">C77*Summary!$C$49*Summary!$C$61</f>
        <v>2505.7264608867054</v>
      </c>
      <c r="N78" s="302">
        <f ca="1">M78/'Alberta Electricity Profile'!$D$49</f>
        <v>1.9194644376846752E-2</v>
      </c>
      <c r="O78" s="303">
        <f t="shared" si="8"/>
        <v>347.92166666666526</v>
      </c>
      <c r="P78" s="303">
        <f t="shared" ca="1" si="9"/>
        <v>15.973971490611575</v>
      </c>
      <c r="Q78" s="301">
        <f t="shared" ca="1" si="10"/>
        <v>6.3749861527019354</v>
      </c>
      <c r="R78" s="301">
        <f t="shared" ca="1" si="11"/>
        <v>21.254441237156289</v>
      </c>
      <c r="S78" s="301">
        <f t="shared" ca="1" si="12"/>
        <v>0.13549676857028833</v>
      </c>
    </row>
    <row r="79" spans="1:19">
      <c r="A79" s="191"/>
      <c r="B79" s="124">
        <f t="shared" si="4"/>
        <v>59</v>
      </c>
      <c r="C79" s="120">
        <f t="shared" ca="1" si="5"/>
        <v>117909880</v>
      </c>
      <c r="D79" s="48">
        <f t="shared" ca="1" si="0"/>
        <v>3.4924565533674484E-2</v>
      </c>
      <c r="E79" s="120">
        <f t="shared" ca="1" si="6"/>
        <v>4718533</v>
      </c>
      <c r="F79" s="116">
        <f t="shared" ca="1" si="1"/>
        <v>4.7185329999999999</v>
      </c>
      <c r="G79" s="118">
        <f ca="1">C79/Summary!C$58</f>
        <v>1.8689155175146615E-2</v>
      </c>
      <c r="H79" s="119">
        <f ca="1">H78+M79*Summary!$C$26/1000000</f>
        <v>716.90976983702956</v>
      </c>
      <c r="I79" s="119">
        <f t="shared" si="7"/>
        <v>20527.37833333333</v>
      </c>
      <c r="J79" s="122">
        <f ca="1">C78*Summary!C$49*Summary!C$62*24*365*1000*C$11</f>
        <v>307326852.96925771</v>
      </c>
      <c r="K79" s="122">
        <f t="shared" ca="1" si="2"/>
        <v>3774826852.9692578</v>
      </c>
      <c r="L79" s="120">
        <f t="shared" ca="1" si="3"/>
        <v>4709975</v>
      </c>
      <c r="M79" s="303">
        <f ca="1">C78*Summary!$C$49*Summary!$C$61</f>
        <v>2505.926720232042</v>
      </c>
      <c r="N79" s="302">
        <f ca="1">M79/'Alberta Electricity Profile'!$D$49</f>
        <v>1.9196178425745097E-2</v>
      </c>
      <c r="O79" s="303">
        <f t="shared" si="8"/>
        <v>347.92166666666526</v>
      </c>
      <c r="P79" s="303">
        <f t="shared" ca="1" si="9"/>
        <v>15.975248141165025</v>
      </c>
      <c r="Q79" s="301">
        <f t="shared" ca="1" si="10"/>
        <v>6.3749861527019274</v>
      </c>
      <c r="R79" s="301">
        <f t="shared" ca="1" si="11"/>
        <v>21.254441237156289</v>
      </c>
      <c r="S79" s="301">
        <f t="shared" ca="1" si="12"/>
        <v>0.13549676857028817</v>
      </c>
    </row>
    <row r="80" spans="1:19">
      <c r="A80" s="191"/>
      <c r="B80" s="124">
        <f t="shared" si="4"/>
        <v>60</v>
      </c>
      <c r="C80" s="120">
        <f t="shared" ca="1" si="5"/>
        <v>117917614</v>
      </c>
      <c r="D80" s="48">
        <f t="shared" ca="1" si="0"/>
        <v>3.5107815339637763E-2</v>
      </c>
      <c r="E80" s="120">
        <f t="shared" ca="1" si="6"/>
        <v>4718561</v>
      </c>
      <c r="F80" s="116">
        <f t="shared" ca="1" si="1"/>
        <v>4.7185610000000002</v>
      </c>
      <c r="G80" s="118">
        <f ca="1">C80/Summary!C$58</f>
        <v>1.869038104295451E-2</v>
      </c>
      <c r="H80" s="119">
        <f ca="1">H79+M80*Summary!$C$26/1000000</f>
        <v>732.88617755953999</v>
      </c>
      <c r="I80" s="119">
        <f t="shared" si="7"/>
        <v>20875.299999999996</v>
      </c>
      <c r="J80" s="122">
        <f ca="1">C79*Summary!C$49*Summary!C$62*24*365*1000*C$11</f>
        <v>307349160.634372</v>
      </c>
      <c r="K80" s="122">
        <f t="shared" ca="1" si="2"/>
        <v>3774849160.6343718</v>
      </c>
      <c r="L80" s="120">
        <f t="shared" ca="1" si="3"/>
        <v>4710827</v>
      </c>
      <c r="M80" s="303">
        <f ca="1">C79*Summary!$C$49*Summary!$C$61</f>
        <v>2506.1086157401496</v>
      </c>
      <c r="N80" s="302">
        <f ca="1">M80/'Alberta Electricity Profile'!$D$49</f>
        <v>1.9197571801936139E-2</v>
      </c>
      <c r="O80" s="303">
        <f t="shared" si="8"/>
        <v>347.92166666666526</v>
      </c>
      <c r="P80" s="303">
        <f t="shared" ca="1" si="9"/>
        <v>15.97640772251043</v>
      </c>
      <c r="Q80" s="301">
        <f t="shared" ca="1" si="10"/>
        <v>6.3749861527019194</v>
      </c>
      <c r="R80" s="301">
        <f t="shared" ca="1" si="11"/>
        <v>21.254441237156289</v>
      </c>
      <c r="S80" s="301">
        <f t="shared" ca="1" si="12"/>
        <v>0.135496768570288</v>
      </c>
    </row>
    <row r="81" spans="1:19">
      <c r="A81" s="191"/>
      <c r="B81" s="124">
        <f t="shared" si="4"/>
        <v>61</v>
      </c>
      <c r="C81" s="120">
        <f t="shared" ca="1" si="5"/>
        <v>117924566</v>
      </c>
      <c r="D81" s="48">
        <f t="shared" ca="1" si="0"/>
        <v>3.5285106331911384E-2</v>
      </c>
      <c r="E81" s="120">
        <f t="shared" ca="1" si="6"/>
        <v>4718586</v>
      </c>
      <c r="F81" s="116">
        <f t="shared" ca="1" si="1"/>
        <v>4.7185860000000002</v>
      </c>
      <c r="G81" s="118">
        <f ca="1">C81/Summary!C$58</f>
        <v>1.8691482960849579E-2</v>
      </c>
      <c r="H81" s="119">
        <f ca="1">H80+M81*Summary!$C$26/1000000</f>
        <v>748.86363321405861</v>
      </c>
      <c r="I81" s="119">
        <f t="shared" si="7"/>
        <v>21223.221666666661</v>
      </c>
      <c r="J81" s="122">
        <f ca="1">C80*Summary!C$49*Summary!C$62*24*365*1000*C$11</f>
        <v>307369320.42427552</v>
      </c>
      <c r="K81" s="122">
        <f t="shared" ca="1" si="2"/>
        <v>3774869320.4242754</v>
      </c>
      <c r="L81" s="120">
        <f t="shared" ca="1" si="3"/>
        <v>4711634</v>
      </c>
      <c r="M81" s="303">
        <f ca="1">C80*Summary!$C$49*Summary!$C$61</f>
        <v>2506.2729975886778</v>
      </c>
      <c r="N81" s="302">
        <f ca="1">M81/'Alberta Electricity Profile'!$D$49</f>
        <v>1.9198831018045225E-2</v>
      </c>
      <c r="O81" s="303">
        <f t="shared" si="8"/>
        <v>347.92166666666526</v>
      </c>
      <c r="P81" s="303">
        <f t="shared" ca="1" si="9"/>
        <v>15.977455654518621</v>
      </c>
      <c r="Q81" s="301">
        <f t="shared" ca="1" si="10"/>
        <v>6.3749861527019478</v>
      </c>
      <c r="R81" s="301">
        <f t="shared" ca="1" si="11"/>
        <v>21.254441237156289</v>
      </c>
      <c r="S81" s="301">
        <f t="shared" ca="1" si="12"/>
        <v>0.13549676857028858</v>
      </c>
    </row>
    <row r="82" spans="1:19">
      <c r="A82" s="191"/>
      <c r="B82" s="124">
        <f t="shared" si="4"/>
        <v>62</v>
      </c>
      <c r="C82" s="120">
        <f t="shared" ca="1" si="5"/>
        <v>117930779</v>
      </c>
      <c r="D82" s="48">
        <f t="shared" ca="1" si="0"/>
        <v>3.5456721928142858E-2</v>
      </c>
      <c r="E82" s="120">
        <f t="shared" ca="1" si="6"/>
        <v>4718609</v>
      </c>
      <c r="F82" s="116">
        <f t="shared" ca="1" si="1"/>
        <v>4.7186089999999998</v>
      </c>
      <c r="G82" s="118">
        <f ca="1">C82/Summary!C$58</f>
        <v>1.8692467744491997E-2</v>
      </c>
      <c r="H82" s="119">
        <f ca="1">H81+M82*Summary!$C$26/1000000</f>
        <v>764.84203084211231</v>
      </c>
      <c r="I82" s="119">
        <f t="shared" si="7"/>
        <v>21571.143333333326</v>
      </c>
      <c r="J82" s="122">
        <f ca="1">C81*Summary!C$49*Summary!C$62*24*365*1000*C$11</f>
        <v>307387441.81804448</v>
      </c>
      <c r="K82" s="122">
        <f t="shared" ca="1" si="2"/>
        <v>3774887441.8180447</v>
      </c>
      <c r="L82" s="120">
        <f t="shared" ca="1" si="3"/>
        <v>4712396</v>
      </c>
      <c r="M82" s="303">
        <f ca="1">C81*Summary!$C$49*Summary!$C$61</f>
        <v>2506.4207584641586</v>
      </c>
      <c r="N82" s="302">
        <f ca="1">M82/'Alberta Electricity Profile'!$D$49</f>
        <v>1.9199962912328953E-2</v>
      </c>
      <c r="O82" s="303">
        <f t="shared" si="8"/>
        <v>347.92166666666526</v>
      </c>
      <c r="P82" s="303">
        <f t="shared" ca="1" si="9"/>
        <v>15.978397628053699</v>
      </c>
      <c r="Q82" s="301">
        <f t="shared" ca="1" si="10"/>
        <v>6.374986152701938</v>
      </c>
      <c r="R82" s="301">
        <f t="shared" ca="1" si="11"/>
        <v>21.254441237156289</v>
      </c>
      <c r="S82" s="301">
        <f t="shared" ca="1" si="12"/>
        <v>0.13549676857028839</v>
      </c>
    </row>
    <row r="83" spans="1:19">
      <c r="A83" s="191"/>
      <c r="B83" s="124">
        <f t="shared" si="4"/>
        <v>63</v>
      </c>
      <c r="C83" s="120">
        <f t="shared" ca="1" si="5"/>
        <v>117936295</v>
      </c>
      <c r="D83" s="48">
        <f t="shared" ca="1" si="0"/>
        <v>3.5622927817020915E-2</v>
      </c>
      <c r="E83" s="120">
        <f t="shared" ca="1" si="6"/>
        <v>4718629</v>
      </c>
      <c r="F83" s="116">
        <f t="shared" ca="1" si="1"/>
        <v>4.718629</v>
      </c>
      <c r="G83" s="118">
        <f ca="1">C83/Summary!C$58</f>
        <v>1.86933420510382E-2</v>
      </c>
      <c r="H83" s="119">
        <f ca="1">H82+M83*Summary!$C$26/1000000</f>
        <v>780.82127031158916</v>
      </c>
      <c r="I83" s="119">
        <f t="shared" si="7"/>
        <v>21919.064999999991</v>
      </c>
      <c r="J83" s="122">
        <f ca="1">C82*Summary!C$49*Summary!C$62*24*365*1000*C$11</f>
        <v>307403636.90139985</v>
      </c>
      <c r="K83" s="122">
        <f t="shared" ca="1" si="2"/>
        <v>3774903636.9013996</v>
      </c>
      <c r="L83" s="120">
        <f t="shared" ca="1" si="3"/>
        <v>4713113</v>
      </c>
      <c r="M83" s="303">
        <f ca="1">C82*Summary!$C$49*Summary!$C$61</f>
        <v>2506.5528123075651</v>
      </c>
      <c r="N83" s="302">
        <f ca="1">M83/'Alberta Electricity Profile'!$D$49</f>
        <v>1.9200974485859564E-2</v>
      </c>
      <c r="O83" s="303">
        <f t="shared" si="8"/>
        <v>347.92166666666526</v>
      </c>
      <c r="P83" s="303">
        <f t="shared" ca="1" si="9"/>
        <v>15.979239469476852</v>
      </c>
      <c r="Q83" s="301">
        <f t="shared" ca="1" si="10"/>
        <v>6.3749861527019478</v>
      </c>
      <c r="R83" s="301">
        <f t="shared" ca="1" si="11"/>
        <v>21.254441237156293</v>
      </c>
      <c r="S83" s="301">
        <f t="shared" ca="1" si="12"/>
        <v>0.13549676857028861</v>
      </c>
    </row>
    <row r="84" spans="1:19">
      <c r="A84" s="191"/>
      <c r="B84" s="124">
        <f t="shared" si="4"/>
        <v>64</v>
      </c>
      <c r="C84" s="120">
        <f t="shared" ca="1" si="5"/>
        <v>117941157</v>
      </c>
      <c r="D84" s="48">
        <f t="shared" ca="1" si="0"/>
        <v>3.5783973337265296E-2</v>
      </c>
      <c r="E84" s="120">
        <f t="shared" ca="1" si="6"/>
        <v>4718647</v>
      </c>
      <c r="F84" s="116">
        <f t="shared" ca="1" si="1"/>
        <v>4.7186469999999998</v>
      </c>
      <c r="G84" s="118">
        <f ca="1">C84/Summary!C$58</f>
        <v>1.869411269614836E-2</v>
      </c>
      <c r="H84" s="119">
        <f ca="1">H83+M84*Summary!$C$26/1000000</f>
        <v>796.80125718124145</v>
      </c>
      <c r="I84" s="119">
        <f t="shared" si="7"/>
        <v>22266.986666666657</v>
      </c>
      <c r="J84" s="122">
        <f ca="1">C83*Summary!C$49*Summary!C$62*24*365*1000*C$11</f>
        <v>307418015.15341783</v>
      </c>
      <c r="K84" s="122">
        <f t="shared" ca="1" si="2"/>
        <v>3774918015.1534176</v>
      </c>
      <c r="L84" s="120">
        <f t="shared" ca="1" si="3"/>
        <v>4713785</v>
      </c>
      <c r="M84" s="303">
        <f ca="1">C83*Summary!$C$49*Summary!$C$61</f>
        <v>2506.670051805429</v>
      </c>
      <c r="N84" s="302">
        <f ca="1">M84/'Alberta Electricity Profile'!$D$49</f>
        <v>1.920187257689366E-2</v>
      </c>
      <c r="O84" s="303">
        <f t="shared" si="8"/>
        <v>347.92166666666526</v>
      </c>
      <c r="P84" s="303">
        <f t="shared" ca="1" si="9"/>
        <v>15.979986869652294</v>
      </c>
      <c r="Q84" s="301">
        <f t="shared" ca="1" si="10"/>
        <v>6.3749861527019522</v>
      </c>
      <c r="R84" s="301">
        <f t="shared" ca="1" si="11"/>
        <v>21.254441237156289</v>
      </c>
      <c r="S84" s="301">
        <f t="shared" ca="1" si="12"/>
        <v>0.13549676857028867</v>
      </c>
    </row>
    <row r="85" spans="1:19">
      <c r="A85" s="191"/>
      <c r="B85" s="124">
        <f t="shared" si="4"/>
        <v>65</v>
      </c>
      <c r="C85" s="120">
        <f t="shared" ca="1" si="5"/>
        <v>117945409</v>
      </c>
      <c r="D85" s="48">
        <f t="shared" ca="1" si="0"/>
        <v>3.5940092741308168E-2</v>
      </c>
      <c r="E85" s="120">
        <f t="shared" ca="1" si="6"/>
        <v>4718663</v>
      </c>
      <c r="F85" s="116">
        <f t="shared" ca="1" si="1"/>
        <v>4.7186630000000003</v>
      </c>
      <c r="G85" s="118">
        <f ca="1">C85/Summary!C$58</f>
        <v>1.869478665398637E-2</v>
      </c>
      <c r="H85" s="119">
        <f ca="1">H84+M85*Summary!$C$26/1000000</f>
        <v>812.78190283618244</v>
      </c>
      <c r="I85" s="119">
        <f t="shared" si="7"/>
        <v>22614.908333333322</v>
      </c>
      <c r="J85" s="122">
        <f ca="1">C84*Summary!C$49*Summary!C$62*24*365*1000*C$11</f>
        <v>307430688.6598196</v>
      </c>
      <c r="K85" s="122">
        <f t="shared" ca="1" si="2"/>
        <v>3774930688.6598196</v>
      </c>
      <c r="L85" s="120">
        <f t="shared" ca="1" si="3"/>
        <v>4714411</v>
      </c>
      <c r="M85" s="303">
        <f ca="1">C84*Summary!$C$49*Summary!$C$61</f>
        <v>2506.7733908987243</v>
      </c>
      <c r="N85" s="302">
        <f ca="1">M85/'Alberta Electricity Profile'!$D$49</f>
        <v>1.9202664186503484E-2</v>
      </c>
      <c r="O85" s="303">
        <f t="shared" si="8"/>
        <v>347.92166666666526</v>
      </c>
      <c r="P85" s="303">
        <f t="shared" ca="1" si="9"/>
        <v>15.980645654940986</v>
      </c>
      <c r="Q85" s="301">
        <f t="shared" ca="1" si="10"/>
        <v>6.3749861527019132</v>
      </c>
      <c r="R85" s="301">
        <f t="shared" ca="1" si="11"/>
        <v>21.254441237156289</v>
      </c>
      <c r="S85" s="301">
        <f t="shared" ca="1" si="12"/>
        <v>0.13549676857028783</v>
      </c>
    </row>
    <row r="86" spans="1:19">
      <c r="A86" s="191"/>
      <c r="B86" s="124">
        <f t="shared" si="4"/>
        <v>66</v>
      </c>
      <c r="C86" s="120">
        <f t="shared" ca="1" si="5"/>
        <v>117949095</v>
      </c>
      <c r="D86" s="48">
        <f t="shared" ca="1" si="0"/>
        <v>3.6091506344095386E-2</v>
      </c>
      <c r="E86" s="120">
        <f t="shared" ca="1" si="6"/>
        <v>4718677</v>
      </c>
      <c r="F86" s="116">
        <f t="shared" ca="1" si="1"/>
        <v>4.7186769999999996</v>
      </c>
      <c r="G86" s="118">
        <f ca="1">C86/Summary!C$58</f>
        <v>1.8695370898716118E-2</v>
      </c>
      <c r="H86" s="119">
        <f ca="1">H85+M86*Summary!$C$26/1000000</f>
        <v>828.76312462338342</v>
      </c>
      <c r="I86" s="119">
        <f t="shared" si="7"/>
        <v>22962.829999999987</v>
      </c>
      <c r="J86" s="122">
        <f ca="1">C85*Summary!C$49*Summary!C$62*24*365*1000*C$11</f>
        <v>307441772.11297059</v>
      </c>
      <c r="K86" s="122">
        <f t="shared" ca="1" si="2"/>
        <v>3774941772.1129704</v>
      </c>
      <c r="L86" s="120">
        <f t="shared" ca="1" si="3"/>
        <v>4714991</v>
      </c>
      <c r="M86" s="303">
        <f ca="1">C85*Summary!$C$49*Summary!$C$61</f>
        <v>2506.8637647828646</v>
      </c>
      <c r="N86" s="302">
        <f ca="1">M86/'Alberta Electricity Profile'!$D$49</f>
        <v>1.9203356478576902E-2</v>
      </c>
      <c r="O86" s="303">
        <f t="shared" si="8"/>
        <v>347.92166666666526</v>
      </c>
      <c r="P86" s="303">
        <f t="shared" ca="1" si="9"/>
        <v>15.98122178720098</v>
      </c>
      <c r="Q86" s="301">
        <f t="shared" ca="1" si="10"/>
        <v>6.3749861527019256</v>
      </c>
      <c r="R86" s="301">
        <f t="shared" ca="1" si="11"/>
        <v>21.254441237156289</v>
      </c>
      <c r="S86" s="301">
        <f t="shared" ca="1" si="12"/>
        <v>0.13549676857028814</v>
      </c>
    </row>
    <row r="87" spans="1:19">
      <c r="A87" s="191"/>
      <c r="B87" s="124">
        <f t="shared" si="4"/>
        <v>67</v>
      </c>
      <c r="C87" s="120">
        <f t="shared" ca="1" si="5"/>
        <v>117952259</v>
      </c>
      <c r="D87" s="48">
        <f t="shared" ca="1" si="0"/>
        <v>3.623842156319744E-2</v>
      </c>
      <c r="E87" s="120">
        <f t="shared" ca="1" si="6"/>
        <v>4718689</v>
      </c>
      <c r="F87" s="116">
        <f t="shared" ca="1" si="1"/>
        <v>4.7186890000000004</v>
      </c>
      <c r="G87" s="118">
        <f ca="1">C87/Summary!C$58</f>
        <v>1.8695872404501507E-2</v>
      </c>
      <c r="H87" s="119">
        <f ca="1">H86+M87*Summary!$C$26/1000000</f>
        <v>844.7448458516734</v>
      </c>
      <c r="I87" s="119">
        <f t="shared" si="7"/>
        <v>23310.751666666652</v>
      </c>
      <c r="J87" s="122">
        <f ca="1">C86*Summary!C$49*Summary!C$62*24*365*1000*C$11</f>
        <v>307451380.20523643</v>
      </c>
      <c r="K87" s="122">
        <f t="shared" ca="1" si="2"/>
        <v>3774951380.2052364</v>
      </c>
      <c r="L87" s="120">
        <f t="shared" ca="1" si="3"/>
        <v>4715525</v>
      </c>
      <c r="M87" s="303">
        <f ca="1">C86*Summary!$C$49*Summary!$C$61</f>
        <v>2506.9421086532648</v>
      </c>
      <c r="N87" s="302">
        <f ca="1">M87/'Alberta Electricity Profile'!$D$49</f>
        <v>1.9203956617001791E-2</v>
      </c>
      <c r="O87" s="303">
        <f t="shared" si="8"/>
        <v>347.92166666666526</v>
      </c>
      <c r="P87" s="303">
        <f t="shared" ca="1" si="9"/>
        <v>15.981721228289985</v>
      </c>
      <c r="Q87" s="301">
        <f t="shared" ca="1" si="10"/>
        <v>6.3749861527019478</v>
      </c>
      <c r="R87" s="301">
        <f t="shared" ca="1" si="11"/>
        <v>21.254441237156293</v>
      </c>
      <c r="S87" s="301">
        <f t="shared" ca="1" si="12"/>
        <v>0.13549676857028861</v>
      </c>
    </row>
    <row r="88" spans="1:19">
      <c r="A88" s="191"/>
      <c r="B88" s="124">
        <f t="shared" si="4"/>
        <v>68</v>
      </c>
      <c r="C88" s="120">
        <f t="shared" ca="1" si="5"/>
        <v>117954945</v>
      </c>
      <c r="D88" s="48">
        <f t="shared" ca="1" si="0"/>
        <v>3.6381033867145821E-2</v>
      </c>
      <c r="E88" s="120">
        <f t="shared" ca="1" si="6"/>
        <v>4718699</v>
      </c>
      <c r="F88" s="116">
        <f t="shared" ca="1" si="1"/>
        <v>4.718699</v>
      </c>
      <c r="G88" s="118">
        <f ca="1">C88/Summary!C$58</f>
        <v>1.8696298145506419E-2</v>
      </c>
      <c r="H88" s="119">
        <f ca="1">H87+M88*Summary!$C$26/1000000</f>
        <v>860.72699579173911</v>
      </c>
      <c r="I88" s="119">
        <f t="shared" si="7"/>
        <v>23658.673333333318</v>
      </c>
      <c r="J88" s="122">
        <f ca="1">C87*Summary!C$49*Summary!C$62*24*365*1000*C$11</f>
        <v>307459627.62898278</v>
      </c>
      <c r="K88" s="122">
        <f t="shared" ca="1" si="2"/>
        <v>3774959627.6289825</v>
      </c>
      <c r="L88" s="120">
        <f t="shared" ca="1" si="3"/>
        <v>4716013</v>
      </c>
      <c r="M88" s="303">
        <f ca="1">C87*Summary!$C$49*Summary!$C$61</f>
        <v>2507.009357705339</v>
      </c>
      <c r="N88" s="302">
        <f ca="1">M88/'Alberta Electricity Profile'!$D$49</f>
        <v>1.9204471765666017E-2</v>
      </c>
      <c r="O88" s="303">
        <f t="shared" si="8"/>
        <v>347.92166666666526</v>
      </c>
      <c r="P88" s="303">
        <f t="shared" ca="1" si="9"/>
        <v>15.98214994006571</v>
      </c>
      <c r="Q88" s="301">
        <f t="shared" ca="1" si="10"/>
        <v>6.3749861527019362</v>
      </c>
      <c r="R88" s="301">
        <f t="shared" ca="1" si="11"/>
        <v>21.254441237156289</v>
      </c>
      <c r="S88" s="301">
        <f t="shared" ca="1" si="12"/>
        <v>0.13549676857028836</v>
      </c>
    </row>
    <row r="89" spans="1:19">
      <c r="A89" s="191"/>
      <c r="B89" s="124">
        <f t="shared" si="4"/>
        <v>69</v>
      </c>
      <c r="C89" s="120">
        <f t="shared" ca="1" si="5"/>
        <v>117957200</v>
      </c>
      <c r="D89" s="48">
        <f t="shared" ca="1" si="0"/>
        <v>3.6519527641305477E-2</v>
      </c>
      <c r="E89" s="120">
        <f t="shared" ca="1" si="6"/>
        <v>4718708</v>
      </c>
      <c r="F89" s="116">
        <f t="shared" ca="1" si="1"/>
        <v>4.7187080000000003</v>
      </c>
      <c r="G89" s="118">
        <f ca="1">C89/Summary!C$58</f>
        <v>1.8696655571405929E-2</v>
      </c>
      <c r="H89" s="119">
        <f ca="1">H88+M89*Summary!$C$26/1000000</f>
        <v>876.70950967612521</v>
      </c>
      <c r="I89" s="119">
        <f t="shared" si="7"/>
        <v>24006.594999999983</v>
      </c>
      <c r="J89" s="122">
        <f ca="1">C88*Summary!C$49*Summary!C$62*24*365*1000*C$11</f>
        <v>307466629.0765754</v>
      </c>
      <c r="K89" s="122">
        <f t="shared" ca="1" si="2"/>
        <v>3774966629.0765753</v>
      </c>
      <c r="L89" s="120">
        <f t="shared" ca="1" si="3"/>
        <v>4716453</v>
      </c>
      <c r="M89" s="303">
        <f ca="1">C88*Summary!$C$49*Summary!$C$61</f>
        <v>2507.0664471345021</v>
      </c>
      <c r="N89" s="302">
        <f ca="1">M89/'Alberta Electricity Profile'!$D$49</f>
        <v>1.9204909088457459E-2</v>
      </c>
      <c r="O89" s="303">
        <f t="shared" si="8"/>
        <v>347.92166666666526</v>
      </c>
      <c r="P89" s="303">
        <f t="shared" ca="1" si="9"/>
        <v>15.982513884386094</v>
      </c>
      <c r="Q89" s="301">
        <f t="shared" ca="1" si="10"/>
        <v>6.3749861527019371</v>
      </c>
      <c r="R89" s="301">
        <f t="shared" ca="1" si="11"/>
        <v>21.254441237156289</v>
      </c>
      <c r="S89" s="301">
        <f t="shared" ca="1" si="12"/>
        <v>0.13549676857028836</v>
      </c>
    </row>
    <row r="90" spans="1:19">
      <c r="A90" s="191"/>
      <c r="B90" s="124">
        <f t="shared" si="4"/>
        <v>70</v>
      </c>
      <c r="C90" s="120">
        <f t="shared" ca="1" si="5"/>
        <v>117959069</v>
      </c>
      <c r="D90" s="48">
        <f t="shared" ca="1" si="0"/>
        <v>3.6654076996220072E-2</v>
      </c>
      <c r="E90" s="120">
        <f t="shared" ca="1" si="6"/>
        <v>4718715</v>
      </c>
      <c r="F90" s="116">
        <f t="shared" ca="1" si="1"/>
        <v>4.7187150000000004</v>
      </c>
      <c r="G90" s="118">
        <f ca="1">C90/Summary!C$58</f>
        <v>1.8696951814867649E-2</v>
      </c>
      <c r="H90" s="119">
        <f ca="1">H89+M90*Summary!$C$26/1000000</f>
        <v>892.69232910572441</v>
      </c>
      <c r="I90" s="119">
        <f t="shared" si="7"/>
        <v>24354.516666666648</v>
      </c>
      <c r="J90" s="122">
        <f ca="1">C89*Summary!C$49*Summary!C$62*24*365*1000*C$11</f>
        <v>307472507.06031376</v>
      </c>
      <c r="K90" s="122">
        <f t="shared" ca="1" si="2"/>
        <v>3774972507.0603137</v>
      </c>
      <c r="L90" s="120">
        <f t="shared" ca="1" si="3"/>
        <v>4716846</v>
      </c>
      <c r="M90" s="303">
        <f ca="1">C89*Summary!$C$49*Summary!$C$61</f>
        <v>2507.1143758994917</v>
      </c>
      <c r="N90" s="302">
        <f ca="1">M90/'Alberta Electricity Profile'!$D$49</f>
        <v>1.9205276237710883E-2</v>
      </c>
      <c r="O90" s="303">
        <f t="shared" si="8"/>
        <v>347.92166666666526</v>
      </c>
      <c r="P90" s="303">
        <f t="shared" ca="1" si="9"/>
        <v>15.982819429599203</v>
      </c>
      <c r="Q90" s="301">
        <f t="shared" ca="1" si="10"/>
        <v>6.3749861527019309</v>
      </c>
      <c r="R90" s="301">
        <f t="shared" ca="1" si="11"/>
        <v>21.254441237156289</v>
      </c>
      <c r="S90" s="301">
        <f t="shared" ca="1" si="12"/>
        <v>0.13549676857028825</v>
      </c>
    </row>
    <row r="91" spans="1:19">
      <c r="A91" s="191"/>
      <c r="B91" s="124">
        <f t="shared" si="4"/>
        <v>71</v>
      </c>
      <c r="C91" s="120">
        <f t="shared" ca="1" si="5"/>
        <v>117960598</v>
      </c>
      <c r="D91" s="48">
        <f t="shared" ca="1" si="0"/>
        <v>3.6784846480220665E-2</v>
      </c>
      <c r="E91" s="120">
        <f t="shared" ca="1" si="6"/>
        <v>4718721</v>
      </c>
      <c r="F91" s="116">
        <f t="shared" ca="1" si="1"/>
        <v>4.7187210000000004</v>
      </c>
      <c r="G91" s="118">
        <f ca="1">C91/Summary!C$58</f>
        <v>1.8697194167062926E-2</v>
      </c>
      <c r="H91" s="119">
        <f ca="1">H90+M91*Summary!$C$26/1000000</f>
        <v>908.67540177878402</v>
      </c>
      <c r="I91" s="119">
        <f t="shared" si="7"/>
        <v>24702.438333333313</v>
      </c>
      <c r="J91" s="122">
        <f ca="1">C90*Summary!C$49*Summary!C$62*24*365*1000*C$11</f>
        <v>307477378.87920821</v>
      </c>
      <c r="K91" s="122">
        <f t="shared" ca="1" si="2"/>
        <v>3774977378.8792081</v>
      </c>
      <c r="L91" s="120">
        <f t="shared" ca="1" si="3"/>
        <v>4717192</v>
      </c>
      <c r="M91" s="303">
        <f ca="1">C90*Summary!$C$49*Summary!$C$61</f>
        <v>2507.1541004501642</v>
      </c>
      <c r="N91" s="302">
        <f ca="1">M91/'Alberta Electricity Profile'!$D$49</f>
        <v>1.9205580540129798E-2</v>
      </c>
      <c r="O91" s="303">
        <f t="shared" si="8"/>
        <v>347.92166666666526</v>
      </c>
      <c r="P91" s="303">
        <f t="shared" ca="1" si="9"/>
        <v>15.98307267305961</v>
      </c>
      <c r="Q91" s="301">
        <f t="shared" ca="1" si="10"/>
        <v>6.3749861527019105</v>
      </c>
      <c r="R91" s="301">
        <f t="shared" ca="1" si="11"/>
        <v>21.254441237156293</v>
      </c>
      <c r="S91" s="301">
        <f t="shared" ca="1" si="12"/>
        <v>0.13549676857028781</v>
      </c>
    </row>
    <row r="92" spans="1:19">
      <c r="A92" s="191"/>
      <c r="B92" s="124">
        <f t="shared" si="4"/>
        <v>72</v>
      </c>
      <c r="C92" s="120">
        <f t="shared" ca="1" si="5"/>
        <v>117961834</v>
      </c>
      <c r="D92" s="48">
        <f t="shared" ca="1" si="0"/>
        <v>3.6911991748877201E-2</v>
      </c>
      <c r="E92" s="120">
        <f t="shared" ca="1" si="6"/>
        <v>4718726</v>
      </c>
      <c r="F92" s="116">
        <f t="shared" ca="1" si="1"/>
        <v>4.7187260000000002</v>
      </c>
      <c r="G92" s="118">
        <f ca="1">C92/Summary!C$58</f>
        <v>1.8697390077666826E-2</v>
      </c>
      <c r="H92" s="119">
        <f ca="1">H91+M92*Summary!$C$26/1000000</f>
        <v>924.65868162640277</v>
      </c>
      <c r="I92" s="119">
        <f t="shared" si="7"/>
        <v>25050.359999999979</v>
      </c>
      <c r="J92" s="122">
        <f ca="1">C91*Summary!C$49*Summary!C$62*24*365*1000*C$11</f>
        <v>307481364.43891364</v>
      </c>
      <c r="K92" s="122">
        <f t="shared" ca="1" si="2"/>
        <v>3774981364.4389138</v>
      </c>
      <c r="L92" s="120">
        <f t="shared" ca="1" si="3"/>
        <v>4717490</v>
      </c>
      <c r="M92" s="303">
        <f ca="1">C91*Summary!$C$49*Summary!$C$61</f>
        <v>2507.1865984908159</v>
      </c>
      <c r="N92" s="302">
        <f ca="1">M92/'Alberta Electricity Profile'!$D$49</f>
        <v>1.920582948523334E-2</v>
      </c>
      <c r="O92" s="303">
        <f t="shared" si="8"/>
        <v>347.92166666666526</v>
      </c>
      <c r="P92" s="303">
        <f t="shared" ca="1" si="9"/>
        <v>15.983279847618746</v>
      </c>
      <c r="Q92" s="301">
        <f t="shared" ca="1" si="10"/>
        <v>6.3749861527019069</v>
      </c>
      <c r="R92" s="301">
        <f t="shared" ca="1" si="11"/>
        <v>21.254441237156289</v>
      </c>
      <c r="S92" s="301">
        <f t="shared" ca="1" si="12"/>
        <v>0.13549676857028775</v>
      </c>
    </row>
    <row r="93" spans="1:19">
      <c r="A93" s="191"/>
      <c r="B93" s="124">
        <f t="shared" si="4"/>
        <v>73</v>
      </c>
      <c r="C93" s="120">
        <f t="shared" ca="1" si="5"/>
        <v>117962824</v>
      </c>
      <c r="D93" s="48">
        <f t="shared" ca="1" si="0"/>
        <v>3.7035660179426645E-2</v>
      </c>
      <c r="E93" s="120">
        <f t="shared" ca="1" si="6"/>
        <v>4718730</v>
      </c>
      <c r="F93" s="116">
        <f t="shared" ca="1" si="1"/>
        <v>4.7187299999999999</v>
      </c>
      <c r="G93" s="118">
        <f ca="1">C93/Summary!C$58</f>
        <v>1.8697546996354415E-2</v>
      </c>
      <c r="H93" s="119">
        <f ca="1">H92+M93*Summary!$C$26/1000000</f>
        <v>940.64212894802756</v>
      </c>
      <c r="I93" s="119">
        <f t="shared" si="7"/>
        <v>25398.281666666644</v>
      </c>
      <c r="J93" s="122">
        <f ca="1">C92*Summary!C$49*Summary!C$62*24*365*1000*C$11</f>
        <v>307484586.25172991</v>
      </c>
      <c r="K93" s="122">
        <f t="shared" ca="1" si="2"/>
        <v>3774984586.25173</v>
      </c>
      <c r="L93" s="120">
        <f t="shared" ca="1" si="3"/>
        <v>4717740</v>
      </c>
      <c r="M93" s="303">
        <f ca="1">C92*Summary!$C$49*Summary!$C$61</f>
        <v>2507.2128689801848</v>
      </c>
      <c r="N93" s="302">
        <f ca="1">M93/'Alberta Electricity Profile'!$D$49</f>
        <v>1.9206030725356281E-2</v>
      </c>
      <c r="O93" s="303">
        <f t="shared" si="8"/>
        <v>347.92166666666526</v>
      </c>
      <c r="P93" s="303">
        <f t="shared" ca="1" si="9"/>
        <v>15.983447321624794</v>
      </c>
      <c r="Q93" s="301">
        <f t="shared" ca="1" si="10"/>
        <v>6.3749861527019451</v>
      </c>
      <c r="R93" s="301">
        <f t="shared" ca="1" si="11"/>
        <v>21.254441237156293</v>
      </c>
      <c r="S93" s="301">
        <f t="shared" ca="1" si="12"/>
        <v>0.13549676857028853</v>
      </c>
    </row>
    <row r="94" spans="1:19">
      <c r="A94" s="191"/>
      <c r="B94" s="124">
        <f t="shared" si="4"/>
        <v>74</v>
      </c>
      <c r="C94" s="120">
        <f t="shared" ca="1" si="5"/>
        <v>117963616</v>
      </c>
      <c r="D94" s="48">
        <f t="shared" ca="1" si="0"/>
        <v>3.7155991430119759E-2</v>
      </c>
      <c r="E94" s="120">
        <f t="shared" ca="1" si="6"/>
        <v>4718733</v>
      </c>
      <c r="F94" s="116">
        <f t="shared" ca="1" si="1"/>
        <v>4.7187330000000003</v>
      </c>
      <c r="G94" s="118">
        <f ca="1">C94/Summary!C$58</f>
        <v>1.8697672531304485E-2</v>
      </c>
      <c r="H94" s="119">
        <f ca="1">H93+M94*Summary!$C$26/1000000</f>
        <v>956.62571041145316</v>
      </c>
      <c r="I94" s="119">
        <f t="shared" si="7"/>
        <v>25746.203333333309</v>
      </c>
      <c r="J94" s="122">
        <f ca="1">C93*Summary!C$49*Summary!C$62*24*365*1000*C$11</f>
        <v>307487166.82995653</v>
      </c>
      <c r="K94" s="122">
        <f t="shared" ca="1" si="2"/>
        <v>3774987166.8299565</v>
      </c>
      <c r="L94" s="120">
        <f t="shared" ca="1" si="3"/>
        <v>4717941</v>
      </c>
      <c r="M94" s="303">
        <f ca="1">C93*Summary!$C$49*Summary!$C$61</f>
        <v>2507.2339108770097</v>
      </c>
      <c r="N94" s="302">
        <f ca="1">M94/'Alberta Electricity Profile'!$D$49</f>
        <v>1.9206191912833393E-2</v>
      </c>
      <c r="O94" s="303">
        <f t="shared" si="8"/>
        <v>347.92166666666526</v>
      </c>
      <c r="P94" s="303">
        <f t="shared" ca="1" si="9"/>
        <v>15.983581463425594</v>
      </c>
      <c r="Q94" s="301">
        <f t="shared" ca="1" si="10"/>
        <v>6.3749861527019114</v>
      </c>
      <c r="R94" s="301">
        <f t="shared" ca="1" si="11"/>
        <v>21.254441237156293</v>
      </c>
      <c r="S94" s="301">
        <f t="shared" ca="1" si="12"/>
        <v>0.13549676857028781</v>
      </c>
    </row>
    <row r="95" spans="1:19">
      <c r="A95" s="191"/>
      <c r="B95" s="124">
        <f t="shared" si="4"/>
        <v>75</v>
      </c>
      <c r="C95" s="120">
        <f t="shared" ca="1" si="5"/>
        <v>117964258</v>
      </c>
      <c r="D95" s="48">
        <f t="shared" ca="1" si="0"/>
        <v>3.7273117960012855E-2</v>
      </c>
      <c r="E95" s="120">
        <f t="shared" ca="1" si="6"/>
        <v>4718736</v>
      </c>
      <c r="F95" s="116">
        <f t="shared" ca="1" si="1"/>
        <v>4.7187359999999998</v>
      </c>
      <c r="G95" s="118">
        <f ca="1">C95/Summary!C$58</f>
        <v>1.8697774290695832E-2</v>
      </c>
      <c r="H95" s="119">
        <f ca="1">H94+M95*Summary!$C$26/1000000</f>
        <v>972.60939918831946</v>
      </c>
      <c r="I95" s="119">
        <f t="shared" si="7"/>
        <v>26094.124999999975</v>
      </c>
      <c r="J95" s="122">
        <f ca="1">C94*Summary!C$49*Summary!C$62*24*365*1000*C$11</f>
        <v>307489231.29253775</v>
      </c>
      <c r="K95" s="122">
        <f t="shared" ca="1" si="2"/>
        <v>3774989231.2925377</v>
      </c>
      <c r="L95" s="120">
        <f t="shared" ca="1" si="3"/>
        <v>4718094</v>
      </c>
      <c r="M95" s="303">
        <f ca="1">C94*Summary!$C$49*Summary!$C$61</f>
        <v>2507.2507443944692</v>
      </c>
      <c r="N95" s="302">
        <f ca="1">M95/'Alberta Electricity Profile'!$D$49</f>
        <v>1.9206320862815082E-2</v>
      </c>
      <c r="O95" s="303">
        <f t="shared" si="8"/>
        <v>347.92166666666526</v>
      </c>
      <c r="P95" s="303">
        <f t="shared" ca="1" si="9"/>
        <v>15.983688776866302</v>
      </c>
      <c r="Q95" s="301">
        <f t="shared" ca="1" si="10"/>
        <v>6.3749861527019123</v>
      </c>
      <c r="R95" s="301">
        <f t="shared" ca="1" si="11"/>
        <v>21.254441237156289</v>
      </c>
      <c r="S95" s="301">
        <f t="shared" ca="1" si="12"/>
        <v>0.13549676857028781</v>
      </c>
    </row>
    <row r="96" spans="1:19">
      <c r="A96" s="191"/>
      <c r="B96" s="124">
        <f t="shared" si="4"/>
        <v>76</v>
      </c>
      <c r="C96" s="120">
        <f t="shared" ca="1" si="5"/>
        <v>117964798</v>
      </c>
      <c r="D96" s="48">
        <f t="shared" ca="1" si="0"/>
        <v>3.7387165502598976E-2</v>
      </c>
      <c r="E96" s="120">
        <f t="shared" ca="1" si="6"/>
        <v>4718738</v>
      </c>
      <c r="F96" s="116">
        <f t="shared" ca="1" si="1"/>
        <v>4.7187380000000001</v>
      </c>
      <c r="G96" s="118">
        <f ca="1">C96/Summary!C$58</f>
        <v>1.8697859882707245E-2</v>
      </c>
      <c r="H96" s="119">
        <f ca="1">H95+M96*Summary!$C$26/1000000</f>
        <v>988.59317495411119</v>
      </c>
      <c r="I96" s="119">
        <f t="shared" si="7"/>
        <v>26442.04666666664</v>
      </c>
      <c r="J96" s="122">
        <f ca="1">C95*Summary!C$49*Summary!C$62*24*365*1000*C$11</f>
        <v>307490904.75841796</v>
      </c>
      <c r="K96" s="122">
        <f t="shared" ca="1" si="2"/>
        <v>3774990904.7584181</v>
      </c>
      <c r="L96" s="120">
        <f t="shared" ca="1" si="3"/>
        <v>4718198</v>
      </c>
      <c r="M96" s="303">
        <f ca="1">C95*Summary!$C$49*Summary!$C$61</f>
        <v>2507.2643897457433</v>
      </c>
      <c r="N96" s="302">
        <f ca="1">M96/'Alberta Electricity Profile'!$D$49</f>
        <v>1.9206425390451753E-2</v>
      </c>
      <c r="O96" s="303">
        <f t="shared" si="8"/>
        <v>347.92166666666526</v>
      </c>
      <c r="P96" s="303">
        <f t="shared" ca="1" si="9"/>
        <v>15.983775765791734</v>
      </c>
      <c r="Q96" s="301">
        <f t="shared" ca="1" si="10"/>
        <v>6.3749861527019158</v>
      </c>
      <c r="R96" s="301">
        <f t="shared" ca="1" si="11"/>
        <v>21.254441237156286</v>
      </c>
      <c r="S96" s="301">
        <f t="shared" ca="1" si="12"/>
        <v>0.13549676857028789</v>
      </c>
    </row>
    <row r="97" spans="1:19">
      <c r="A97" s="191"/>
      <c r="B97" s="124">
        <f t="shared" si="4"/>
        <v>77</v>
      </c>
      <c r="C97" s="120">
        <f t="shared" ca="1" si="5"/>
        <v>117965286</v>
      </c>
      <c r="D97" s="48">
        <f t="shared" ca="1" si="0"/>
        <v>3.7498253502532788E-2</v>
      </c>
      <c r="E97" s="120">
        <f t="shared" ca="1" si="6"/>
        <v>4718740</v>
      </c>
      <c r="F97" s="116">
        <f t="shared" ca="1" si="1"/>
        <v>4.7187400000000004</v>
      </c>
      <c r="G97" s="118">
        <f ca="1">C97/Summary!C$58</f>
        <v>1.8697937232524966E-2</v>
      </c>
      <c r="H97" s="119">
        <f ca="1">H96+M97*Summary!$C$26/1000000</f>
        <v>1004.577023888158</v>
      </c>
      <c r="I97" s="119">
        <f t="shared" si="7"/>
        <v>26789.968333333305</v>
      </c>
      <c r="J97" s="122">
        <f ca="1">C96*Summary!C$49*Summary!C$62*24*365*1000*C$11</f>
        <v>307492312.34654158</v>
      </c>
      <c r="K97" s="122">
        <f t="shared" ca="1" si="2"/>
        <v>3774992312.3465414</v>
      </c>
      <c r="L97" s="120">
        <f t="shared" ca="1" si="3"/>
        <v>4718252</v>
      </c>
      <c r="M97" s="303">
        <f ca="1">C96*Summary!$C$49*Summary!$C$61</f>
        <v>2507.2758671440115</v>
      </c>
      <c r="N97" s="302">
        <f ca="1">M97/'Alberta Electricity Profile'!$D$49</f>
        <v>1.9206513310893816E-2</v>
      </c>
      <c r="O97" s="303">
        <f t="shared" si="8"/>
        <v>347.92166666666526</v>
      </c>
      <c r="P97" s="303">
        <f t="shared" ca="1" si="9"/>
        <v>15.983848934046819</v>
      </c>
      <c r="Q97" s="301">
        <f t="shared" ca="1" si="10"/>
        <v>6.3749861527019389</v>
      </c>
      <c r="R97" s="301">
        <f t="shared" ca="1" si="11"/>
        <v>21.254441237156286</v>
      </c>
      <c r="S97" s="301">
        <f t="shared" ca="1" si="12"/>
        <v>0.13549676857028839</v>
      </c>
    </row>
    <row r="98" spans="1:19">
      <c r="A98" s="191"/>
      <c r="B98" s="124">
        <f t="shared" si="4"/>
        <v>78</v>
      </c>
      <c r="C98" s="120">
        <f t="shared" ca="1" si="5"/>
        <v>117965725</v>
      </c>
      <c r="D98" s="48">
        <f t="shared" ca="1" si="0"/>
        <v>3.7606495528747043E-2</v>
      </c>
      <c r="E98" s="120">
        <f t="shared" ca="1" si="6"/>
        <v>4718741</v>
      </c>
      <c r="F98" s="116">
        <f t="shared" ca="1" si="1"/>
        <v>4.7187409999999996</v>
      </c>
      <c r="G98" s="118">
        <f ca="1">C98/Summary!C$58</f>
        <v>1.8698006815660168E-2</v>
      </c>
      <c r="H98" s="119">
        <f ca="1">H97+M98*Summary!$C$26/1000000</f>
        <v>1020.5609389446279</v>
      </c>
      <c r="I98" s="119">
        <f t="shared" si="7"/>
        <v>27137.88999999997</v>
      </c>
      <c r="J98" s="122">
        <f ca="1">C97*Summary!C$49*Summary!C$62*24*365*1000*C$11</f>
        <v>307493584.38914227</v>
      </c>
      <c r="K98" s="122">
        <f t="shared" ca="1" si="2"/>
        <v>3774993584.389142</v>
      </c>
      <c r="L98" s="120">
        <f t="shared" ca="1" si="3"/>
        <v>4718302</v>
      </c>
      <c r="M98" s="303">
        <f ca="1">C97*Summary!$C$49*Summary!$C$61</f>
        <v>2507.2862393113355</v>
      </c>
      <c r="N98" s="302">
        <f ca="1">M98/'Alberta Electricity Profile'!$D$49</f>
        <v>1.9206592764922942E-2</v>
      </c>
      <c r="O98" s="303">
        <f t="shared" si="8"/>
        <v>347.92166666666526</v>
      </c>
      <c r="P98" s="303">
        <f t="shared" ca="1" si="9"/>
        <v>15.983915056469868</v>
      </c>
      <c r="Q98" s="301">
        <f t="shared" ca="1" si="10"/>
        <v>6.3749861527019327</v>
      </c>
      <c r="R98" s="301">
        <f t="shared" ca="1" si="11"/>
        <v>21.254441237156289</v>
      </c>
      <c r="S98" s="301">
        <f t="shared" ca="1" si="12"/>
        <v>0.13549676857028831</v>
      </c>
    </row>
    <row r="99" spans="1:19">
      <c r="A99" s="191"/>
      <c r="B99" s="124">
        <f t="shared" si="4"/>
        <v>79</v>
      </c>
      <c r="C99" s="120">
        <f t="shared" ca="1" si="5"/>
        <v>117966119</v>
      </c>
      <c r="D99" s="48">
        <f t="shared" ca="1" si="0"/>
        <v>3.7711999414637883E-2</v>
      </c>
      <c r="E99" s="120">
        <f t="shared" ca="1" si="6"/>
        <v>4718743</v>
      </c>
      <c r="F99" s="116">
        <f t="shared" ca="1" si="1"/>
        <v>4.7187429999999999</v>
      </c>
      <c r="G99" s="118">
        <f ca="1">C99/Summary!C$58</f>
        <v>1.8698069266127753E-2</v>
      </c>
      <c r="H99" s="119">
        <f ca="1">H98+M99*Summary!$C$26/1000000</f>
        <v>1036.5449134841792</v>
      </c>
      <c r="I99" s="119">
        <f t="shared" si="7"/>
        <v>27485.811666666636</v>
      </c>
      <c r="J99" s="122">
        <f ca="1">C98*Summary!C$49*Summary!C$62*24*365*1000*C$11</f>
        <v>307494728.70615381</v>
      </c>
      <c r="K99" s="122">
        <f t="shared" ca="1" si="2"/>
        <v>3774994728.7061539</v>
      </c>
      <c r="L99" s="120">
        <f t="shared" ca="1" si="3"/>
        <v>4718349</v>
      </c>
      <c r="M99" s="303">
        <f ca="1">C98*Summary!$C$49*Summary!$C$61</f>
        <v>2507.2955700110383</v>
      </c>
      <c r="N99" s="302">
        <f ca="1">M99/'Alberta Electricity Profile'!$D$49</f>
        <v>1.9206664240986021E-2</v>
      </c>
      <c r="O99" s="303">
        <f t="shared" si="8"/>
        <v>347.92166666666526</v>
      </c>
      <c r="P99" s="303">
        <f t="shared" ca="1" si="9"/>
        <v>15.983974539551355</v>
      </c>
      <c r="Q99" s="301">
        <f t="shared" ca="1" si="10"/>
        <v>6.3749861527019673</v>
      </c>
      <c r="R99" s="301">
        <f t="shared" ca="1" si="11"/>
        <v>21.254441237156286</v>
      </c>
      <c r="S99" s="301">
        <f t="shared" ca="1" si="12"/>
        <v>0.13549676857028897</v>
      </c>
    </row>
    <row r="100" spans="1:19">
      <c r="A100" s="191"/>
      <c r="B100" s="124">
        <f t="shared" si="4"/>
        <v>80</v>
      </c>
      <c r="C100" s="120">
        <f t="shared" ca="1" si="5"/>
        <v>117966471</v>
      </c>
      <c r="D100" s="48">
        <f t="shared" ca="1" si="0"/>
        <v>3.7814867621403951E-2</v>
      </c>
      <c r="E100" s="120">
        <f t="shared" ca="1" si="6"/>
        <v>4718744</v>
      </c>
      <c r="F100" s="116">
        <f t="shared" ca="1" si="1"/>
        <v>4.718744</v>
      </c>
      <c r="G100" s="118">
        <f ca="1">C100/Summary!C$58</f>
        <v>1.8698125059438898E-2</v>
      </c>
      <c r="H100" s="119">
        <f ca="1">H99+M100*Summary!$C$26/1000000</f>
        <v>1052.5289414094573</v>
      </c>
      <c r="I100" s="119">
        <f t="shared" si="7"/>
        <v>27833.733333333301</v>
      </c>
      <c r="J100" s="122">
        <f ca="1">C99*Summary!C$49*Summary!C$62*24*365*1000*C$11</f>
        <v>307495755.72415513</v>
      </c>
      <c r="K100" s="122">
        <f t="shared" ca="1" si="2"/>
        <v>3774995755.7241549</v>
      </c>
      <c r="L100" s="120">
        <f t="shared" ca="1" si="3"/>
        <v>4718392</v>
      </c>
      <c r="M100" s="303">
        <f ca="1">C99*Summary!$C$49*Summary!$C$61</f>
        <v>2507.3039442608861</v>
      </c>
      <c r="N100" s="302">
        <f ca="1">M100/'Alberta Electricity Profile'!$D$49</f>
        <v>1.9206728390345602E-2</v>
      </c>
      <c r="O100" s="303">
        <f t="shared" si="8"/>
        <v>347.92166666666526</v>
      </c>
      <c r="P100" s="303">
        <f t="shared" ca="1" si="9"/>
        <v>15.984027925278042</v>
      </c>
      <c r="Q100" s="301">
        <f t="shared" ca="1" si="10"/>
        <v>6.3749861527019149</v>
      </c>
      <c r="R100" s="301">
        <f t="shared" ca="1" si="11"/>
        <v>21.254441237156289</v>
      </c>
      <c r="S100" s="301">
        <f t="shared" ca="1" si="12"/>
        <v>0.13549676857028789</v>
      </c>
    </row>
    <row r="101" spans="1:19">
      <c r="A101" s="191"/>
      <c r="B101" s="124">
        <f t="shared" si="4"/>
        <v>81</v>
      </c>
      <c r="C101" s="120">
        <f t="shared" ca="1" si="5"/>
        <v>117966784</v>
      </c>
      <c r="D101" s="48">
        <f t="shared" ca="1" si="0"/>
        <v>3.7915197564855549E-2</v>
      </c>
      <c r="E101" s="120">
        <f t="shared" ca="1" si="6"/>
        <v>4718745</v>
      </c>
      <c r="F101" s="116">
        <f t="shared" ca="1" si="1"/>
        <v>4.7187450000000002</v>
      </c>
      <c r="G101" s="118">
        <f ca="1">C101/Summary!C$58</f>
        <v>1.869817467110477E-2</v>
      </c>
      <c r="H101" s="119">
        <f ca="1">H100+M101*Summary!$C$26/1000000</f>
        <v>1068.5130170295979</v>
      </c>
      <c r="I101" s="119">
        <f t="shared" si="7"/>
        <v>28181.654999999966</v>
      </c>
      <c r="J101" s="122">
        <f ca="1">C100*Summary!C$49*Summary!C$62*24*365*1000*C$11</f>
        <v>307496673.26308012</v>
      </c>
      <c r="K101" s="122">
        <f t="shared" ca="1" si="2"/>
        <v>3774996673.2630801</v>
      </c>
      <c r="L101" s="120">
        <f t="shared" ca="1" si="3"/>
        <v>4718432</v>
      </c>
      <c r="M101" s="303">
        <f ca="1">C100*Summary!$C$49*Summary!$C$61</f>
        <v>2507.3114258242017</v>
      </c>
      <c r="N101" s="302">
        <f ca="1">M101/'Alberta Electricity Profile'!$D$49</f>
        <v>1.9206785701448577E-2</v>
      </c>
      <c r="O101" s="303">
        <f t="shared" si="8"/>
        <v>347.92166666666526</v>
      </c>
      <c r="P101" s="303">
        <f t="shared" ca="1" si="9"/>
        <v>15.984075620140629</v>
      </c>
      <c r="Q101" s="301">
        <f t="shared" ca="1" si="10"/>
        <v>6.3749861527019345</v>
      </c>
      <c r="R101" s="301">
        <f t="shared" ca="1" si="11"/>
        <v>21.254441237156289</v>
      </c>
      <c r="S101" s="301">
        <f t="shared" ca="1" si="12"/>
        <v>0.13549676857028833</v>
      </c>
    </row>
    <row r="102" spans="1:19">
      <c r="A102" s="191"/>
      <c r="B102" s="124">
        <f t="shared" si="4"/>
        <v>82</v>
      </c>
      <c r="C102" s="120">
        <f t="shared" ca="1" si="5"/>
        <v>117967061</v>
      </c>
      <c r="D102" s="48">
        <f t="shared" ca="1" si="0"/>
        <v>3.8013081923060257E-2</v>
      </c>
      <c r="E102" s="120">
        <f t="shared" ca="1" si="6"/>
        <v>4718746</v>
      </c>
      <c r="F102" s="116">
        <f t="shared" ca="1" si="1"/>
        <v>4.7187460000000003</v>
      </c>
      <c r="G102" s="118">
        <f ca="1">C102/Summary!C$58</f>
        <v>1.869821857663655E-2</v>
      </c>
      <c r="H102" s="119">
        <f ca="1">H101+M102*Summary!$C$26/1000000</f>
        <v>1084.497135060227</v>
      </c>
      <c r="I102" s="119">
        <f t="shared" si="7"/>
        <v>28529.576666666631</v>
      </c>
      <c r="J102" s="122">
        <f ca="1">C101*Summary!C$49*Summary!C$62*24*365*1000*C$11</f>
        <v>307497489.14286286</v>
      </c>
      <c r="K102" s="122">
        <f t="shared" ca="1" si="2"/>
        <v>3774997489.1428628</v>
      </c>
      <c r="L102" s="120">
        <f t="shared" ca="1" si="3"/>
        <v>4718469</v>
      </c>
      <c r="M102" s="303">
        <f ca="1">C101*Summary!$C$49*Summary!$C$61</f>
        <v>2507.3180784643087</v>
      </c>
      <c r="N102" s="302">
        <f ca="1">M102/'Alberta Electricity Profile'!$D$49</f>
        <v>1.9206836662741845E-2</v>
      </c>
      <c r="O102" s="303">
        <f t="shared" si="8"/>
        <v>347.92166666666526</v>
      </c>
      <c r="P102" s="303">
        <f t="shared" ca="1" si="9"/>
        <v>15.984118030629134</v>
      </c>
      <c r="Q102" s="301">
        <f t="shared" ca="1" si="10"/>
        <v>6.3749861527019123</v>
      </c>
      <c r="R102" s="301">
        <f t="shared" ca="1" si="11"/>
        <v>21.254441237156289</v>
      </c>
      <c r="S102" s="301">
        <f t="shared" ca="1" si="12"/>
        <v>0.13549676857028781</v>
      </c>
    </row>
    <row r="103" spans="1:19">
      <c r="A103" s="191"/>
      <c r="B103" s="124">
        <f t="shared" si="4"/>
        <v>83</v>
      </c>
      <c r="C103" s="120">
        <f t="shared" ca="1" si="5"/>
        <v>117967306</v>
      </c>
      <c r="D103" s="48">
        <f t="shared" ca="1" si="0"/>
        <v>3.8108608921749137E-2</v>
      </c>
      <c r="E103" s="120">
        <f t="shared" ca="1" si="6"/>
        <v>4718747</v>
      </c>
      <c r="F103" s="116">
        <f t="shared" ca="1" si="1"/>
        <v>4.7187469999999996</v>
      </c>
      <c r="G103" s="118">
        <f ca="1">C103/Summary!C$58</f>
        <v>1.8698257410049136E-2</v>
      </c>
      <c r="H103" s="119">
        <f ca="1">H102+M103*Summary!$C$26/1000000</f>
        <v>1100.4812906234611</v>
      </c>
      <c r="I103" s="119">
        <f t="shared" si="7"/>
        <v>28877.498333333297</v>
      </c>
      <c r="J103" s="122">
        <f ca="1">C102*Summary!C$49*Summary!C$62*24*365*1000*C$11</f>
        <v>307498211.18343741</v>
      </c>
      <c r="K103" s="122">
        <f t="shared" ca="1" si="2"/>
        <v>3774998211.1834373</v>
      </c>
      <c r="L103" s="120">
        <f t="shared" ca="1" si="3"/>
        <v>4718502</v>
      </c>
      <c r="M103" s="303">
        <f ca="1">C102*Summary!$C$49*Summary!$C$61</f>
        <v>2507.3239659445317</v>
      </c>
      <c r="N103" s="302">
        <f ca="1">M103/'Alberta Electricity Profile'!$D$49</f>
        <v>1.9206881762672313E-2</v>
      </c>
      <c r="O103" s="303">
        <f t="shared" si="8"/>
        <v>347.92166666666526</v>
      </c>
      <c r="P103" s="303">
        <f t="shared" ca="1" si="9"/>
        <v>15.984155563234026</v>
      </c>
      <c r="Q103" s="301">
        <f t="shared" ca="1" si="10"/>
        <v>6.3749861527019105</v>
      </c>
      <c r="R103" s="301">
        <f t="shared" ca="1" si="11"/>
        <v>21.254441237156289</v>
      </c>
      <c r="S103" s="301">
        <f t="shared" ca="1" si="12"/>
        <v>0.13549676857028781</v>
      </c>
    </row>
    <row r="104" spans="1:19">
      <c r="A104" s="191"/>
      <c r="B104" s="124">
        <f t="shared" si="4"/>
        <v>84</v>
      </c>
      <c r="C104" s="120">
        <f t="shared" ca="1" si="5"/>
        <v>117967521</v>
      </c>
      <c r="D104" s="48">
        <f t="shared" ca="1" si="0"/>
        <v>3.8201862603973007E-2</v>
      </c>
      <c r="E104" s="120">
        <f t="shared" ca="1" si="6"/>
        <v>4718748</v>
      </c>
      <c r="F104" s="116">
        <f t="shared" ca="1" si="1"/>
        <v>4.7187479999999997</v>
      </c>
      <c r="G104" s="118">
        <f ca="1">C104/Summary!C$58</f>
        <v>1.8698291488349977E-2</v>
      </c>
      <c r="H104" s="119">
        <f ca="1">H103+M104*Summary!$C$26/1000000</f>
        <v>1116.4654793834034</v>
      </c>
      <c r="I104" s="119">
        <f t="shared" si="7"/>
        <v>29225.419999999962</v>
      </c>
      <c r="J104" s="122">
        <f ca="1">C103*Summary!C$49*Summary!C$62*24*365*1000*C$11</f>
        <v>307498849.81138235</v>
      </c>
      <c r="K104" s="122">
        <f t="shared" ca="1" si="2"/>
        <v>3774998849.8113823</v>
      </c>
      <c r="L104" s="120">
        <f t="shared" ca="1" si="3"/>
        <v>4718533</v>
      </c>
      <c r="M104" s="303">
        <f ca="1">C103*Summary!$C$49*Summary!$C$61</f>
        <v>2507.3291732826342</v>
      </c>
      <c r="N104" s="302">
        <f ca="1">M104/'Alberta Electricity Profile'!$D$49</f>
        <v>1.9206921652502502E-2</v>
      </c>
      <c r="O104" s="303">
        <f t="shared" si="8"/>
        <v>347.92166666666526</v>
      </c>
      <c r="P104" s="303">
        <f t="shared" ca="1" si="9"/>
        <v>15.984188759942299</v>
      </c>
      <c r="Q104" s="301">
        <f t="shared" ca="1" si="10"/>
        <v>6.3749861527019016</v>
      </c>
      <c r="R104" s="301">
        <f t="shared" ca="1" si="11"/>
        <v>21.254441237156286</v>
      </c>
      <c r="S104" s="301">
        <f t="shared" ca="1" si="12"/>
        <v>0.13549676857028758</v>
      </c>
    </row>
    <row r="105" spans="1:19">
      <c r="A105" s="191"/>
      <c r="B105" s="124">
        <f t="shared" si="4"/>
        <v>85</v>
      </c>
      <c r="C105" s="120">
        <f t="shared" ca="1" si="5"/>
        <v>117967709</v>
      </c>
      <c r="D105" s="48">
        <f t="shared" ca="1" si="0"/>
        <v>3.8292923066979047E-2</v>
      </c>
      <c r="E105" s="120">
        <f t="shared" ca="1" si="6"/>
        <v>4718749</v>
      </c>
      <c r="F105" s="116">
        <f t="shared" ca="1" si="1"/>
        <v>4.7187489999999999</v>
      </c>
      <c r="G105" s="118">
        <f ca="1">C105/Summary!C$58</f>
        <v>1.8698321287050245E-2</v>
      </c>
      <c r="H105" s="119">
        <f ca="1">H104+M105*Summary!$C$26/1000000</f>
        <v>1132.449697275151</v>
      </c>
      <c r="I105" s="119">
        <f t="shared" si="7"/>
        <v>29573.341666666627</v>
      </c>
      <c r="J105" s="122">
        <f ca="1">C104*Summary!C$49*Summary!C$62*24*365*1000*C$11</f>
        <v>307499410.23998708</v>
      </c>
      <c r="K105" s="122">
        <f t="shared" ca="1" si="2"/>
        <v>3774999410.2399869</v>
      </c>
      <c r="L105" s="120">
        <f t="shared" ca="1" si="3"/>
        <v>4718561</v>
      </c>
      <c r="M105" s="303">
        <f ca="1">C104*Summary!$C$49*Summary!$C$61</f>
        <v>2507.3337429875005</v>
      </c>
      <c r="N105" s="302">
        <f ca="1">M105/'Alberta Electricity Profile'!$D$49</f>
        <v>1.9206956657863695E-2</v>
      </c>
      <c r="O105" s="303">
        <f t="shared" si="8"/>
        <v>347.92166666666526</v>
      </c>
      <c r="P105" s="303">
        <f t="shared" ca="1" si="9"/>
        <v>15.984217891747676</v>
      </c>
      <c r="Q105" s="301">
        <f t="shared" ca="1" si="10"/>
        <v>6.374986152701954</v>
      </c>
      <c r="R105" s="301">
        <f t="shared" ca="1" si="11"/>
        <v>21.254441237156289</v>
      </c>
      <c r="S105" s="301">
        <f t="shared" ca="1" si="12"/>
        <v>0.13549676857028872</v>
      </c>
    </row>
    <row r="106" spans="1:19">
      <c r="A106" s="191"/>
      <c r="B106" s="124">
        <f t="shared" si="4"/>
        <v>86</v>
      </c>
      <c r="C106" s="120">
        <f t="shared" ca="1" si="5"/>
        <v>117967872</v>
      </c>
      <c r="D106" s="48">
        <f t="shared" ca="1" si="0"/>
        <v>3.8381866696146391E-2</v>
      </c>
      <c r="E106" s="120">
        <f t="shared" ca="1" si="6"/>
        <v>4718749</v>
      </c>
      <c r="F106" s="116">
        <f t="shared" ca="1" si="1"/>
        <v>4.7187489999999999</v>
      </c>
      <c r="G106" s="118">
        <f ca="1">C106/Summary!C$58</f>
        <v>1.8698347123157395E-2</v>
      </c>
      <c r="H106" s="119">
        <f ca="1">H105+M106*Summary!$C$26/1000000</f>
        <v>1148.4339406402912</v>
      </c>
      <c r="I106" s="119">
        <f t="shared" si="7"/>
        <v>29921.263333333292</v>
      </c>
      <c r="J106" s="122">
        <f ca="1">C105*Summary!C$49*Summary!C$62*24*365*1000*C$11</f>
        <v>307499900.28918576</v>
      </c>
      <c r="K106" s="122">
        <f t="shared" ca="1" si="2"/>
        <v>3774999900.2891855</v>
      </c>
      <c r="L106" s="120">
        <f t="shared" ca="1" si="3"/>
        <v>4718586</v>
      </c>
      <c r="M106" s="303">
        <f ca="1">C105*Summary!$C$49*Summary!$C$61</f>
        <v>2507.337738822453</v>
      </c>
      <c r="N106" s="302">
        <f ca="1">M106/'Alberta Electricity Profile'!$D$49</f>
        <v>1.9206987267202782E-2</v>
      </c>
      <c r="O106" s="303">
        <f t="shared" si="8"/>
        <v>347.92166666666526</v>
      </c>
      <c r="P106" s="303">
        <f t="shared" ca="1" si="9"/>
        <v>15.984243365140173</v>
      </c>
      <c r="Q106" s="301">
        <f t="shared" ca="1" si="10"/>
        <v>6.3749861527019567</v>
      </c>
      <c r="R106" s="301">
        <f t="shared" ca="1" si="11"/>
        <v>21.254441237156289</v>
      </c>
      <c r="S106" s="301">
        <f t="shared" ca="1" si="12"/>
        <v>0.13549676857028878</v>
      </c>
    </row>
    <row r="107" spans="1:19">
      <c r="A107" s="191"/>
      <c r="B107" s="124">
        <f t="shared" si="4"/>
        <v>87</v>
      </c>
      <c r="C107" s="120">
        <f t="shared" ca="1" si="5"/>
        <v>117968013</v>
      </c>
      <c r="D107" s="48">
        <f t="shared" ca="1" si="0"/>
        <v>3.8468766373835506E-2</v>
      </c>
      <c r="E107" s="120">
        <f t="shared" ca="1" si="6"/>
        <v>4718750</v>
      </c>
      <c r="F107" s="116">
        <f t="shared" ca="1" si="1"/>
        <v>4.71875</v>
      </c>
      <c r="G107" s="118">
        <f ca="1">C107/Summary!C$58</f>
        <v>1.8698369472182598E-2</v>
      </c>
      <c r="H107" s="119">
        <f ca="1">H106+M107*Summary!$C$26/1000000</f>
        <v>1164.4182060914045</v>
      </c>
      <c r="I107" s="119">
        <f t="shared" si="7"/>
        <v>30269.184999999958</v>
      </c>
      <c r="J107" s="122">
        <f ca="1">C106*Summary!C$49*Summary!C$62*24*365*1000*C$11</f>
        <v>307500325.17226738</v>
      </c>
      <c r="K107" s="122">
        <f t="shared" ca="1" si="2"/>
        <v>3775000325.1722674</v>
      </c>
      <c r="L107" s="120">
        <f t="shared" ca="1" si="3"/>
        <v>4718609</v>
      </c>
      <c r="M107" s="303">
        <f ca="1">C106*Summary!$C$49*Summary!$C$61</f>
        <v>2507.3412032963747</v>
      </c>
      <c r="N107" s="302">
        <f ca="1">M107/'Alberta Electricity Profile'!$D$49</f>
        <v>1.9207013806151037E-2</v>
      </c>
      <c r="O107" s="303">
        <f t="shared" si="8"/>
        <v>347.92166666666526</v>
      </c>
      <c r="P107" s="303">
        <f t="shared" ca="1" si="9"/>
        <v>15.984265451113288</v>
      </c>
      <c r="Q107" s="301">
        <f t="shared" ca="1" si="10"/>
        <v>6.3749861527018918</v>
      </c>
      <c r="R107" s="301">
        <f t="shared" ca="1" si="11"/>
        <v>21.254441237156289</v>
      </c>
      <c r="S107" s="301">
        <f t="shared" ca="1" si="12"/>
        <v>0.13549676857028739</v>
      </c>
    </row>
    <row r="108" spans="1:19">
      <c r="A108" s="191"/>
      <c r="B108" s="124">
        <f t="shared" si="4"/>
        <v>88</v>
      </c>
      <c r="C108" s="120">
        <f t="shared" ca="1" si="5"/>
        <v>117968134</v>
      </c>
      <c r="D108" s="48">
        <f t="shared" ca="1" si="0"/>
        <v>3.855369168284889E-2</v>
      </c>
      <c r="E108" s="120">
        <f t="shared" ca="1" si="6"/>
        <v>4718750</v>
      </c>
      <c r="F108" s="116">
        <f t="shared" ca="1" si="1"/>
        <v>4.71875</v>
      </c>
      <c r="G108" s="118">
        <f ca="1">C108/Summary!C$58</f>
        <v>1.8698388651133303E-2</v>
      </c>
      <c r="H108" s="119">
        <f ca="1">H107+M108*Summary!$C$26/1000000</f>
        <v>1180.4024906475622</v>
      </c>
      <c r="I108" s="119">
        <f t="shared" si="7"/>
        <v>30617.106666666623</v>
      </c>
      <c r="J108" s="122">
        <f ca="1">C107*Summary!C$49*Summary!C$62*24*365*1000*C$11</f>
        <v>307500692.70916635</v>
      </c>
      <c r="K108" s="122">
        <f t="shared" ca="1" si="2"/>
        <v>3775000692.7091665</v>
      </c>
      <c r="L108" s="120">
        <f t="shared" ca="1" si="3"/>
        <v>4718629</v>
      </c>
      <c r="M108" s="303">
        <f ca="1">C107*Summary!$C$49*Summary!$C$61</f>
        <v>2507.3442001725889</v>
      </c>
      <c r="N108" s="302">
        <f ca="1">M108/'Alberta Electricity Profile'!$D$49</f>
        <v>1.9207036763155352E-2</v>
      </c>
      <c r="O108" s="303">
        <f t="shared" si="8"/>
        <v>347.92166666666526</v>
      </c>
      <c r="P108" s="303">
        <f t="shared" ca="1" si="9"/>
        <v>15.984284556157718</v>
      </c>
      <c r="Q108" s="301">
        <f t="shared" ca="1" si="10"/>
        <v>6.3749861527019167</v>
      </c>
      <c r="R108" s="301">
        <f t="shared" ca="1" si="11"/>
        <v>21.254441237156286</v>
      </c>
      <c r="S108" s="301">
        <f t="shared" ca="1" si="12"/>
        <v>0.13549676857028792</v>
      </c>
    </row>
    <row r="109" spans="1:19">
      <c r="A109" s="191"/>
      <c r="B109" s="124">
        <f t="shared" si="4"/>
        <v>89</v>
      </c>
      <c r="C109" s="120">
        <f t="shared" ca="1" si="5"/>
        <v>117968238</v>
      </c>
      <c r="D109" s="48">
        <f t="shared" ca="1" si="0"/>
        <v>3.863670908742365E-2</v>
      </c>
      <c r="E109" s="120">
        <f t="shared" ca="1" si="6"/>
        <v>4718751</v>
      </c>
      <c r="F109" s="116">
        <f t="shared" ca="1" si="1"/>
        <v>4.7187510000000001</v>
      </c>
      <c r="G109" s="118">
        <f ca="1">C109/Summary!C$58</f>
        <v>1.8698405135520686E-2</v>
      </c>
      <c r="H109" s="119">
        <f ca="1">H108+M109*Summary!$C$26/1000000</f>
        <v>1196.3867915988289</v>
      </c>
      <c r="I109" s="119">
        <f t="shared" si="7"/>
        <v>30965.028333333288</v>
      </c>
      <c r="J109" s="122">
        <f ca="1">C108*Summary!C$49*Summary!C$62*24*365*1000*C$11</f>
        <v>307501008.11317188</v>
      </c>
      <c r="K109" s="122">
        <f t="shared" ca="1" si="2"/>
        <v>3775001008.1131721</v>
      </c>
      <c r="L109" s="120">
        <f t="shared" ca="1" si="3"/>
        <v>4718647</v>
      </c>
      <c r="M109" s="303">
        <f ca="1">C108*Summary!$C$49*Summary!$C$61</f>
        <v>2507.3467719599789</v>
      </c>
      <c r="N109" s="302">
        <f ca="1">M109/'Alberta Electricity Profile'!$D$49</f>
        <v>1.9207056463846999E-2</v>
      </c>
      <c r="O109" s="303">
        <f t="shared" si="8"/>
        <v>347.92166666666526</v>
      </c>
      <c r="P109" s="303">
        <f t="shared" ca="1" si="9"/>
        <v>15.984300951266732</v>
      </c>
      <c r="Q109" s="301">
        <f t="shared" ca="1" si="10"/>
        <v>6.3749861527019229</v>
      </c>
      <c r="R109" s="301">
        <f t="shared" ca="1" si="11"/>
        <v>21.254441237156289</v>
      </c>
      <c r="S109" s="301">
        <f t="shared" ca="1" si="12"/>
        <v>0.13549676857028808</v>
      </c>
    </row>
    <row r="110" spans="1:19">
      <c r="A110" s="191"/>
      <c r="B110" s="124">
        <f t="shared" si="4"/>
        <v>90</v>
      </c>
      <c r="C110" s="120">
        <f t="shared" ca="1" si="5"/>
        <v>117968326</v>
      </c>
      <c r="D110" s="48">
        <f t="shared" ca="1" si="0"/>
        <v>3.8717882110812341E-2</v>
      </c>
      <c r="E110" s="120">
        <f t="shared" ca="1" si="6"/>
        <v>4718751</v>
      </c>
      <c r="F110" s="116">
        <f t="shared" ca="1" si="1"/>
        <v>4.7187510000000001</v>
      </c>
      <c r="G110" s="118">
        <f ca="1">C110/Summary!C$58</f>
        <v>1.8698419083848471E-2</v>
      </c>
      <c r="H110" s="119">
        <f ca="1">H109+M110*Summary!$C$26/1000000</f>
        <v>1212.3711066417595</v>
      </c>
      <c r="I110" s="119">
        <f t="shared" si="7"/>
        <v>31312.949999999953</v>
      </c>
      <c r="J110" s="122">
        <f ca="1">C109*Summary!C$49*Summary!C$62*24*365*1000*C$11</f>
        <v>307501279.20421791</v>
      </c>
      <c r="K110" s="122">
        <f t="shared" ca="1" si="2"/>
        <v>3775001279.2042179</v>
      </c>
      <c r="L110" s="120">
        <f t="shared" ca="1" si="3"/>
        <v>4718663</v>
      </c>
      <c r="M110" s="303">
        <f ca="1">C109*Summary!$C$49*Summary!$C$61</f>
        <v>2507.3489824218677</v>
      </c>
      <c r="N110" s="302">
        <f ca="1">M110/'Alberta Electricity Profile'!$D$49</f>
        <v>1.920707339667288E-2</v>
      </c>
      <c r="O110" s="303">
        <f t="shared" si="8"/>
        <v>347.92166666666526</v>
      </c>
      <c r="P110" s="303">
        <f t="shared" ca="1" si="9"/>
        <v>15.984315042930575</v>
      </c>
      <c r="Q110" s="301">
        <f t="shared" ca="1" si="10"/>
        <v>6.3749861527018874</v>
      </c>
      <c r="R110" s="301">
        <f t="shared" ca="1" si="11"/>
        <v>21.254441237156293</v>
      </c>
      <c r="S110" s="301">
        <f t="shared" ca="1" si="12"/>
        <v>0.13549676857028731</v>
      </c>
    </row>
    <row r="111" spans="1:19">
      <c r="A111" s="191"/>
      <c r="B111" s="124">
        <f t="shared" si="4"/>
        <v>91</v>
      </c>
      <c r="C111" s="120">
        <f t="shared" ca="1" si="5"/>
        <v>117968400</v>
      </c>
      <c r="D111" s="48">
        <f t="shared" ca="1" si="0"/>
        <v>3.8797271488316284E-2</v>
      </c>
      <c r="E111" s="120">
        <f t="shared" ca="1" si="6"/>
        <v>4718751</v>
      </c>
      <c r="F111" s="116">
        <f t="shared" ca="1" si="1"/>
        <v>4.7187510000000001</v>
      </c>
      <c r="G111" s="118">
        <f ca="1">C111/Summary!C$58</f>
        <v>1.8698430813124108E-2</v>
      </c>
      <c r="H111" s="119">
        <f ca="1">H110+M111*Summary!$C$26/1000000</f>
        <v>1228.3554336084057</v>
      </c>
      <c r="I111" s="119">
        <f t="shared" si="7"/>
        <v>31660.871666666619</v>
      </c>
      <c r="J111" s="122">
        <f ca="1">C110*Summary!C$49*Summary!C$62*24*365*1000*C$11</f>
        <v>307501508.58894908</v>
      </c>
      <c r="K111" s="122">
        <f t="shared" ca="1" si="2"/>
        <v>3775001508.5889492</v>
      </c>
      <c r="L111" s="120">
        <f t="shared" ca="1" si="3"/>
        <v>4718677</v>
      </c>
      <c r="M111" s="303">
        <f ca="1">C110*Summary!$C$49*Summary!$C$61</f>
        <v>2507.3508528126963</v>
      </c>
      <c r="N111" s="302">
        <f ca="1">M111/'Alberta Electricity Profile'!$D$49</f>
        <v>1.920708772444862E-2</v>
      </c>
      <c r="O111" s="303">
        <f t="shared" si="8"/>
        <v>347.92166666666526</v>
      </c>
      <c r="P111" s="303">
        <f t="shared" ca="1" si="9"/>
        <v>15.984326966646222</v>
      </c>
      <c r="Q111" s="301">
        <f t="shared" ca="1" si="10"/>
        <v>6.3749861527018936</v>
      </c>
      <c r="R111" s="301">
        <f t="shared" ca="1" si="11"/>
        <v>21.254441237156289</v>
      </c>
      <c r="S111" s="301">
        <f t="shared" ca="1" si="12"/>
        <v>0.13549676857028742</v>
      </c>
    </row>
    <row r="112" spans="1:19">
      <c r="A112" s="191"/>
      <c r="B112" s="124">
        <f t="shared" si="4"/>
        <v>92</v>
      </c>
      <c r="C112" s="120">
        <f t="shared" ca="1" si="5"/>
        <v>117968463</v>
      </c>
      <c r="D112" s="48">
        <f t="shared" ca="1" si="0"/>
        <v>3.8874935323037735E-2</v>
      </c>
      <c r="E112" s="120">
        <f t="shared" ca="1" si="6"/>
        <v>4718752</v>
      </c>
      <c r="F112" s="116">
        <f t="shared" ca="1" si="1"/>
        <v>4.7187520000000003</v>
      </c>
      <c r="G112" s="118">
        <f ca="1">C112/Summary!C$58</f>
        <v>1.8698440798858774E-2</v>
      </c>
      <c r="H112" s="119">
        <f ca="1">H111+M112*Summary!$C$26/1000000</f>
        <v>1244.3397706018129</v>
      </c>
      <c r="I112" s="119">
        <f t="shared" si="7"/>
        <v>32008.793333333284</v>
      </c>
      <c r="J112" s="122">
        <f ca="1">C111*Summary!C$49*Summary!C$62*24*365*1000*C$11</f>
        <v>307501701.48065501</v>
      </c>
      <c r="K112" s="122">
        <f t="shared" ca="1" si="2"/>
        <v>3775001701.4806552</v>
      </c>
      <c r="L112" s="120">
        <f t="shared" ca="1" si="3"/>
        <v>4718689</v>
      </c>
      <c r="M112" s="303">
        <f ca="1">C111*Summary!$C$49*Summary!$C$61</f>
        <v>2507.352425641348</v>
      </c>
      <c r="N112" s="302">
        <f ca="1">M112/'Alberta Electricity Profile'!$D$49</f>
        <v>1.9207099772805498E-2</v>
      </c>
      <c r="O112" s="303">
        <f t="shared" si="8"/>
        <v>347.92166666666526</v>
      </c>
      <c r="P112" s="303">
        <f t="shared" ca="1" si="9"/>
        <v>15.984336993407169</v>
      </c>
      <c r="Q112" s="301">
        <f t="shared" ca="1" si="10"/>
        <v>6.374986152701922</v>
      </c>
      <c r="R112" s="301">
        <f t="shared" ca="1" si="11"/>
        <v>21.254441237156289</v>
      </c>
      <c r="S112" s="301">
        <f t="shared" ca="1" si="12"/>
        <v>0.13549676857028806</v>
      </c>
    </row>
    <row r="113" spans="1:19">
      <c r="A113" s="191"/>
      <c r="B113" s="124">
        <f t="shared" si="4"/>
        <v>93</v>
      </c>
      <c r="C113" s="120">
        <f t="shared" ca="1" si="5"/>
        <v>117968516</v>
      </c>
      <c r="D113" s="48">
        <f t="shared" ca="1" si="0"/>
        <v>3.8950929231583567E-2</v>
      </c>
      <c r="E113" s="120">
        <f t="shared" ca="1" si="6"/>
        <v>4718752</v>
      </c>
      <c r="F113" s="116">
        <f t="shared" ca="1" si="1"/>
        <v>4.7187520000000003</v>
      </c>
      <c r="G113" s="118">
        <f ca="1">C113/Summary!C$58</f>
        <v>1.869844919955619E-2</v>
      </c>
      <c r="H113" s="119">
        <f ca="1">H112+M113*Summary!$C$26/1000000</f>
        <v>1260.3241161315166</v>
      </c>
      <c r="I113" s="119">
        <f t="shared" si="7"/>
        <v>32356.714999999949</v>
      </c>
      <c r="J113" s="122">
        <f ca="1">C112*Summary!C$49*Summary!C$62*24*365*1000*C$11</f>
        <v>307501865.69926935</v>
      </c>
      <c r="K113" s="122">
        <f t="shared" ca="1" si="2"/>
        <v>3775001865.6992693</v>
      </c>
      <c r="L113" s="120">
        <f t="shared" ca="1" si="3"/>
        <v>4718699</v>
      </c>
      <c r="M113" s="303">
        <f ca="1">C112*Summary!$C$49*Summary!$C$61</f>
        <v>2507.3537646711461</v>
      </c>
      <c r="N113" s="302">
        <f ca="1">M113/'Alberta Electricity Profile'!$D$49</f>
        <v>1.9207110030190405E-2</v>
      </c>
      <c r="O113" s="303">
        <f t="shared" si="8"/>
        <v>347.92166666666526</v>
      </c>
      <c r="P113" s="303">
        <f t="shared" ca="1" si="9"/>
        <v>15.98434552970366</v>
      </c>
      <c r="Q113" s="301">
        <f t="shared" ca="1" si="10"/>
        <v>6.3749861527019505</v>
      </c>
      <c r="R113" s="301">
        <f t="shared" ca="1" si="11"/>
        <v>21.254441237156289</v>
      </c>
      <c r="S113" s="301">
        <f t="shared" ca="1" si="12"/>
        <v>0.13549676857028864</v>
      </c>
    </row>
    <row r="114" spans="1:19">
      <c r="A114" s="191"/>
      <c r="B114" s="124">
        <f t="shared" si="4"/>
        <v>94</v>
      </c>
      <c r="C114" s="120">
        <f t="shared" ca="1" si="5"/>
        <v>117968560</v>
      </c>
      <c r="D114" s="48">
        <f t="shared" ca="1" si="0"/>
        <v>3.9025306468039582E-2</v>
      </c>
      <c r="E114" s="120">
        <f t="shared" ca="1" si="6"/>
        <v>4718752</v>
      </c>
      <c r="F114" s="116">
        <f t="shared" ca="1" si="1"/>
        <v>4.7187520000000003</v>
      </c>
      <c r="G114" s="118">
        <f ca="1">C114/Summary!C$58</f>
        <v>1.8698456173720082E-2</v>
      </c>
      <c r="H114" s="119">
        <f ca="1">H113+M114*Summary!$C$26/1000000</f>
        <v>1276.308468842549</v>
      </c>
      <c r="I114" s="119">
        <f t="shared" si="7"/>
        <v>32704.636666666614</v>
      </c>
      <c r="J114" s="122">
        <f ca="1">C113*Summary!C$49*Summary!C$62*24*365*1000*C$11</f>
        <v>307502003.85143703</v>
      </c>
      <c r="K114" s="122">
        <f t="shared" ca="1" si="2"/>
        <v>3775002003.8514371</v>
      </c>
      <c r="L114" s="120">
        <f t="shared" ca="1" si="3"/>
        <v>4718708</v>
      </c>
      <c r="M114" s="303">
        <f ca="1">C113*Summary!$C$49*Summary!$C$61</f>
        <v>2507.3548911565317</v>
      </c>
      <c r="N114" s="302">
        <f ca="1">M114/'Alberta Electricity Profile'!$D$49</f>
        <v>1.920711865941898E-2</v>
      </c>
      <c r="O114" s="303">
        <f t="shared" si="8"/>
        <v>347.92166666666526</v>
      </c>
      <c r="P114" s="303">
        <f t="shared" ca="1" si="9"/>
        <v>15.984352711032443</v>
      </c>
      <c r="Q114" s="301">
        <f t="shared" ca="1" si="10"/>
        <v>6.3749861527019691</v>
      </c>
      <c r="R114" s="301">
        <f t="shared" ca="1" si="11"/>
        <v>21.254441237156293</v>
      </c>
      <c r="S114" s="301">
        <f t="shared" ca="1" si="12"/>
        <v>0.13549676857028906</v>
      </c>
    </row>
    <row r="115" spans="1:19">
      <c r="A115" s="191"/>
      <c r="B115" s="124">
        <f t="shared" si="4"/>
        <v>95</v>
      </c>
      <c r="C115" s="120">
        <f t="shared" ca="1" si="5"/>
        <v>117968597</v>
      </c>
      <c r="D115" s="48">
        <f t="shared" ca="1" si="0"/>
        <v>3.9098118048313694E-2</v>
      </c>
      <c r="E115" s="120">
        <f t="shared" ca="1" si="6"/>
        <v>4718752</v>
      </c>
      <c r="F115" s="116">
        <f t="shared" ca="1" si="1"/>
        <v>4.7187520000000003</v>
      </c>
      <c r="G115" s="118">
        <f ca="1">C115/Summary!C$58</f>
        <v>1.8698462038357903E-2</v>
      </c>
      <c r="H115" s="119">
        <f ca="1">H114+M115*Summary!$C$26/1000000</f>
        <v>1292.2928275154393</v>
      </c>
      <c r="I115" s="119">
        <f t="shared" si="7"/>
        <v>33052.558333333283</v>
      </c>
      <c r="J115" s="122">
        <f ca="1">C114*Summary!C$49*Summary!C$62*24*365*1000*C$11</f>
        <v>307502118.54380274</v>
      </c>
      <c r="K115" s="122">
        <f t="shared" ca="1" si="2"/>
        <v>3775002118.5438027</v>
      </c>
      <c r="L115" s="120">
        <f t="shared" ca="1" si="3"/>
        <v>4718715</v>
      </c>
      <c r="M115" s="303">
        <f ca="1">C114*Summary!$C$49*Summary!$C$61</f>
        <v>2507.3558263519462</v>
      </c>
      <c r="N115" s="302">
        <f ca="1">M115/'Alberta Electricity Profile'!$D$49</f>
        <v>1.9207125823306852E-2</v>
      </c>
      <c r="O115" s="303">
        <f t="shared" si="8"/>
        <v>347.9216666666689</v>
      </c>
      <c r="P115" s="303">
        <f t="shared" ca="1" si="9"/>
        <v>15.984358672890266</v>
      </c>
      <c r="Q115" s="301">
        <f t="shared" ca="1" si="10"/>
        <v>6.3749861527019718</v>
      </c>
      <c r="R115" s="301">
        <f t="shared" ca="1" si="11"/>
        <v>21.254441237156293</v>
      </c>
      <c r="S115" s="301">
        <f t="shared" ca="1" si="12"/>
        <v>0.13549676857028911</v>
      </c>
    </row>
    <row r="116" spans="1:19">
      <c r="A116" s="191"/>
      <c r="B116" s="124">
        <f t="shared" si="4"/>
        <v>96</v>
      </c>
      <c r="C116" s="120">
        <f t="shared" ca="1" si="5"/>
        <v>117968628</v>
      </c>
      <c r="D116" s="48">
        <f t="shared" ca="1" si="0"/>
        <v>3.9169412870764482E-2</v>
      </c>
      <c r="E116" s="120">
        <f t="shared" ca="1" si="6"/>
        <v>4718752</v>
      </c>
      <c r="F116" s="116">
        <f t="shared" ca="1" si="1"/>
        <v>4.7187520000000003</v>
      </c>
      <c r="G116" s="118">
        <f ca="1">C116/Summary!C$58</f>
        <v>1.8698466951973372E-2</v>
      </c>
      <c r="H116" s="119">
        <f ca="1">H115+M116*Summary!$C$26/1000000</f>
        <v>1308.2771912017099</v>
      </c>
      <c r="I116" s="119">
        <f t="shared" si="7"/>
        <v>33400.479999999952</v>
      </c>
      <c r="J116" s="122">
        <f ca="1">C115*Summary!C$49*Summary!C$62*24*365*1000*C$11</f>
        <v>307502214.98965561</v>
      </c>
      <c r="K116" s="122">
        <f t="shared" ca="1" si="2"/>
        <v>3775002214.9896555</v>
      </c>
      <c r="L116" s="120">
        <f t="shared" ca="1" si="3"/>
        <v>4718721</v>
      </c>
      <c r="M116" s="303">
        <f ca="1">C115*Summary!$C$49*Summary!$C$61</f>
        <v>2507.3566127662716</v>
      </c>
      <c r="N116" s="302">
        <f ca="1">M116/'Alberta Electricity Profile'!$D$49</f>
        <v>1.9207131847485286E-2</v>
      </c>
      <c r="O116" s="303">
        <f t="shared" si="8"/>
        <v>347.9216666666689</v>
      </c>
      <c r="P116" s="303">
        <f t="shared" ca="1" si="9"/>
        <v>15.984363686270626</v>
      </c>
      <c r="Q116" s="301">
        <f t="shared" ca="1" si="10"/>
        <v>6.3749861527019416</v>
      </c>
      <c r="R116" s="301">
        <f t="shared" ca="1" si="11"/>
        <v>21.254441237156289</v>
      </c>
      <c r="S116" s="301">
        <f t="shared" ca="1" si="12"/>
        <v>0.13549676857028845</v>
      </c>
    </row>
    <row r="117" spans="1:19">
      <c r="A117" s="191"/>
      <c r="B117" s="124">
        <f t="shared" si="4"/>
        <v>97</v>
      </c>
      <c r="C117" s="120">
        <f t="shared" ca="1" si="5"/>
        <v>117968654</v>
      </c>
      <c r="D117" s="48">
        <f t="shared" ca="1" si="0"/>
        <v>3.9239237821338271E-2</v>
      </c>
      <c r="E117" s="120">
        <f t="shared" ca="1" si="6"/>
        <v>4718752</v>
      </c>
      <c r="F117" s="116">
        <f t="shared" ca="1" si="1"/>
        <v>4.7187520000000003</v>
      </c>
      <c r="G117" s="118">
        <f ca="1">C117/Summary!C$58</f>
        <v>1.8698471073070218E-2</v>
      </c>
      <c r="H117" s="119">
        <f ca="1">H116+M117*Summary!$C$26/1000000</f>
        <v>1324.2615590883804</v>
      </c>
      <c r="I117" s="119">
        <f t="shared" si="7"/>
        <v>33748.401666666621</v>
      </c>
      <c r="J117" s="122">
        <f ca="1">C116*Summary!C$49*Summary!C$62*24*365*1000*C$11</f>
        <v>307502295.79564053</v>
      </c>
      <c r="K117" s="122">
        <f t="shared" ca="1" si="2"/>
        <v>3775002295.7956405</v>
      </c>
      <c r="L117" s="120">
        <f t="shared" ca="1" si="3"/>
        <v>4718726</v>
      </c>
      <c r="M117" s="303">
        <f ca="1">C116*Summary!$C$49*Summary!$C$61</f>
        <v>2507.3572716539502</v>
      </c>
      <c r="N117" s="302">
        <f ca="1">M117/'Alberta Electricity Profile'!$D$49</f>
        <v>1.9207136894769924E-2</v>
      </c>
      <c r="O117" s="303">
        <f t="shared" si="8"/>
        <v>347.9216666666689</v>
      </c>
      <c r="P117" s="303">
        <f t="shared" ca="1" si="9"/>
        <v>15.984367886670498</v>
      </c>
      <c r="Q117" s="301">
        <f t="shared" ca="1" si="10"/>
        <v>6.3749861527019593</v>
      </c>
      <c r="R117" s="301">
        <f t="shared" ca="1" si="11"/>
        <v>21.254441237156289</v>
      </c>
      <c r="S117" s="301">
        <f t="shared" ca="1" si="12"/>
        <v>0.13549676857028886</v>
      </c>
    </row>
    <row r="118" spans="1:19">
      <c r="A118" s="191"/>
      <c r="B118" s="124">
        <f t="shared" si="4"/>
        <v>98</v>
      </c>
      <c r="C118" s="120">
        <f t="shared" ca="1" si="5"/>
        <v>117968676</v>
      </c>
      <c r="D118" s="48">
        <f t="shared" ca="1" si="0"/>
        <v>3.9307637876243209E-2</v>
      </c>
      <c r="E118" s="120">
        <f t="shared" ca="1" si="6"/>
        <v>4718752</v>
      </c>
      <c r="F118" s="116">
        <f t="shared" ca="1" si="1"/>
        <v>4.7187520000000003</v>
      </c>
      <c r="G118" s="118">
        <f ca="1">C118/Summary!C$58</f>
        <v>1.8698474560152164E-2</v>
      </c>
      <c r="H118" s="119">
        <f ca="1">H117+M118*Summary!$C$26/1000000</f>
        <v>1340.2459304979668</v>
      </c>
      <c r="I118" s="119">
        <f t="shared" si="7"/>
        <v>34096.32333333329</v>
      </c>
      <c r="J118" s="122">
        <f ca="1">C117*Summary!C$49*Summary!C$62*24*365*1000*C$11</f>
        <v>307502363.56840205</v>
      </c>
      <c r="K118" s="122">
        <f t="shared" ca="1" si="2"/>
        <v>3775002363.5684023</v>
      </c>
      <c r="L118" s="120">
        <f t="shared" ca="1" si="3"/>
        <v>4718730</v>
      </c>
      <c r="M118" s="303">
        <f ca="1">C117*Summary!$C$49*Summary!$C$61</f>
        <v>2507.3578242694225</v>
      </c>
      <c r="N118" s="302">
        <f ca="1">M118/'Alberta Electricity Profile'!$D$49</f>
        <v>1.9207141127976394E-2</v>
      </c>
      <c r="O118" s="303">
        <f t="shared" si="8"/>
        <v>347.9216666666689</v>
      </c>
      <c r="P118" s="303">
        <f t="shared" ca="1" si="9"/>
        <v>15.984371409586402</v>
      </c>
      <c r="Q118" s="301">
        <f t="shared" ca="1" si="10"/>
        <v>6.3749861527019274</v>
      </c>
      <c r="R118" s="301">
        <f t="shared" ca="1" si="11"/>
        <v>21.254441237156293</v>
      </c>
      <c r="S118" s="301">
        <f t="shared" ca="1" si="12"/>
        <v>0.1354967685702882</v>
      </c>
    </row>
    <row r="119" spans="1:19">
      <c r="A119" s="191"/>
      <c r="B119" s="124">
        <f t="shared" si="4"/>
        <v>99</v>
      </c>
      <c r="C119" s="120">
        <f t="shared" ca="1" si="5"/>
        <v>117968696</v>
      </c>
      <c r="D119" s="48">
        <f t="shared" ca="1" si="0"/>
        <v>3.9374656198400741E-2</v>
      </c>
      <c r="E119" s="120">
        <f t="shared" ca="1" si="6"/>
        <v>4718753</v>
      </c>
      <c r="F119" s="116">
        <f t="shared" ca="1" si="1"/>
        <v>4.7187530000000004</v>
      </c>
      <c r="G119" s="118">
        <f ca="1">C119/Summary!C$58</f>
        <v>1.8698477730226662E-2</v>
      </c>
      <c r="H119" s="119">
        <f ca="1">H118+M119*Summary!$C$26/1000000</f>
        <v>1356.2303048884821</v>
      </c>
      <c r="I119" s="119">
        <f t="shared" si="7"/>
        <v>34444.244999999959</v>
      </c>
      <c r="J119" s="122">
        <f ca="1">C118*Summary!C$49*Summary!C$62*24*365*1000*C$11</f>
        <v>307502420.91458476</v>
      </c>
      <c r="K119" s="122">
        <f t="shared" ca="1" si="2"/>
        <v>3775002420.9145846</v>
      </c>
      <c r="L119" s="120">
        <f t="shared" ca="1" si="3"/>
        <v>4718733</v>
      </c>
      <c r="M119" s="303">
        <f ca="1">C118*Summary!$C$49*Summary!$C$61</f>
        <v>2507.3582918671291</v>
      </c>
      <c r="N119" s="302">
        <f ca="1">M119/'Alberta Electricity Profile'!$D$49</f>
        <v>1.9207144709920326E-2</v>
      </c>
      <c r="O119" s="303">
        <f t="shared" si="8"/>
        <v>347.9216666666689</v>
      </c>
      <c r="P119" s="303">
        <f t="shared" ca="1" si="9"/>
        <v>15.984374390515313</v>
      </c>
      <c r="Q119" s="301">
        <f t="shared" ca="1" si="10"/>
        <v>6.37498615270193</v>
      </c>
      <c r="R119" s="301">
        <f t="shared" ca="1" si="11"/>
        <v>21.254441237156286</v>
      </c>
      <c r="S119" s="301">
        <f t="shared" ca="1" si="12"/>
        <v>0.13549676857028822</v>
      </c>
    </row>
    <row r="120" spans="1:19" ht="15.75" customHeight="1">
      <c r="A120" s="191"/>
      <c r="B120" s="165">
        <f t="shared" si="4"/>
        <v>100</v>
      </c>
      <c r="C120" s="167">
        <f t="shared" ca="1" si="5"/>
        <v>117968713</v>
      </c>
      <c r="D120" s="56">
        <f t="shared" ca="1" si="0"/>
        <v>3.9440334232004361E-2</v>
      </c>
      <c r="E120" s="167">
        <f t="shared" ca="1" si="6"/>
        <v>4718753</v>
      </c>
      <c r="F120" s="168">
        <f t="shared" ca="1" si="1"/>
        <v>4.7187530000000004</v>
      </c>
      <c r="G120" s="169">
        <f ca="1">C120/Summary!C$58</f>
        <v>1.8698480424789981E-2</v>
      </c>
      <c r="H120" s="170">
        <f ca="1">H119+M120*Summary!$C$26/1000000</f>
        <v>1372.2146819889329</v>
      </c>
      <c r="I120" s="170">
        <f t="shared" si="7"/>
        <v>34792.166666666628</v>
      </c>
      <c r="J120" s="171">
        <f ca="1">C119*Summary!C$49*Summary!C$62*24*365*1000*C$11</f>
        <v>307502473.04747832</v>
      </c>
      <c r="K120" s="171">
        <f t="shared" ca="1" si="2"/>
        <v>3775002473.0474782</v>
      </c>
      <c r="L120" s="167">
        <f t="shared" ca="1" si="3"/>
        <v>4718736</v>
      </c>
      <c r="M120" s="304">
        <f ca="1">C119*Summary!$C$49*Summary!$C$61</f>
        <v>2507.3587169559542</v>
      </c>
      <c r="N120" s="72">
        <f ca="1">M120/'Alberta Electricity Profile'!$D$49</f>
        <v>1.9207147966232997E-2</v>
      </c>
      <c r="O120" s="304">
        <f t="shared" si="8"/>
        <v>347.9216666666689</v>
      </c>
      <c r="P120" s="304">
        <f t="shared" ca="1" si="9"/>
        <v>15.984377100450729</v>
      </c>
      <c r="Q120" s="305">
        <f t="shared" ca="1" si="10"/>
        <v>6.3749861527019478</v>
      </c>
      <c r="R120" s="305">
        <f t="shared" ca="1" si="11"/>
        <v>21.254441237156289</v>
      </c>
      <c r="S120" s="305">
        <f t="shared" ca="1" si="12"/>
        <v>0.13549676857028858</v>
      </c>
    </row>
    <row r="121" spans="1:19">
      <c r="A121" s="191"/>
      <c r="B121" s="172"/>
      <c r="C121" s="173"/>
      <c r="D121" s="174"/>
      <c r="E121" s="173"/>
      <c r="F121" s="175"/>
      <c r="G121" s="176"/>
      <c r="H121" s="177"/>
      <c r="I121" s="177"/>
      <c r="J121" s="178"/>
      <c r="K121" s="178"/>
      <c r="L121" s="173"/>
      <c r="M121" s="306"/>
      <c r="N121" s="306"/>
      <c r="O121" s="306"/>
      <c r="P121" s="306"/>
      <c r="Q121" s="306"/>
      <c r="R121" s="306"/>
      <c r="S121" s="306"/>
    </row>
    <row r="122" spans="1:19" s="192" customFormat="1">
      <c r="A122" s="191"/>
      <c r="B122" s="269"/>
      <c r="C122" s="285"/>
      <c r="D122" s="307"/>
      <c r="E122" s="308"/>
      <c r="F122" s="309"/>
      <c r="G122" s="310"/>
      <c r="H122" s="311"/>
      <c r="I122" s="311"/>
      <c r="J122" s="312"/>
      <c r="K122" s="312"/>
      <c r="L122" s="308"/>
      <c r="M122" s="269"/>
      <c r="N122" s="269"/>
      <c r="O122" s="269"/>
      <c r="P122" s="269"/>
      <c r="Q122" s="269"/>
      <c r="R122" s="269"/>
      <c r="S122" s="269"/>
    </row>
  </sheetData>
  <mergeCells count="2">
    <mergeCell ref="B1:M1"/>
    <mergeCell ref="B6:C6"/>
  </mergeCells>
  <hyperlinks>
    <hyperlink ref="D7" r:id="rId1"/>
  </hyperlink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
  <sheetViews>
    <sheetView showGridLines="0" topLeftCell="B60" workbookViewId="0">
      <selection activeCell="I76" sqref="I76"/>
    </sheetView>
  </sheetViews>
  <sheetFormatPr defaultColWidth="17.28515625" defaultRowHeight="15" customHeight="1"/>
  <cols>
    <col min="1" max="1" width="2.85546875" style="192" customWidth="1"/>
    <col min="2" max="2" width="8.85546875" customWidth="1"/>
    <col min="3" max="3" width="17.5703125" bestFit="1" customWidth="1"/>
    <col min="4" max="7" width="18.42578125" customWidth="1"/>
    <col min="8" max="8" width="18.5703125" bestFit="1" customWidth="1"/>
    <col min="9" max="9" width="13.42578125" style="192" customWidth="1"/>
    <col min="10" max="10" width="18.42578125" customWidth="1"/>
    <col min="11" max="11" width="17.5703125" bestFit="1" customWidth="1"/>
    <col min="12" max="14" width="18.42578125" customWidth="1"/>
    <col min="15" max="16" width="18.5703125" bestFit="1" customWidth="1"/>
  </cols>
  <sheetData>
    <row r="1" spans="1:16" ht="25.5" customHeight="1">
      <c r="A1" s="191"/>
      <c r="B1" s="230" t="s">
        <v>32</v>
      </c>
      <c r="C1" s="230"/>
      <c r="D1" s="230"/>
      <c r="E1" s="230"/>
      <c r="F1" s="230"/>
      <c r="G1" s="230"/>
      <c r="H1" s="230"/>
      <c r="I1" s="230"/>
      <c r="J1" s="230"/>
      <c r="K1" s="230"/>
      <c r="L1" s="230"/>
      <c r="M1" s="230"/>
      <c r="N1" s="230"/>
      <c r="O1" s="230"/>
      <c r="P1" s="230"/>
    </row>
    <row r="2" spans="1:16" s="192" customFormat="1" ht="15.75" thickBot="1">
      <c r="A2" s="191"/>
      <c r="B2" s="191"/>
      <c r="C2" s="191"/>
      <c r="D2" s="191"/>
      <c r="E2" s="191"/>
      <c r="F2" s="191"/>
      <c r="G2" s="191"/>
      <c r="H2" s="191"/>
      <c r="I2" s="191"/>
      <c r="J2" s="191"/>
      <c r="K2" s="191"/>
      <c r="L2" s="191"/>
      <c r="M2" s="191"/>
      <c r="N2" s="191"/>
      <c r="O2" s="191"/>
    </row>
    <row r="3" spans="1:16" ht="15.75" customHeight="1" thickBot="1">
      <c r="A3" s="191"/>
      <c r="B3" s="313" t="s">
        <v>34</v>
      </c>
      <c r="C3" s="314"/>
      <c r="D3" s="314"/>
      <c r="E3" s="314"/>
      <c r="F3" s="314"/>
      <c r="G3" s="314"/>
      <c r="H3" s="315"/>
      <c r="J3" s="313" t="s">
        <v>45</v>
      </c>
      <c r="K3" s="314"/>
      <c r="L3" s="314"/>
      <c r="M3" s="314"/>
      <c r="N3" s="314"/>
      <c r="O3" s="314"/>
      <c r="P3" s="315"/>
    </row>
    <row r="4" spans="1:16" ht="15.75" customHeight="1" thickBot="1">
      <c r="A4" s="191"/>
      <c r="B4" s="43" t="s">
        <v>46</v>
      </c>
      <c r="C4" s="232" t="s">
        <v>365</v>
      </c>
      <c r="D4" s="7" t="s">
        <v>48</v>
      </c>
      <c r="E4" s="7" t="s">
        <v>49</v>
      </c>
      <c r="F4" s="7" t="s">
        <v>50</v>
      </c>
      <c r="G4" s="7" t="s">
        <v>51</v>
      </c>
      <c r="H4" s="7" t="s">
        <v>52</v>
      </c>
      <c r="I4" s="191"/>
      <c r="J4" s="43" t="s">
        <v>46</v>
      </c>
      <c r="K4" s="232" t="s">
        <v>365</v>
      </c>
      <c r="L4" s="7" t="s">
        <v>48</v>
      </c>
      <c r="M4" s="7" t="s">
        <v>49</v>
      </c>
      <c r="N4" s="7" t="s">
        <v>50</v>
      </c>
      <c r="O4" s="7" t="s">
        <v>51</v>
      </c>
      <c r="P4" s="7" t="s">
        <v>52</v>
      </c>
    </row>
    <row r="5" spans="1:16">
      <c r="A5" s="191"/>
      <c r="B5" s="52">
        <v>1</v>
      </c>
      <c r="C5" s="48">
        <v>0</v>
      </c>
      <c r="D5" s="48">
        <v>0</v>
      </c>
      <c r="E5" s="48">
        <v>0</v>
      </c>
      <c r="F5" s="48">
        <v>0</v>
      </c>
      <c r="G5" s="48">
        <v>0</v>
      </c>
      <c r="H5" s="48">
        <v>0</v>
      </c>
      <c r="I5" s="191"/>
      <c r="J5" s="52">
        <v>1</v>
      </c>
      <c r="K5" s="48">
        <v>0</v>
      </c>
      <c r="L5" s="48">
        <v>0</v>
      </c>
      <c r="M5" s="48">
        <v>0</v>
      </c>
      <c r="N5" s="48">
        <v>0</v>
      </c>
      <c r="O5" s="48">
        <v>0</v>
      </c>
      <c r="P5" s="48">
        <v>0</v>
      </c>
    </row>
    <row r="6" spans="1:16">
      <c r="A6" s="191"/>
      <c r="B6" s="54">
        <v>2</v>
      </c>
      <c r="C6" s="48">
        <v>8.4400292154629105E-4</v>
      </c>
      <c r="D6" s="48">
        <v>1.6880058430925821E-3</v>
      </c>
      <c r="E6" s="48">
        <v>2.5320087646388731E-3</v>
      </c>
      <c r="F6" s="48">
        <v>3.3760116861851642E-3</v>
      </c>
      <c r="G6" s="48">
        <v>4.2200146077314548E-3</v>
      </c>
      <c r="H6" s="48">
        <v>5.0640175292777463E-3</v>
      </c>
      <c r="I6" s="191"/>
      <c r="J6" s="54">
        <v>2</v>
      </c>
      <c r="K6" s="48">
        <v>8.4400292154629105E-4</v>
      </c>
      <c r="L6" s="48">
        <v>1.6880058430925821E-3</v>
      </c>
      <c r="M6" s="48">
        <v>2.5320087646388731E-3</v>
      </c>
      <c r="N6" s="48">
        <v>3.3760116861851642E-3</v>
      </c>
      <c r="O6" s="48">
        <v>4.2200146077314548E-3</v>
      </c>
      <c r="P6" s="48">
        <v>5.0640175292777463E-3</v>
      </c>
    </row>
    <row r="7" spans="1:16">
      <c r="A7" s="191"/>
      <c r="B7" s="54">
        <v>3</v>
      </c>
      <c r="C7" s="48">
        <v>1.6893152910090849E-3</v>
      </c>
      <c r="D7" s="48">
        <v>3.3786307118335679E-3</v>
      </c>
      <c r="E7" s="48">
        <v>5.0679460028426526E-3</v>
      </c>
      <c r="F7" s="48">
        <v>6.7572614236671357E-3</v>
      </c>
      <c r="G7" s="48">
        <v>8.446576844491618E-3</v>
      </c>
      <c r="H7" s="48">
        <v>1.0135892135500703E-2</v>
      </c>
      <c r="I7" s="191"/>
      <c r="J7" s="54">
        <v>3</v>
      </c>
      <c r="K7" s="48">
        <v>1.6898390961387656E-3</v>
      </c>
      <c r="L7" s="48">
        <v>3.3796783220929293E-3</v>
      </c>
      <c r="M7" s="48">
        <v>5.0695175480470912E-3</v>
      </c>
      <c r="N7" s="48">
        <v>6.7593566441858585E-3</v>
      </c>
      <c r="O7" s="48">
        <v>8.4491958701400222E-3</v>
      </c>
      <c r="P7" s="48">
        <v>1.0139035096094182E-2</v>
      </c>
    </row>
    <row r="8" spans="1:16">
      <c r="A8" s="191"/>
      <c r="B8" s="54">
        <v>4</v>
      </c>
      <c r="C8" s="48">
        <v>2.5359394450655401E-3</v>
      </c>
      <c r="D8" s="48">
        <v>5.0718791822157248E-3</v>
      </c>
      <c r="E8" s="48">
        <v>7.6078187246428125E-3</v>
      </c>
      <c r="F8" s="48">
        <v>1.0143758461792997E-2</v>
      </c>
      <c r="G8" s="48">
        <v>1.2679698101581635E-2</v>
      </c>
      <c r="H8" s="48">
        <v>1.5215637644008724E-2</v>
      </c>
      <c r="I8" s="191"/>
      <c r="J8" s="54">
        <v>4</v>
      </c>
      <c r="K8" s="48">
        <v>2.537513099770192E-3</v>
      </c>
      <c r="L8" s="48">
        <v>5.0750263942634811E-3</v>
      </c>
      <c r="M8" s="48">
        <v>7.6125397861183169E-3</v>
      </c>
      <c r="N8" s="48">
        <v>1.015005288588851E-2</v>
      </c>
      <c r="O8" s="48">
        <v>1.2687566277743345E-2</v>
      </c>
      <c r="P8" s="48">
        <v>1.5225079572236634E-2</v>
      </c>
    </row>
    <row r="9" spans="1:16">
      <c r="A9" s="191"/>
      <c r="B9" s="54">
        <v>5</v>
      </c>
      <c r="C9" s="48">
        <v>3.3838777203928144E-3</v>
      </c>
      <c r="D9" s="48">
        <v>6.7677558302318228E-3</v>
      </c>
      <c r="E9" s="48">
        <v>1.0151633784292352E-2</v>
      </c>
      <c r="F9" s="48">
        <v>1.3535511894131361E-2</v>
      </c>
      <c r="G9" s="48">
        <v>1.6919389926081128E-2</v>
      </c>
      <c r="H9" s="48">
        <v>2.0303267802252424E-2</v>
      </c>
      <c r="I9" s="191"/>
      <c r="J9" s="54">
        <v>5</v>
      </c>
      <c r="K9" s="48">
        <v>3.3870294305441001E-3</v>
      </c>
      <c r="L9" s="48">
        <v>6.7740590947559165E-3</v>
      </c>
      <c r="M9" s="48">
        <v>1.016108899263545E-2</v>
      </c>
      <c r="N9" s="48">
        <v>1.3548118423179548E-2</v>
      </c>
      <c r="O9" s="48">
        <v>1.6935148243169842E-2</v>
      </c>
      <c r="P9" s="48">
        <v>2.03221779852709E-2</v>
      </c>
    </row>
    <row r="10" spans="1:16">
      <c r="A10" s="191"/>
      <c r="B10" s="54">
        <v>6</v>
      </c>
      <c r="C10" s="48">
        <v>4.2331323887603682E-3</v>
      </c>
      <c r="D10" s="48">
        <v>8.4662652967823285E-3</v>
      </c>
      <c r="E10" s="48">
        <v>1.2699398074988889E-2</v>
      </c>
      <c r="F10" s="48">
        <v>1.693253091810315E-2</v>
      </c>
      <c r="G10" s="48">
        <v>2.116566376121741E-2</v>
      </c>
      <c r="H10" s="48">
        <v>2.5398796409608577E-2</v>
      </c>
      <c r="I10" s="191"/>
      <c r="J10" s="54">
        <v>6</v>
      </c>
      <c r="K10" s="48">
        <v>4.2383925735824807E-3</v>
      </c>
      <c r="L10" s="48">
        <v>8.4767854717034564E-3</v>
      </c>
      <c r="M10" s="48">
        <v>1.2715178629455226E-2</v>
      </c>
      <c r="N10" s="48">
        <v>1.6953571267945406E-2</v>
      </c>
      <c r="O10" s="48">
        <v>2.1191964295881782E-2</v>
      </c>
      <c r="P10" s="48">
        <v>2.5430357323818154E-2</v>
      </c>
    </row>
    <row r="11" spans="1:16">
      <c r="A11" s="191"/>
      <c r="B11" s="54">
        <v>7</v>
      </c>
      <c r="C11" s="48">
        <v>5.0837057590277747E-3</v>
      </c>
      <c r="D11" s="48">
        <v>1.0167412185677595E-2</v>
      </c>
      <c r="E11" s="48">
        <v>1.5251118445421903E-2</v>
      </c>
      <c r="F11" s="48">
        <v>2.0334824760801382E-2</v>
      </c>
      <c r="G11" s="48">
        <v>2.5418531131816031E-2</v>
      </c>
      <c r="H11" s="48">
        <v>3.0502237224654831E-2</v>
      </c>
      <c r="I11" s="191"/>
      <c r="J11" s="54">
        <v>7</v>
      </c>
      <c r="K11" s="48">
        <v>5.0916070659334832E-3</v>
      </c>
      <c r="L11" s="48">
        <v>1.0183214521313159E-2</v>
      </c>
      <c r="M11" s="48">
        <v>1.5274822254868689E-2</v>
      </c>
      <c r="N11" s="48">
        <v>2.0366429487707682E-2</v>
      </c>
      <c r="O11" s="48">
        <v>2.5458037054357698E-2</v>
      </c>
      <c r="P11" s="48">
        <v>3.0549644676642888E-2</v>
      </c>
    </row>
    <row r="12" spans="1:16">
      <c r="A12" s="191"/>
      <c r="B12" s="54">
        <v>8</v>
      </c>
      <c r="C12" s="48">
        <v>5.9356001539633977E-3</v>
      </c>
      <c r="D12" s="48">
        <v>1.1871201086819183E-2</v>
      </c>
      <c r="E12" s="48">
        <v>1.7806801824951875E-2</v>
      </c>
      <c r="F12" s="48">
        <v>2.3742402611765336E-2</v>
      </c>
      <c r="G12" s="48">
        <v>2.9678003495940346E-2</v>
      </c>
      <c r="H12" s="48">
        <v>3.5613604088030715E-2</v>
      </c>
      <c r="I12" s="191"/>
      <c r="J12" s="54">
        <v>8</v>
      </c>
      <c r="K12" s="48">
        <v>5.9466774154367918E-3</v>
      </c>
      <c r="L12" s="48">
        <v>1.1893355317681325E-2</v>
      </c>
      <c r="M12" s="48">
        <v>1.784003346332973E-2</v>
      </c>
      <c r="N12" s="48">
        <v>2.3786711170851162E-2</v>
      </c>
      <c r="O12" s="48">
        <v>2.973338912177647E-2</v>
      </c>
      <c r="P12" s="48">
        <v>3.5680067218744102E-2</v>
      </c>
    </row>
    <row r="13" spans="1:16">
      <c r="A13" s="191"/>
      <c r="B13" s="54">
        <v>9</v>
      </c>
      <c r="C13" s="48">
        <v>6.7888178592454933E-3</v>
      </c>
      <c r="D13" s="48">
        <v>1.3577636627198771E-2</v>
      </c>
      <c r="E13" s="48">
        <v>2.0366455135521256E-2</v>
      </c>
      <c r="F13" s="48">
        <v>2.7155273730387335E-2</v>
      </c>
      <c r="G13" s="48">
        <v>3.3944092411797008E-2</v>
      </c>
      <c r="H13" s="48">
        <v>4.07329108335759E-2</v>
      </c>
      <c r="I13" s="191"/>
      <c r="J13" s="54">
        <v>9</v>
      </c>
      <c r="K13" s="48">
        <v>6.8036081602223511E-3</v>
      </c>
      <c r="L13" s="48">
        <v>1.3607216926249889E-2</v>
      </c>
      <c r="M13" s="48">
        <v>2.0410825865364628E-2</v>
      </c>
      <c r="N13" s="48">
        <v>2.7214434458304966E-2</v>
      </c>
      <c r="O13" s="48">
        <v>3.4018043224332509E-2</v>
      </c>
      <c r="P13" s="48">
        <v>4.0821652163447242E-2</v>
      </c>
    </row>
    <row r="14" spans="1:16">
      <c r="A14" s="191"/>
      <c r="B14" s="54">
        <v>10</v>
      </c>
      <c r="C14" s="48">
        <v>7.6433611809518737E-3</v>
      </c>
      <c r="D14" s="48">
        <v>1.5286723413408468E-2</v>
      </c>
      <c r="E14" s="48">
        <v>2.2930085334308112E-2</v>
      </c>
      <c r="F14" s="48">
        <v>3.0573447333096988E-2</v>
      </c>
      <c r="G14" s="48">
        <v>3.8216809448719725E-2</v>
      </c>
      <c r="H14" s="48">
        <v>4.586017133067475E-2</v>
      </c>
      <c r="I14" s="191"/>
      <c r="J14" s="54">
        <v>10</v>
      </c>
      <c r="K14" s="48">
        <v>7.662403853565234E-3</v>
      </c>
      <c r="L14" s="48">
        <v>1.5324808447078234E-2</v>
      </c>
      <c r="M14" s="48">
        <v>2.2987213118480475E-2</v>
      </c>
      <c r="N14" s="48">
        <v>3.0649617556214995E-2</v>
      </c>
      <c r="O14" s="48">
        <v>3.8312022110783377E-2</v>
      </c>
      <c r="P14" s="48">
        <v>4.5974426821130239E-2</v>
      </c>
    </row>
    <row r="15" spans="1:16">
      <c r="A15" s="191"/>
      <c r="B15" s="54">
        <v>11</v>
      </c>
      <c r="C15" s="48">
        <v>8.4992324362873871E-3</v>
      </c>
      <c r="D15" s="48">
        <v>1.6998466076317553E-2</v>
      </c>
      <c r="E15" s="48">
        <v>2.5497699362305726E-2</v>
      </c>
      <c r="F15" s="48">
        <v>3.3996932683698099E-2</v>
      </c>
      <c r="G15" s="48">
        <v>4.249616618211146E-2</v>
      </c>
      <c r="H15" s="48">
        <v>5.0995399468099639E-2</v>
      </c>
      <c r="I15" s="191"/>
      <c r="J15" s="54">
        <v>11</v>
      </c>
      <c r="K15" s="48">
        <v>8.523069057001495E-3</v>
      </c>
      <c r="L15" s="48">
        <v>1.7046138999107972E-2</v>
      </c>
      <c r="M15" s="48">
        <v>2.5569208941214453E-2</v>
      </c>
      <c r="N15" s="48">
        <v>3.4092278706299932E-2</v>
      </c>
      <c r="O15" s="48">
        <v>4.2615348577598015E-2</v>
      </c>
      <c r="P15" s="48">
        <v>5.1138418590512894E-2</v>
      </c>
    </row>
    <row r="16" spans="1:16">
      <c r="A16" s="191"/>
      <c r="B16" s="54">
        <v>12</v>
      </c>
      <c r="C16" s="48">
        <v>9.3564339489476539E-3</v>
      </c>
      <c r="D16" s="48">
        <v>1.8712869260956982E-2</v>
      </c>
      <c r="E16" s="48">
        <v>2.806930415106627E-2</v>
      </c>
      <c r="F16" s="48">
        <v>3.7425739073629408E-2</v>
      </c>
      <c r="G16" s="48">
        <v>4.6782174223369485E-2</v>
      </c>
      <c r="H16" s="48">
        <v>5.6138609145932633E-2</v>
      </c>
      <c r="I16" s="191"/>
      <c r="J16" s="54">
        <v>12</v>
      </c>
      <c r="K16" s="48">
        <v>9.3856083368860938E-3</v>
      </c>
      <c r="L16" s="48">
        <v>1.8771217744749217E-2</v>
      </c>
      <c r="M16" s="48">
        <v>2.8156827055250796E-2</v>
      </c>
      <c r="N16" s="48">
        <v>3.754243623593697E-2</v>
      </c>
      <c r="O16" s="48">
        <v>4.6928045513984697E-2</v>
      </c>
      <c r="P16" s="48">
        <v>5.6313654921847825E-2</v>
      </c>
    </row>
    <row r="17" spans="1:16">
      <c r="A17" s="191"/>
      <c r="B17" s="54">
        <v>13</v>
      </c>
      <c r="C17" s="48">
        <v>1.021496804662261E-2</v>
      </c>
      <c r="D17" s="48">
        <v>2.0429937621072595E-2</v>
      </c>
      <c r="E17" s="48">
        <v>3.0644906686246788E-2</v>
      </c>
      <c r="F17" s="48">
        <v>4.0859875811335773E-2</v>
      </c>
      <c r="G17" s="48">
        <v>5.1074845176083954E-2</v>
      </c>
      <c r="H17" s="48">
        <v>6.1289814331130357E-2</v>
      </c>
      <c r="I17" s="191"/>
      <c r="J17" s="54">
        <v>13</v>
      </c>
      <c r="K17" s="48">
        <v>1.0250026292496866E-2</v>
      </c>
      <c r="L17" s="48">
        <v>2.050005384320451E-2</v>
      </c>
      <c r="M17" s="48">
        <v>3.0750081214167755E-2</v>
      </c>
      <c r="N17" s="48">
        <v>4.1000108465301402E-2</v>
      </c>
      <c r="O17" s="48">
        <v>5.125013583626465E-2</v>
      </c>
      <c r="P17" s="48">
        <v>6.1500163327057496E-2</v>
      </c>
    </row>
    <row r="18" spans="1:16">
      <c r="A18" s="191"/>
      <c r="B18" s="54">
        <v>14</v>
      </c>
      <c r="C18" s="48">
        <v>1.1074837059569973E-2</v>
      </c>
      <c r="D18" s="48">
        <v>2.2149675788195058E-2</v>
      </c>
      <c r="E18" s="48">
        <v>3.3224513960468445E-2</v>
      </c>
      <c r="F18" s="48">
        <v>4.4299352188376988E-2</v>
      </c>
      <c r="G18" s="48">
        <v>5.5374190694461395E-2</v>
      </c>
      <c r="H18" s="48">
        <v>6.6449028978005129E-2</v>
      </c>
      <c r="I18" s="191"/>
      <c r="J18" s="54">
        <v>14</v>
      </c>
      <c r="K18" s="48">
        <v>1.1116327516458776E-2</v>
      </c>
      <c r="L18" s="48">
        <v>2.2232656479431984E-2</v>
      </c>
      <c r="M18" s="48">
        <v>3.3348985192046918E-2</v>
      </c>
      <c r="N18" s="48">
        <v>4.4465313793391519E-2</v>
      </c>
      <c r="O18" s="48">
        <v>5.5581642533824048E-2</v>
      </c>
      <c r="P18" s="48">
        <v>6.6697971385526911E-2</v>
      </c>
    </row>
    <row r="19" spans="1:16">
      <c r="A19" s="191"/>
      <c r="B19" s="54">
        <v>15</v>
      </c>
      <c r="C19" s="48">
        <v>1.193604331975931E-2</v>
      </c>
      <c r="D19" s="48">
        <v>2.3872088456934188E-2</v>
      </c>
      <c r="E19" s="48">
        <v>3.5808132970995159E-2</v>
      </c>
      <c r="F19" s="48">
        <v>4.7744177562945363E-2</v>
      </c>
      <c r="G19" s="48">
        <v>5.9680222440489449E-2</v>
      </c>
      <c r="H19" s="48">
        <v>7.1616267110328896E-2</v>
      </c>
      <c r="I19" s="191"/>
      <c r="J19" s="54">
        <v>15</v>
      </c>
      <c r="K19" s="48">
        <v>1.198451662292461E-2</v>
      </c>
      <c r="L19" s="48">
        <v>2.396903488152323E-2</v>
      </c>
      <c r="M19" s="48">
        <v>3.5953552828564897E-2</v>
      </c>
      <c r="N19" s="48">
        <v>4.7938070671754242E-2</v>
      </c>
      <c r="O19" s="48">
        <v>5.9922588670722074E-2</v>
      </c>
      <c r="P19" s="48">
        <v>7.1907106773542215E-2</v>
      </c>
    </row>
    <row r="20" spans="1:16">
      <c r="A20" s="191"/>
      <c r="B20" s="54">
        <v>16</v>
      </c>
      <c r="C20" s="48">
        <v>1.2798589160337086E-2</v>
      </c>
      <c r="D20" s="48">
        <v>2.5597180292245527E-2</v>
      </c>
      <c r="E20" s="48">
        <v>3.8395770742623132E-2</v>
      </c>
      <c r="F20" s="48">
        <v>5.1194361266021886E-2</v>
      </c>
      <c r="G20" s="48">
        <v>6.3992952105845685E-2</v>
      </c>
      <c r="H20" s="48">
        <v>7.6791542750946379E-2</v>
      </c>
      <c r="I20" s="191"/>
      <c r="J20" s="54">
        <v>16</v>
      </c>
      <c r="K20" s="48">
        <v>1.2854598240847542E-2</v>
      </c>
      <c r="L20" s="48">
        <v>2.5709198307224117E-2</v>
      </c>
      <c r="M20" s="48">
        <v>3.8563797984154491E-2</v>
      </c>
      <c r="N20" s="48">
        <v>5.1418397588063713E-2</v>
      </c>
      <c r="O20" s="48">
        <v>6.427299736235563E-2</v>
      </c>
      <c r="P20" s="48">
        <v>7.7127597209668719E-2</v>
      </c>
    </row>
    <row r="21" spans="1:16">
      <c r="A21" s="191"/>
      <c r="B21" s="54">
        <v>17</v>
      </c>
      <c r="C21" s="48">
        <v>1.3662476938189116E-2</v>
      </c>
      <c r="D21" s="48">
        <v>2.73249559839694E-2</v>
      </c>
      <c r="E21" s="48">
        <v>4.0987434296674494E-2</v>
      </c>
      <c r="F21" s="48">
        <v>5.4649912678105372E-2</v>
      </c>
      <c r="G21" s="48">
        <v>6.8312391403165265E-2</v>
      </c>
      <c r="H21" s="48">
        <v>8.1974869944956355E-2</v>
      </c>
      <c r="I21" s="191"/>
      <c r="J21" s="54">
        <v>17</v>
      </c>
      <c r="K21" s="48">
        <v>1.3726577009628068E-2</v>
      </c>
      <c r="L21" s="48">
        <v>2.7453156012304306E-2</v>
      </c>
      <c r="M21" s="48">
        <v>4.1179734579717152E-2</v>
      </c>
      <c r="N21" s="48">
        <v>5.4906313078404191E-2</v>
      </c>
      <c r="O21" s="48">
        <v>6.8632891760360026E-2</v>
      </c>
      <c r="P21" s="48">
        <v>8.2359470511041671E-2</v>
      </c>
    </row>
    <row r="22" spans="1:16">
      <c r="A22" s="191"/>
      <c r="B22" s="54">
        <v>18</v>
      </c>
      <c r="C22" s="48">
        <v>1.4527708984074506E-2</v>
      </c>
      <c r="D22" s="48">
        <v>2.9055420218282575E-2</v>
      </c>
      <c r="E22" s="48">
        <v>4.3583130651962357E-2</v>
      </c>
      <c r="F22" s="48">
        <v>5.8110841172185727E-2</v>
      </c>
      <c r="G22" s="48">
        <v>7.2638552060219394E-2</v>
      </c>
      <c r="H22" s="48">
        <v>8.7166262753529969E-2</v>
      </c>
      <c r="I22" s="191"/>
      <c r="J22" s="54">
        <v>18</v>
      </c>
      <c r="K22" s="48">
        <v>1.4600457576211985E-2</v>
      </c>
      <c r="L22" s="48">
        <v>2.9200917294378039E-2</v>
      </c>
      <c r="M22" s="48">
        <v>4.380137653655429E-2</v>
      </c>
      <c r="N22" s="48">
        <v>5.8401835735458749E-2</v>
      </c>
      <c r="O22" s="48">
        <v>7.3002295107450405E-2</v>
      </c>
      <c r="P22" s="48">
        <v>8.7602754544349765E-2</v>
      </c>
    </row>
    <row r="23" spans="1:16">
      <c r="A23" s="191"/>
      <c r="B23" s="54">
        <v>19</v>
      </c>
      <c r="C23" s="48">
        <v>1.5394287650495431E-2</v>
      </c>
      <c r="D23" s="48">
        <v>3.0788577699159526E-2</v>
      </c>
      <c r="E23" s="48">
        <v>4.6182866866445391E-2</v>
      </c>
      <c r="F23" s="48">
        <v>6.1577156156714261E-2</v>
      </c>
      <c r="G23" s="48">
        <v>7.6971445815932168E-2</v>
      </c>
      <c r="H23" s="48">
        <v>9.2365735290675544E-2</v>
      </c>
      <c r="I23" s="191"/>
      <c r="J23" s="54">
        <v>19</v>
      </c>
      <c r="K23" s="48">
        <v>1.5476244593104774E-2</v>
      </c>
      <c r="L23" s="48">
        <v>3.0952491481892375E-2</v>
      </c>
      <c r="M23" s="48">
        <v>4.64287378377536E-2</v>
      </c>
      <c r="N23" s="48">
        <v>6.1904984193614829E-2</v>
      </c>
      <c r="O23" s="48">
        <v>7.7381230692956229E-2</v>
      </c>
      <c r="P23" s="48">
        <v>9.2857477274286324E-2</v>
      </c>
    </row>
    <row r="24" spans="1:16">
      <c r="A24" s="191"/>
      <c r="B24" s="54">
        <v>20</v>
      </c>
      <c r="C24" s="48">
        <v>1.6262215286789065E-2</v>
      </c>
      <c r="D24" s="48">
        <v>3.2524433124450698E-2</v>
      </c>
      <c r="E24" s="48">
        <v>4.8786650007969154E-2</v>
      </c>
      <c r="F24" s="48">
        <v>6.5048867047266076E-2</v>
      </c>
      <c r="G24" s="48">
        <v>8.1311084456536897E-2</v>
      </c>
      <c r="H24" s="48">
        <v>9.7573301690556932E-2</v>
      </c>
      <c r="I24" s="191"/>
      <c r="J24" s="54">
        <v>20</v>
      </c>
      <c r="K24" s="48">
        <v>1.6353942736453991E-2</v>
      </c>
      <c r="L24" s="48">
        <v>3.2707887906946689E-2</v>
      </c>
      <c r="M24" s="48">
        <v>4.9061832493270098E-2</v>
      </c>
      <c r="N24" s="48">
        <v>6.5415777138010431E-2</v>
      </c>
      <c r="O24" s="48">
        <v>8.176972188011232E-2</v>
      </c>
      <c r="P24" s="48">
        <v>9.8123666719575758E-2</v>
      </c>
    </row>
    <row r="25" spans="1:16">
      <c r="A25" s="191"/>
      <c r="B25" s="54">
        <v>21</v>
      </c>
      <c r="C25" s="48">
        <v>1.7131494258426212E-2</v>
      </c>
      <c r="D25" s="48">
        <v>3.4262991224430717E-2</v>
      </c>
      <c r="E25" s="48">
        <v>5.1394487151912041E-2</v>
      </c>
      <c r="F25" s="48">
        <v>6.8525983283388978E-2</v>
      </c>
      <c r="G25" s="48">
        <v>8.5657479767222017E-2</v>
      </c>
      <c r="H25" s="48">
        <v>0.10278897610269459</v>
      </c>
      <c r="I25" s="191"/>
      <c r="J25" s="54">
        <v>21</v>
      </c>
      <c r="K25" s="48">
        <v>1.7233556681875151E-2</v>
      </c>
      <c r="L25" s="48">
        <v>3.44671159415132E-2</v>
      </c>
      <c r="M25" s="48">
        <v>5.1700674552074249E-2</v>
      </c>
      <c r="N25" s="48">
        <v>6.89342332924507E-2</v>
      </c>
      <c r="O25" s="48">
        <v>8.6167792088462328E-2</v>
      </c>
      <c r="P25" s="48">
        <v>0.10340135097719926</v>
      </c>
    </row>
    <row r="26" spans="1:16">
      <c r="A26" s="191"/>
      <c r="B26" s="54">
        <v>22</v>
      </c>
      <c r="C26" s="48">
        <v>1.8002126925642455E-2</v>
      </c>
      <c r="D26" s="48">
        <v>3.600425671902506E-2</v>
      </c>
      <c r="E26" s="48">
        <v>5.4006385397175387E-2</v>
      </c>
      <c r="F26" s="48">
        <v>7.2008514323155082E-2</v>
      </c>
      <c r="G26" s="48">
        <v>9.0010643567772622E-2</v>
      </c>
      <c r="H26" s="48">
        <v>0.10801277270617753</v>
      </c>
      <c r="I26" s="191"/>
      <c r="J26" s="54">
        <v>22</v>
      </c>
      <c r="K26" s="48">
        <v>1.8115091122274735E-2</v>
      </c>
      <c r="L26" s="48">
        <v>3.6230184970672825E-2</v>
      </c>
      <c r="M26" s="48">
        <v>5.4345278110986918E-2</v>
      </c>
      <c r="N26" s="48">
        <v>7.2460371446024102E-2</v>
      </c>
      <c r="O26" s="48">
        <v>9.0575464781061307E-2</v>
      </c>
      <c r="P26" s="48">
        <v>0.10869055822231112</v>
      </c>
    </row>
    <row r="27" spans="1:16">
      <c r="A27" s="191"/>
      <c r="B27" s="54">
        <v>23</v>
      </c>
      <c r="C27" s="48">
        <v>1.887411566150872E-2</v>
      </c>
      <c r="D27" s="48">
        <v>3.7748234353924763E-2</v>
      </c>
      <c r="E27" s="48">
        <v>5.6622351844137352E-2</v>
      </c>
      <c r="F27" s="48">
        <v>7.5496469639133895E-2</v>
      </c>
      <c r="G27" s="48">
        <v>9.4370587705049566E-2</v>
      </c>
      <c r="H27" s="48">
        <v>0.11324470572016787</v>
      </c>
      <c r="I27" s="191"/>
      <c r="J27" s="54">
        <v>23</v>
      </c>
      <c r="K27" s="48">
        <v>1.8998550764091297E-2</v>
      </c>
      <c r="L27" s="48">
        <v>3.7997104406697943E-2</v>
      </c>
      <c r="M27" s="48">
        <v>5.6995657287344632E-2</v>
      </c>
      <c r="N27" s="48">
        <v>7.5994210421977973E-2</v>
      </c>
      <c r="O27" s="48">
        <v>9.4992763505813982E-2</v>
      </c>
      <c r="P27" s="48">
        <v>0.11399131670817712</v>
      </c>
    </row>
    <row r="28" spans="1:16">
      <c r="A28" s="191"/>
      <c r="B28" s="54">
        <v>24</v>
      </c>
      <c r="C28" s="48">
        <v>1.9747462833030291E-2</v>
      </c>
      <c r="D28" s="48">
        <v>3.949492886276474E-2</v>
      </c>
      <c r="E28" s="48">
        <v>5.9242393610572153E-2</v>
      </c>
      <c r="F28" s="48">
        <v>7.8989858715371883E-2</v>
      </c>
      <c r="G28" s="48">
        <v>9.8737324047348599E-2</v>
      </c>
      <c r="H28" s="48">
        <v>0.11848478937932529</v>
      </c>
      <c r="I28" s="191"/>
      <c r="J28" s="54">
        <v>24</v>
      </c>
      <c r="K28" s="48">
        <v>1.9883940340703201E-2</v>
      </c>
      <c r="L28" s="48">
        <v>3.9767883699614405E-2</v>
      </c>
      <c r="M28" s="48">
        <v>5.9651826247179365E-2</v>
      </c>
      <c r="N28" s="48">
        <v>7.9535769103055889E-2</v>
      </c>
      <c r="O28" s="48">
        <v>9.9419711861570878E-2</v>
      </c>
      <c r="P28" s="48">
        <v>0.11930365474990128</v>
      </c>
    </row>
    <row r="29" spans="1:16">
      <c r="A29" s="191"/>
      <c r="B29" s="54">
        <v>25</v>
      </c>
      <c r="C29" s="48">
        <v>2.0622170817937803E-2</v>
      </c>
      <c r="D29" s="48">
        <v>4.1244345000690713E-2</v>
      </c>
      <c r="E29" s="48">
        <v>6.1866517828170875E-2</v>
      </c>
      <c r="F29" s="48">
        <v>8.2488691060675051E-2</v>
      </c>
      <c r="G29" s="48">
        <v>0.10311086448011345</v>
      </c>
      <c r="H29" s="48">
        <v>0.12373303794628536</v>
      </c>
      <c r="I29" s="191"/>
      <c r="J29" s="54">
        <v>25</v>
      </c>
      <c r="K29" s="48">
        <v>2.0771264575884959E-2</v>
      </c>
      <c r="L29" s="48">
        <v>4.1542532314073018E-2</v>
      </c>
      <c r="M29" s="48">
        <v>6.2313799179901583E-2</v>
      </c>
      <c r="N29" s="48">
        <v>8.3085066419598494E-2</v>
      </c>
      <c r="O29" s="48">
        <v>0.10385633350351696</v>
      </c>
      <c r="P29" s="48">
        <v>0.12462760074321388</v>
      </c>
    </row>
    <row r="30" spans="1:16">
      <c r="A30" s="191"/>
      <c r="B30" s="54">
        <v>26</v>
      </c>
      <c r="C30" s="48">
        <v>2.1498242002624679E-2</v>
      </c>
      <c r="D30" s="48">
        <v>4.2996487540222492E-2</v>
      </c>
      <c r="E30" s="48">
        <v>6.4494731639865133E-2</v>
      </c>
      <c r="F30" s="48">
        <v>8.5992976203847438E-2</v>
      </c>
      <c r="G30" s="48">
        <v>0.10749122090263809</v>
      </c>
      <c r="H30" s="48">
        <v>0.12898946570627962</v>
      </c>
      <c r="I30" s="191"/>
      <c r="J30" s="54">
        <v>26</v>
      </c>
      <c r="K30" s="48">
        <v>2.1660528215611534E-2</v>
      </c>
      <c r="L30" s="48">
        <v>4.332105972653702E-2</v>
      </c>
      <c r="M30" s="48">
        <v>6.4981590323761801E-2</v>
      </c>
      <c r="N30" s="48">
        <v>8.6642121340390191E-2</v>
      </c>
      <c r="O30" s="48">
        <v>0.10830265216229548</v>
      </c>
      <c r="P30" s="48">
        <v>0.12996318314896649</v>
      </c>
    </row>
    <row r="31" spans="1:16">
      <c r="A31" s="191"/>
      <c r="B31" s="54">
        <v>27</v>
      </c>
      <c r="C31" s="48">
        <v>2.2313160031189605E-2</v>
      </c>
      <c r="D31" s="48">
        <v>4.4626323769330005E-2</v>
      </c>
      <c r="E31" s="48">
        <v>6.6939485992957432E-2</v>
      </c>
      <c r="F31" s="48">
        <v>8.9252648735846429E-2</v>
      </c>
      <c r="G31" s="48">
        <v>0.11156581156527907</v>
      </c>
      <c r="H31" s="48">
        <v>0.13387897455337497</v>
      </c>
      <c r="I31" s="191"/>
      <c r="J31" s="54">
        <v>27</v>
      </c>
      <c r="K31" s="48">
        <v>2.248921727459385E-2</v>
      </c>
      <c r="L31" s="48">
        <v>4.4978437982083785E-2</v>
      </c>
      <c r="M31" s="48">
        <v>6.7467657737594111E-2</v>
      </c>
      <c r="N31" s="48">
        <v>8.9956877954670306E-2</v>
      </c>
      <c r="O31" s="48">
        <v>0.11244609794096357</v>
      </c>
      <c r="P31" s="48">
        <v>0.13493531810034406</v>
      </c>
    </row>
    <row r="32" spans="1:16">
      <c r="A32" s="191"/>
      <c r="B32" s="54">
        <v>28</v>
      </c>
      <c r="C32" s="48">
        <v>2.3073345130422473E-2</v>
      </c>
      <c r="D32" s="48">
        <v>4.6146694127489285E-2</v>
      </c>
      <c r="E32" s="48">
        <v>6.9220041538953739E-2</v>
      </c>
      <c r="F32" s="48">
        <v>9.229338952067867E-2</v>
      </c>
      <c r="G32" s="48">
        <v>0.11536673754413002</v>
      </c>
      <c r="H32" s="48">
        <v>0.13844008577621325</v>
      </c>
      <c r="I32" s="191"/>
      <c r="J32" s="54">
        <v>28</v>
      </c>
      <c r="K32" s="48">
        <v>2.3263642115338597E-2</v>
      </c>
      <c r="L32" s="48">
        <v>4.6527287777419317E-2</v>
      </c>
      <c r="M32" s="48">
        <v>6.9790932465884539E-2</v>
      </c>
      <c r="N32" s="48">
        <v>9.3054577655066306E-2</v>
      </c>
      <c r="O32" s="48">
        <v>0.11631822257998099</v>
      </c>
      <c r="P32" s="48">
        <v>0.13958186767180125</v>
      </c>
    </row>
    <row r="33" spans="1:16">
      <c r="A33" s="191"/>
      <c r="B33" s="54">
        <v>29</v>
      </c>
      <c r="C33" s="48">
        <v>2.3784331360848194E-2</v>
      </c>
      <c r="D33" s="48">
        <v>4.7568666723591738E-2</v>
      </c>
      <c r="E33" s="48">
        <v>7.135300043454626E-2</v>
      </c>
      <c r="F33" s="48">
        <v>9.5137334763243014E-2</v>
      </c>
      <c r="G33" s="48">
        <v>0.11892166910536896</v>
      </c>
      <c r="H33" s="48">
        <v>0.14270600370264933</v>
      </c>
      <c r="I33" s="191"/>
      <c r="J33" s="54">
        <v>29</v>
      </c>
      <c r="K33" s="48">
        <v>2.398924149689784E-2</v>
      </c>
      <c r="L33" s="48">
        <v>4.7978486659961572E-2</v>
      </c>
      <c r="M33" s="48">
        <v>7.1967730815836864E-2</v>
      </c>
      <c r="N33" s="48">
        <v>9.5956975522308516E-2</v>
      </c>
      <c r="O33" s="48">
        <v>0.119946219919909</v>
      </c>
      <c r="P33" s="48">
        <v>0.14393546449208888</v>
      </c>
    </row>
    <row r="34" spans="1:16">
      <c r="A34" s="191"/>
      <c r="B34" s="54">
        <v>30</v>
      </c>
      <c r="C34" s="48">
        <v>2.4450914298122649E-2</v>
      </c>
      <c r="D34" s="48">
        <v>4.8901832737356481E-2</v>
      </c>
      <c r="E34" s="48">
        <v>7.3352749437063977E-2</v>
      </c>
      <c r="F34" s="48">
        <v>9.7803666824793078E-2</v>
      </c>
      <c r="G34" s="48">
        <v>0.12225458417357757</v>
      </c>
      <c r="H34" s="48">
        <v>0.14670550184690059</v>
      </c>
      <c r="I34" s="191"/>
      <c r="J34" s="54">
        <v>30</v>
      </c>
      <c r="K34" s="48">
        <v>2.4670727868074536E-2</v>
      </c>
      <c r="L34" s="48">
        <v>4.9341459526758689E-2</v>
      </c>
      <c r="M34" s="48">
        <v>7.4012190133938116E-2</v>
      </c>
      <c r="N34" s="48">
        <v>9.8682921351249911E-2</v>
      </c>
      <c r="O34" s="48">
        <v>0.12335365221806011</v>
      </c>
      <c r="P34" s="48">
        <v>0.1480243832536304</v>
      </c>
    </row>
    <row r="35" spans="1:16">
      <c r="A35" s="191"/>
      <c r="B35" s="54">
        <v>31</v>
      </c>
      <c r="C35" s="48">
        <v>2.5077270168621012E-2</v>
      </c>
      <c r="D35" s="48">
        <v>5.0154544608587363E-2</v>
      </c>
      <c r="E35" s="48">
        <v>7.5231817214387778E-2</v>
      </c>
      <c r="F35" s="48">
        <v>0.10030909059908055</v>
      </c>
      <c r="G35" s="48">
        <v>0.12538636388327112</v>
      </c>
      <c r="H35" s="48">
        <v>0.15046363754434514</v>
      </c>
      <c r="I35" s="191"/>
      <c r="J35" s="54">
        <v>31</v>
      </c>
      <c r="K35" s="48">
        <v>2.5312204514236904E-2</v>
      </c>
      <c r="L35" s="48">
        <v>5.0624412922935749E-2</v>
      </c>
      <c r="M35" s="48">
        <v>7.5936620251235473E-2</v>
      </c>
      <c r="N35" s="48">
        <v>0.10124882823279978</v>
      </c>
      <c r="O35" s="48">
        <v>0.12656103583748066</v>
      </c>
      <c r="P35" s="48">
        <v>0.15187324360547771</v>
      </c>
    </row>
    <row r="36" spans="1:16">
      <c r="A36" s="191"/>
      <c r="B36" s="54">
        <v>32</v>
      </c>
      <c r="C36" s="48">
        <v>2.5667052610592656E-2</v>
      </c>
      <c r="D36" s="48">
        <v>5.1334109602454985E-2</v>
      </c>
      <c r="E36" s="48">
        <v>7.7001164695767108E-2</v>
      </c>
      <c r="F36" s="48">
        <v>0.1026682206288226</v>
      </c>
      <c r="G36" s="48">
        <v>0.12833527640366557</v>
      </c>
      <c r="H36" s="48">
        <v>0.15400233262880575</v>
      </c>
      <c r="I36" s="191"/>
      <c r="J36" s="54">
        <v>32</v>
      </c>
      <c r="K36" s="48">
        <v>2.5917260702594529E-2</v>
      </c>
      <c r="L36" s="48">
        <v>5.1834525409182743E-2</v>
      </c>
      <c r="M36" s="48">
        <v>7.7751788996113139E-2</v>
      </c>
      <c r="N36" s="48">
        <v>0.10366905327674457</v>
      </c>
      <c r="O36" s="48">
        <v>0.12958631715575961</v>
      </c>
      <c r="P36" s="48">
        <v>0.15550358120515737</v>
      </c>
    </row>
    <row r="37" spans="1:16">
      <c r="A37" s="191"/>
      <c r="B37" s="54">
        <v>33</v>
      </c>
      <c r="C37" s="48">
        <v>2.6223471842378811E-2</v>
      </c>
      <c r="D37" s="48">
        <v>5.2446948181090941E-2</v>
      </c>
      <c r="E37" s="48">
        <v>7.8670422548969304E-2</v>
      </c>
      <c r="F37" s="48">
        <v>0.10489389782555543</v>
      </c>
      <c r="G37" s="48">
        <v>0.131117372877915</v>
      </c>
      <c r="H37" s="48">
        <v>0.15734084844953616</v>
      </c>
      <c r="I37" s="191"/>
      <c r="J37" s="54">
        <v>33</v>
      </c>
      <c r="K37" s="48">
        <v>2.6489049587340337E-2</v>
      </c>
      <c r="L37" s="48">
        <v>5.2978103281567823E-2</v>
      </c>
      <c r="M37" s="48">
        <v>7.9467155819258103E-2</v>
      </c>
      <c r="N37" s="48">
        <v>0.10595620908863519</v>
      </c>
      <c r="O37" s="48">
        <v>0.13244526193316183</v>
      </c>
      <c r="P37" s="48">
        <v>0.15893431495470955</v>
      </c>
    </row>
    <row r="38" spans="1:16">
      <c r="A38" s="191"/>
      <c r="B38" s="54">
        <v>34</v>
      </c>
      <c r="C38" s="48">
        <v>2.6749359894131193E-2</v>
      </c>
      <c r="D38" s="48">
        <v>5.3498724381436595E-2</v>
      </c>
      <c r="E38" s="48">
        <v>8.0248086841330946E-2</v>
      </c>
      <c r="F38" s="48">
        <v>0.10699745026338645</v>
      </c>
      <c r="G38" s="48">
        <v>0.13374681341053879</v>
      </c>
      <c r="H38" s="48">
        <v>0.16049617713040615</v>
      </c>
      <c r="I38" s="191"/>
      <c r="J38" s="54">
        <v>34</v>
      </c>
      <c r="K38" s="48">
        <v>2.7030352332463464E-2</v>
      </c>
      <c r="L38" s="48">
        <v>5.4060708857200671E-2</v>
      </c>
      <c r="M38" s="48">
        <v>8.1091064202144986E-2</v>
      </c>
      <c r="N38" s="48">
        <v>0.1081214203030731</v>
      </c>
      <c r="O38" s="48">
        <v>0.13515177595728348</v>
      </c>
      <c r="P38" s="48">
        <v>0.16218213180621699</v>
      </c>
    </row>
    <row r="39" spans="1:16">
      <c r="A39" s="191"/>
      <c r="B39" s="54">
        <v>35</v>
      </c>
      <c r="C39" s="48">
        <v>2.7247224612442139E-2</v>
      </c>
      <c r="D39" s="48">
        <v>5.44944538982386E-2</v>
      </c>
      <c r="E39" s="48">
        <v>8.1741681103279673E-2</v>
      </c>
      <c r="F39" s="48">
        <v>0.10898890933200787</v>
      </c>
      <c r="G39" s="48">
        <v>0.1362361372269251</v>
      </c>
      <c r="H39" s="48">
        <v>0.16348336574495623</v>
      </c>
      <c r="I39" s="191"/>
      <c r="J39" s="54">
        <v>35</v>
      </c>
      <c r="K39" s="48">
        <v>2.754363123095286E-2</v>
      </c>
      <c r="L39" s="48">
        <v>5.5087266734686828E-2</v>
      </c>
      <c r="M39" s="48">
        <v>8.2630901047828137E-2</v>
      </c>
      <c r="N39" s="48">
        <v>0.11017453611760777</v>
      </c>
      <c r="O39" s="48">
        <v>0.13771817073117898</v>
      </c>
      <c r="P39" s="48">
        <v>0.16526180556729092</v>
      </c>
    </row>
    <row r="40" spans="1:16">
      <c r="A40" s="191"/>
      <c r="B40" s="54">
        <v>36</v>
      </c>
      <c r="C40" s="48">
        <v>2.7719294685838995E-2</v>
      </c>
      <c r="D40" s="48">
        <v>5.5438594109940002E-2</v>
      </c>
      <c r="E40" s="48">
        <v>8.3157891402904888E-2</v>
      </c>
      <c r="F40" s="48">
        <v>0.11087718978848271</v>
      </c>
      <c r="G40" s="48">
        <v>0.13859648777379641</v>
      </c>
      <c r="H40" s="48">
        <v>0.16631578642982303</v>
      </c>
      <c r="I40" s="191"/>
      <c r="J40" s="54">
        <v>36</v>
      </c>
      <c r="K40" s="48">
        <v>2.8031074014072115E-2</v>
      </c>
      <c r="L40" s="48">
        <v>5.6062152366142121E-2</v>
      </c>
      <c r="M40" s="48">
        <v>8.4093229517419696E-2</v>
      </c>
      <c r="N40" s="48">
        <v>0.11212430743677169</v>
      </c>
      <c r="O40" s="48">
        <v>0.14015538488013388</v>
      </c>
      <c r="P40" s="48">
        <v>0.16818646257230896</v>
      </c>
    </row>
    <row r="41" spans="1:16">
      <c r="A41" s="191"/>
      <c r="B41" s="54">
        <v>37</v>
      </c>
      <c r="C41" s="48">
        <v>2.8167557368846911E-2</v>
      </c>
      <c r="D41" s="48">
        <v>5.6335119526829437E-2</v>
      </c>
      <c r="E41" s="48">
        <v>8.4502679516543958E-2</v>
      </c>
      <c r="F41" s="48">
        <v>0.1126702406535459</v>
      </c>
      <c r="G41" s="48">
        <v>0.14083780133794824</v>
      </c>
      <c r="H41" s="48">
        <v>0.16900536273808958</v>
      </c>
      <c r="I41" s="191"/>
      <c r="J41" s="54">
        <v>37</v>
      </c>
      <c r="K41" s="48">
        <v>2.8494630933244162E-2</v>
      </c>
      <c r="L41" s="48">
        <v>5.6989266245126624E-2</v>
      </c>
      <c r="M41" s="48">
        <v>8.5483900357093787E-2</v>
      </c>
      <c r="N41" s="48">
        <v>0.11397853524795332</v>
      </c>
      <c r="O41" s="48">
        <v>0.14247316964411091</v>
      </c>
      <c r="P41" s="48">
        <v>0.17096780432445904</v>
      </c>
    </row>
    <row r="42" spans="1:16">
      <c r="A42" s="191"/>
      <c r="B42" s="54">
        <v>38</v>
      </c>
      <c r="C42" s="48">
        <v>2.8593790249620735E-2</v>
      </c>
      <c r="D42" s="48">
        <v>5.7187585326324543E-2</v>
      </c>
      <c r="E42" s="48">
        <v>8.578137820983138E-2</v>
      </c>
      <c r="F42" s="48">
        <v>0.11437517229242251</v>
      </c>
      <c r="G42" s="48">
        <v>0.14296896587283306</v>
      </c>
      <c r="H42" s="48">
        <v>0.1715627602013903</v>
      </c>
      <c r="I42" s="191"/>
      <c r="J42" s="54">
        <v>38</v>
      </c>
      <c r="K42" s="48">
        <v>2.8936045997150158E-2</v>
      </c>
      <c r="L42" s="48">
        <v>5.787209640119146E-2</v>
      </c>
      <c r="M42" s="48">
        <v>8.6808145616397034E-2</v>
      </c>
      <c r="N42" s="48">
        <v>0.11574419562074355</v>
      </c>
      <c r="O42" s="48">
        <v>0.14468024511266081</v>
      </c>
      <c r="P42" s="48">
        <v>0.1736162949120357</v>
      </c>
    </row>
    <row r="43" spans="1:16">
      <c r="A43" s="191"/>
      <c r="B43" s="54">
        <v>39</v>
      </c>
      <c r="C43" s="48">
        <v>2.8999588130248902E-2</v>
      </c>
      <c r="D43" s="48">
        <v>5.7999181123582315E-2</v>
      </c>
      <c r="E43" s="48">
        <v>8.6998771890082371E-2</v>
      </c>
      <c r="F43" s="48">
        <v>0.11599836391479318</v>
      </c>
      <c r="G43" s="48">
        <v>0.14499795539028504</v>
      </c>
      <c r="H43" s="48">
        <v>0.17399754764466932</v>
      </c>
      <c r="I43" s="191"/>
      <c r="J43" s="54">
        <v>39</v>
      </c>
      <c r="K43" s="48">
        <v>2.9356883423092422E-2</v>
      </c>
      <c r="L43" s="48">
        <v>5.8713771279879971E-2</v>
      </c>
      <c r="M43" s="48">
        <v>8.8070657948357361E-2</v>
      </c>
      <c r="N43" s="48">
        <v>0.11742754542568451</v>
      </c>
      <c r="O43" s="48">
        <v>0.14678443237376423</v>
      </c>
      <c r="P43" s="48">
        <v>0.17614131964138963</v>
      </c>
    </row>
    <row r="44" spans="1:16">
      <c r="A44" s="191"/>
      <c r="B44" s="54">
        <v>40</v>
      </c>
      <c r="C44" s="48">
        <v>2.9386385865275564E-2</v>
      </c>
      <c r="D44" s="48">
        <v>5.8772776627837003E-2</v>
      </c>
      <c r="E44" s="48">
        <v>8.8159165141346682E-2</v>
      </c>
      <c r="F44" s="48">
        <v>0.11754555495950109</v>
      </c>
      <c r="G44" s="48">
        <v>0.14693194419348624</v>
      </c>
      <c r="H44" s="48">
        <v>0.17631833422583612</v>
      </c>
      <c r="I44" s="191"/>
      <c r="J44" s="54">
        <v>40</v>
      </c>
      <c r="K44" s="48">
        <v>2.9758550101180649E-2</v>
      </c>
      <c r="L44" s="48">
        <v>5.9517104651784059E-2</v>
      </c>
      <c r="M44" s="48">
        <v>8.927565802431274E-2</v>
      </c>
      <c r="N44" s="48">
        <v>0.11903421221467841</v>
      </c>
      <c r="O44" s="48">
        <v>0.14879276586955556</v>
      </c>
      <c r="P44" s="48">
        <v>0.17855131984572586</v>
      </c>
    </row>
    <row r="45" spans="1:16">
      <c r="A45" s="191"/>
      <c r="B45" s="54">
        <v>41</v>
      </c>
      <c r="C45" s="48">
        <v>2.975547788649606E-2</v>
      </c>
      <c r="D45" s="48">
        <v>5.9510960693312312E-2</v>
      </c>
      <c r="E45" s="48">
        <v>8.926644122994222E-2</v>
      </c>
      <c r="F45" s="48">
        <v>0.11902192312488444</v>
      </c>
      <c r="G45" s="48">
        <v>0.14877740440241199</v>
      </c>
      <c r="H45" s="48">
        <v>0.17853288648732807</v>
      </c>
      <c r="I45" s="191"/>
      <c r="J45" s="54">
        <v>41</v>
      </c>
      <c r="K45" s="48">
        <v>3.014231477107621E-2</v>
      </c>
      <c r="L45" s="48">
        <v>6.0284634006535616E-2</v>
      </c>
      <c r="M45" s="48">
        <v>9.0426952073656447E-2</v>
      </c>
      <c r="N45" s="48">
        <v>0.12056927096716311</v>
      </c>
      <c r="O45" s="48">
        <v>0.15071158931924453</v>
      </c>
      <c r="P45" s="48">
        <v>0.18085390800378007</v>
      </c>
    </row>
    <row r="46" spans="1:16">
      <c r="A46" s="191"/>
      <c r="B46" s="54">
        <v>42</v>
      </c>
      <c r="C46" s="48">
        <v>3.0108034892133224E-2</v>
      </c>
      <c r="D46" s="48">
        <v>6.0216074726524099E-2</v>
      </c>
      <c r="E46" s="48">
        <v>9.0324112270600443E-2</v>
      </c>
      <c r="F46" s="48">
        <v>0.1204321512241011</v>
      </c>
      <c r="G46" s="48">
        <v>0.15054018952852477</v>
      </c>
      <c r="H46" s="48">
        <v>0.18064822864893101</v>
      </c>
      <c r="I46" s="191"/>
      <c r="J46" s="54">
        <v>42</v>
      </c>
      <c r="K46" s="48">
        <v>3.0509324468474115E-2</v>
      </c>
      <c r="L46" s="48">
        <v>6.1018653424851993E-2</v>
      </c>
      <c r="M46" s="48">
        <v>9.1527981212891282E-2</v>
      </c>
      <c r="N46" s="48">
        <v>0.12203730984473067</v>
      </c>
      <c r="O46" s="48">
        <v>0.15254663792949083</v>
      </c>
      <c r="P46" s="48">
        <v>0.18305596634806209</v>
      </c>
    </row>
    <row r="47" spans="1:16">
      <c r="A47" s="191"/>
      <c r="B47" s="54">
        <v>43</v>
      </c>
      <c r="C47" s="48">
        <v>3.0445118252575898E-2</v>
      </c>
      <c r="D47" s="48">
        <v>6.0890241459269648E-2</v>
      </c>
      <c r="E47" s="48">
        <v>9.1335362365513803E-2</v>
      </c>
      <c r="F47" s="48">
        <v>0.12178048472991693</v>
      </c>
      <c r="G47" s="48">
        <v>0.15222560640599656</v>
      </c>
      <c r="H47" s="48">
        <v>0.18267072891531</v>
      </c>
      <c r="I47" s="191"/>
      <c r="J47" s="54">
        <v>43</v>
      </c>
      <c r="K47" s="48">
        <v>3.086061867672699E-2</v>
      </c>
      <c r="L47" s="48">
        <v>6.1721241872841212E-2</v>
      </c>
      <c r="M47" s="48">
        <v>9.2581863900616845E-2</v>
      </c>
      <c r="N47" s="48">
        <v>0.12344248677973998</v>
      </c>
      <c r="O47" s="48">
        <v>0.15430310911544981</v>
      </c>
      <c r="P47" s="48">
        <v>0.18516373178626452</v>
      </c>
    </row>
    <row r="48" spans="1:16">
      <c r="A48" s="191"/>
      <c r="B48" s="54">
        <v>44</v>
      </c>
      <c r="C48" s="48">
        <v>3.0767692416294297E-2</v>
      </c>
      <c r="D48" s="48">
        <v>6.1535389798027557E-2</v>
      </c>
      <c r="E48" s="48">
        <v>9.2303084878487859E-2</v>
      </c>
      <c r="F48" s="48">
        <v>0.12307078145477557</v>
      </c>
      <c r="G48" s="48">
        <v>0.15383847731412825</v>
      </c>
      <c r="H48" s="48">
        <v>0.18460617400547968</v>
      </c>
      <c r="I48" s="191"/>
      <c r="J48" s="54">
        <v>44</v>
      </c>
      <c r="K48" s="48">
        <v>3.1197141548702179E-2</v>
      </c>
      <c r="L48" s="48">
        <v>6.2394287637992943E-2</v>
      </c>
      <c r="M48" s="48">
        <v>9.3591432567796159E-2</v>
      </c>
      <c r="N48" s="48">
        <v>0.12478857834730019</v>
      </c>
      <c r="O48" s="48">
        <v>0.15598572360459223</v>
      </c>
      <c r="P48" s="48">
        <v>0.18718286918052213</v>
      </c>
    </row>
    <row r="49" spans="1:16">
      <c r="A49" s="191"/>
      <c r="B49" s="54">
        <v>45</v>
      </c>
      <c r="C49" s="48">
        <v>3.1076635696250826E-2</v>
      </c>
      <c r="D49" s="48">
        <v>6.2153276368758566E-2</v>
      </c>
      <c r="E49" s="48">
        <v>9.3229914730552227E-2</v>
      </c>
      <c r="F49" s="48">
        <v>0.12430655463282191</v>
      </c>
      <c r="G49" s="48">
        <v>0.15538319378216234</v>
      </c>
      <c r="H49" s="48">
        <v>0.18645983377097569</v>
      </c>
      <c r="I49" s="191"/>
      <c r="J49" s="54">
        <v>45</v>
      </c>
      <c r="K49" s="48">
        <v>3.1519752473094798E-2</v>
      </c>
      <c r="L49" s="48">
        <v>6.3039509515691608E-2</v>
      </c>
      <c r="M49" s="48">
        <v>9.455926540725855E-2</v>
      </c>
      <c r="N49" s="48">
        <v>0.12607902212964406</v>
      </c>
      <c r="O49" s="48">
        <v>0.15759877836738537</v>
      </c>
      <c r="P49" s="48">
        <v>0.18911853490802932</v>
      </c>
    </row>
    <row r="50" spans="1:16">
      <c r="A50" s="191"/>
      <c r="B50" s="54">
        <v>46</v>
      </c>
      <c r="C50" s="48">
        <v>3.1372749615522819E-2</v>
      </c>
      <c r="D50" s="48">
        <v>6.2745504209183928E-2</v>
      </c>
      <c r="E50" s="48">
        <v>9.4118256491566549E-2</v>
      </c>
      <c r="F50" s="48">
        <v>0.12549101035713256</v>
      </c>
      <c r="G50" s="48">
        <v>0.15686376343534003</v>
      </c>
      <c r="H50" s="48">
        <v>0.18823651735170346</v>
      </c>
      <c r="I50" s="191"/>
      <c r="J50" s="54">
        <v>46</v>
      </c>
      <c r="K50" s="48">
        <v>3.1829235304857158E-2</v>
      </c>
      <c r="L50" s="48">
        <v>6.3658475215338878E-2</v>
      </c>
      <c r="M50" s="48">
        <v>9.5487713982880668E-2</v>
      </c>
      <c r="N50" s="48">
        <v>0.12731695355471354</v>
      </c>
      <c r="O50" s="48">
        <v>0.15914619267783661</v>
      </c>
      <c r="P50" s="48">
        <v>0.19097543209727746</v>
      </c>
    </row>
    <row r="51" spans="1:16">
      <c r="A51" s="191"/>
      <c r="B51" s="54">
        <v>47</v>
      </c>
      <c r="C51" s="48">
        <v>3.1656767084725333E-2</v>
      </c>
      <c r="D51" s="48">
        <v>6.33135391411042E-2</v>
      </c>
      <c r="E51" s="48">
        <v>9.497030888566417E-2</v>
      </c>
      <c r="F51" s="48">
        <v>0.12662708025429761</v>
      </c>
      <c r="G51" s="48">
        <v>0.15828385081089433</v>
      </c>
      <c r="H51" s="48">
        <v>0.18994062219610003</v>
      </c>
      <c r="I51" s="191"/>
      <c r="J51" s="54">
        <v>47</v>
      </c>
      <c r="K51" s="48">
        <v>3.2126306392417252E-2</v>
      </c>
      <c r="L51" s="48">
        <v>6.425261742504447E-2</v>
      </c>
      <c r="M51" s="48">
        <v>9.6378927322477451E-2</v>
      </c>
      <c r="N51" s="48">
        <v>0.12850523799880281</v>
      </c>
      <c r="O51" s="48">
        <v>0.16063154826910983</v>
      </c>
      <c r="P51" s="48">
        <v>0.19275785881285779</v>
      </c>
    </row>
    <row r="52" spans="1:16">
      <c r="A52" s="191"/>
      <c r="B52" s="54">
        <v>48</v>
      </c>
      <c r="C52" s="48">
        <v>3.1929359532915751E-2</v>
      </c>
      <c r="D52" s="48">
        <v>6.385872403127045E-2</v>
      </c>
      <c r="E52" s="48">
        <v>9.578808621728839E-2</v>
      </c>
      <c r="F52" s="48">
        <v>0.1277174500665661</v>
      </c>
      <c r="G52" s="48">
        <v>0.15964681308827064</v>
      </c>
      <c r="H52" s="48">
        <v>0.19157617692132151</v>
      </c>
      <c r="I52" s="191"/>
      <c r="J52" s="54">
        <v>48</v>
      </c>
      <c r="K52" s="48">
        <v>3.2411621601494862E-2</v>
      </c>
      <c r="L52" s="48">
        <v>6.4823247876344053E-2</v>
      </c>
      <c r="M52" s="48">
        <v>9.7234873023421958E-2</v>
      </c>
      <c r="N52" s="48">
        <v>0.12964649892505187</v>
      </c>
      <c r="O52" s="48">
        <v>0.16205812445346254</v>
      </c>
      <c r="P52" s="48">
        <v>0.19446975024150398</v>
      </c>
    </row>
    <row r="53" spans="1:16">
      <c r="A53" s="191"/>
      <c r="B53" s="54">
        <v>49</v>
      </c>
      <c r="C53" s="48">
        <v>3.21911431971178E-2</v>
      </c>
      <c r="D53" s="48">
        <v>6.438229135371365E-2</v>
      </c>
      <c r="E53" s="48">
        <v>9.6573437197475978E-2</v>
      </c>
      <c r="F53" s="48">
        <v>0.1287645847500328</v>
      </c>
      <c r="G53" s="48">
        <v>0.16095573145216635</v>
      </c>
      <c r="H53" s="48">
        <v>0.19314687894908808</v>
      </c>
      <c r="I53" s="191"/>
      <c r="J53" s="54">
        <v>49</v>
      </c>
      <c r="K53" s="48">
        <v>3.2685782478858658E-2</v>
      </c>
      <c r="L53" s="48">
        <v>6.5371569670811036E-2</v>
      </c>
      <c r="M53" s="48">
        <v>9.8057355734164256E-2</v>
      </c>
      <c r="N53" s="48">
        <v>0.13074314253667044</v>
      </c>
      <c r="O53" s="48">
        <v>0.16342892898946987</v>
      </c>
      <c r="P53" s="48">
        <v>0.19611471569660147</v>
      </c>
    </row>
    <row r="54" spans="1:16">
      <c r="A54" s="191"/>
      <c r="B54" s="54">
        <v>50</v>
      </c>
      <c r="C54" s="48">
        <v>3.2442684633736077E-2</v>
      </c>
      <c r="D54" s="48">
        <v>6.4885374221227726E-2</v>
      </c>
      <c r="E54" s="48">
        <v>9.7328061495408985E-2</v>
      </c>
      <c r="F54" s="48">
        <v>0.12977075052209811</v>
      </c>
      <c r="G54" s="48">
        <v>0.16221343867642776</v>
      </c>
      <c r="H54" s="48">
        <v>0.19465612760964984</v>
      </c>
      <c r="I54" s="191"/>
      <c r="J54" s="54">
        <v>50</v>
      </c>
      <c r="K54" s="48">
        <v>3.2949341692010178E-2</v>
      </c>
      <c r="L54" s="48">
        <v>6.5898688135263908E-2</v>
      </c>
      <c r="M54" s="48">
        <v>9.8848033456912607E-2</v>
      </c>
      <c r="N54" s="48">
        <v>0.13179737949514231</v>
      </c>
      <c r="O54" s="48">
        <v>0.16474672521402611</v>
      </c>
      <c r="P54" s="48">
        <v>0.19769607117436658</v>
      </c>
    </row>
    <row r="55" spans="1:16">
      <c r="A55" s="191"/>
      <c r="B55" s="54">
        <v>51</v>
      </c>
      <c r="C55" s="48">
        <v>3.268450558920493E-2</v>
      </c>
      <c r="D55" s="48">
        <v>6.5369016119031176E-2</v>
      </c>
      <c r="E55" s="48">
        <v>9.8053524350361243E-2</v>
      </c>
      <c r="F55" s="48">
        <v>0.1307380343609259</v>
      </c>
      <c r="G55" s="48">
        <v>0.16342254349332758</v>
      </c>
      <c r="H55" s="48">
        <v>0.19610705337407686</v>
      </c>
      <c r="I55" s="191"/>
      <c r="J55" s="54">
        <v>51</v>
      </c>
      <c r="K55" s="48">
        <v>3.3202807813632683E-2</v>
      </c>
      <c r="L55" s="48">
        <v>6.640562042279885E-2</v>
      </c>
      <c r="M55" s="48">
        <v>9.9608431901807473E-2</v>
      </c>
      <c r="N55" s="48">
        <v>0.13281124409098266</v>
      </c>
      <c r="O55" s="48">
        <v>0.16601405597470989</v>
      </c>
      <c r="P55" s="48">
        <v>0.19921686810279549</v>
      </c>
    </row>
    <row r="56" spans="1:16">
      <c r="A56" s="191"/>
      <c r="B56" s="54">
        <v>52</v>
      </c>
      <c r="C56" s="48">
        <v>3.2917087308639466E-2</v>
      </c>
      <c r="D56" s="48">
        <v>6.5834179537781798E-2</v>
      </c>
      <c r="E56" s="48">
        <v>9.8751269482672419E-2</v>
      </c>
      <c r="F56" s="48">
        <v>0.13166836123998568</v>
      </c>
      <c r="G56" s="48">
        <v>0.16458545210606634</v>
      </c>
      <c r="H56" s="48">
        <v>0.19750254369112466</v>
      </c>
      <c r="I56" s="191"/>
      <c r="J56" s="54">
        <v>52</v>
      </c>
      <c r="K56" s="48">
        <v>3.3446649561477484E-2</v>
      </c>
      <c r="L56" s="48">
        <v>6.6893303953585614E-2</v>
      </c>
      <c r="M56" s="48">
        <v>0.10033995720731259</v>
      </c>
      <c r="N56" s="48">
        <v>0.13378661116503843</v>
      </c>
      <c r="O56" s="48">
        <v>0.16723326483067966</v>
      </c>
      <c r="P56" s="48">
        <v>0.20067991874346941</v>
      </c>
    </row>
    <row r="57" spans="1:16">
      <c r="A57" s="191"/>
      <c r="B57" s="54">
        <v>53</v>
      </c>
      <c r="C57" s="48">
        <v>3.3140948469060065E-2</v>
      </c>
      <c r="D57" s="48">
        <v>6.6281901831915693E-2</v>
      </c>
      <c r="E57" s="48">
        <v>9.9422852938922612E-2</v>
      </c>
      <c r="F57" s="48">
        <v>0.13256380587559183</v>
      </c>
      <c r="G57" s="48">
        <v>0.1657047579158</v>
      </c>
      <c r="H57" s="48">
        <v>0.19884571064672413</v>
      </c>
      <c r="I57" s="191"/>
      <c r="J57" s="54">
        <v>53</v>
      </c>
      <c r="K57" s="48">
        <v>3.3681403312607508E-2</v>
      </c>
      <c r="L57" s="48">
        <v>6.7362811489618396E-2</v>
      </c>
      <c r="M57" s="48">
        <v>0.10104421851298681</v>
      </c>
      <c r="N57" s="48">
        <v>0.13472562624176715</v>
      </c>
      <c r="O57" s="48">
        <v>0.16840703368397394</v>
      </c>
      <c r="P57" s="48">
        <v>0.20208844138336216</v>
      </c>
    </row>
    <row r="58" spans="1:16">
      <c r="A58" s="191"/>
      <c r="B58" s="54">
        <v>54</v>
      </c>
      <c r="C58" s="48">
        <v>3.3356569478418377E-2</v>
      </c>
      <c r="D58" s="48">
        <v>6.6713143824914167E-2</v>
      </c>
      <c r="E58" s="48">
        <v>0.10006971594291229</v>
      </c>
      <c r="F58" s="48">
        <v>0.13342628990717384</v>
      </c>
      <c r="G58" s="48">
        <v>0.16678286296993958</v>
      </c>
      <c r="H58" s="48">
        <v>0.20013943669620632</v>
      </c>
      <c r="I58" s="191"/>
      <c r="J58" s="54">
        <v>54</v>
      </c>
      <c r="K58" s="48">
        <v>3.3907565993718074E-2</v>
      </c>
      <c r="L58" s="48">
        <v>6.7815136877149448E-2</v>
      </c>
      <c r="M58" s="48">
        <v>0.10172270659945423</v>
      </c>
      <c r="N58" s="48">
        <v>0.13563027702131972</v>
      </c>
      <c r="O58" s="48">
        <v>0.16953784716913053</v>
      </c>
      <c r="P58" s="48">
        <v>0.20344541758378409</v>
      </c>
    </row>
    <row r="59" spans="1:16">
      <c r="A59" s="191"/>
      <c r="B59" s="54">
        <v>55</v>
      </c>
      <c r="C59" s="48">
        <v>3.3564395954603553E-2</v>
      </c>
      <c r="D59" s="48">
        <v>6.7128796752501579E-2</v>
      </c>
      <c r="E59" s="48">
        <v>0.10069319534825841</v>
      </c>
      <c r="F59" s="48">
        <v>0.13425759580627611</v>
      </c>
      <c r="G59" s="48">
        <v>0.16782199536502718</v>
      </c>
      <c r="H59" s="48">
        <v>0.20138639554689219</v>
      </c>
      <c r="I59" s="191"/>
      <c r="J59" s="54">
        <v>55</v>
      </c>
      <c r="K59" s="48">
        <v>3.4125598667533952E-2</v>
      </c>
      <c r="L59" s="48">
        <v>6.8251202242089928E-2</v>
      </c>
      <c r="M59" s="48">
        <v>0.10237680464830734</v>
      </c>
      <c r="N59" s="48">
        <v>0.13650240775552788</v>
      </c>
      <c r="O59" s="48">
        <v>0.17062801059367652</v>
      </c>
      <c r="P59" s="48">
        <v>0.20475361370797793</v>
      </c>
    </row>
    <row r="60" spans="1:16">
      <c r="A60" s="191"/>
      <c r="B60" s="54">
        <v>56</v>
      </c>
      <c r="C60" s="48">
        <v>3.376484183169786E-2</v>
      </c>
      <c r="D60" s="48">
        <v>6.7529688482792366E-2</v>
      </c>
      <c r="E60" s="48">
        <v>0.10129453296411522</v>
      </c>
      <c r="F60" s="48">
        <v>0.13505937931617065</v>
      </c>
      <c r="G60" s="48">
        <v>0.16882422477110903</v>
      </c>
      <c r="H60" s="48">
        <v>0.20258907081717112</v>
      </c>
      <c r="I60" s="191"/>
      <c r="J60" s="54">
        <v>56</v>
      </c>
      <c r="K60" s="48">
        <v>3.4335929727995214E-2</v>
      </c>
      <c r="L60" s="48">
        <v>6.86718643866574E-2</v>
      </c>
      <c r="M60" s="48">
        <v>0.10300779786307222</v>
      </c>
      <c r="N60" s="48">
        <v>0.13734373204883549</v>
      </c>
      <c r="O60" s="48">
        <v>0.17167966596337728</v>
      </c>
      <c r="P60" s="48">
        <v>0.20601560016304929</v>
      </c>
    </row>
    <row r="61" spans="1:16">
      <c r="A61" s="191"/>
      <c r="B61" s="54">
        <v>57</v>
      </c>
      <c r="C61" s="48">
        <v>3.3958292139257974E-2</v>
      </c>
      <c r="D61" s="48">
        <v>6.7916589081685658E-2</v>
      </c>
      <c r="E61" s="48">
        <v>0.10187488387874308</v>
      </c>
      <c r="F61" s="48">
        <v>0.13583318056153998</v>
      </c>
      <c r="G61" s="48">
        <v>0.1697914763492939</v>
      </c>
      <c r="H61" s="48">
        <v>0.20374977268363895</v>
      </c>
      <c r="I61" s="191"/>
      <c r="J61" s="54">
        <v>57</v>
      </c>
      <c r="K61" s="48">
        <v>3.4538957786437258E-2</v>
      </c>
      <c r="L61" s="48">
        <v>6.9077920526356792E-2</v>
      </c>
      <c r="M61" s="48">
        <v>0.10361688207060818</v>
      </c>
      <c r="N61" s="48">
        <v>0.13815584433226047</v>
      </c>
      <c r="O61" s="48">
        <v>0.17269480632061718</v>
      </c>
      <c r="P61" s="48">
        <v>0.20723376860276665</v>
      </c>
    </row>
    <row r="62" spans="1:16">
      <c r="A62" s="191"/>
      <c r="B62" s="54">
        <v>58</v>
      </c>
      <c r="C62" s="48">
        <v>3.4145105500798981E-2</v>
      </c>
      <c r="D62" s="48">
        <v>6.82902157891003E-2</v>
      </c>
      <c r="E62" s="48">
        <v>0.10243532395559132</v>
      </c>
      <c r="F62" s="48">
        <v>0.13658043402231118</v>
      </c>
      <c r="G62" s="48">
        <v>0.17072554320270525</v>
      </c>
      <c r="H62" s="48">
        <v>0.20487065287326436</v>
      </c>
      <c r="I62" s="191"/>
      <c r="J62" s="54">
        <v>58</v>
      </c>
      <c r="K62" s="48">
        <v>3.4735054232342126E-2</v>
      </c>
      <c r="L62" s="48">
        <v>6.9470113433480501E-2</v>
      </c>
      <c r="M62" s="48">
        <v>0.10420517143270737</v>
      </c>
      <c r="N62" s="48">
        <v>0.13894023015039531</v>
      </c>
      <c r="O62" s="48">
        <v>0.17367528860621426</v>
      </c>
      <c r="P62" s="48">
        <v>0.20841034735076058</v>
      </c>
    </row>
    <row r="63" spans="1:16">
      <c r="A63" s="191"/>
      <c r="B63" s="54">
        <v>59</v>
      </c>
      <c r="C63" s="48">
        <v>3.4325616364993795E-2</v>
      </c>
      <c r="D63" s="48">
        <v>6.8651237502353649E-2</v>
      </c>
      <c r="E63" s="48">
        <v>0.10297685654066452</v>
      </c>
      <c r="F63" s="48">
        <v>0.13730247749980323</v>
      </c>
      <c r="G63" s="48">
        <v>0.17162809757443706</v>
      </c>
      <c r="H63" s="48">
        <v>0.20595371808472257</v>
      </c>
      <c r="I63" s="191"/>
      <c r="J63" s="54">
        <v>59</v>
      </c>
      <c r="K63" s="48">
        <v>3.4924565533674484E-2</v>
      </c>
      <c r="L63" s="48">
        <v>6.9849136057540853E-2</v>
      </c>
      <c r="M63" s="48">
        <v>0.10477370537346396</v>
      </c>
      <c r="N63" s="48">
        <v>0.13969827540887239</v>
      </c>
      <c r="O63" s="48">
        <v>0.17462284519345109</v>
      </c>
      <c r="P63" s="48">
        <v>0.20954741526186349</v>
      </c>
    </row>
    <row r="64" spans="1:16" ht="15.75" customHeight="1" thickBot="1">
      <c r="A64" s="191"/>
      <c r="B64" s="64">
        <v>60</v>
      </c>
      <c r="C64" s="48">
        <v>3.4500137020243273E-2</v>
      </c>
      <c r="D64" s="56">
        <v>6.9000278804711629E-2</v>
      </c>
      <c r="E64" s="56">
        <v>0.10350041851213362</v>
      </c>
      <c r="F64" s="72">
        <v>0.13800056016029583</v>
      </c>
      <c r="G64" s="72">
        <v>0.17250070092571335</v>
      </c>
      <c r="H64" s="56">
        <v>0.20700084207408631</v>
      </c>
      <c r="I64" s="191"/>
      <c r="J64" s="64">
        <v>60</v>
      </c>
      <c r="K64" s="56">
        <v>3.5107815339637763E-2</v>
      </c>
      <c r="L64" s="56">
        <v>7.0215635690149866E-2</v>
      </c>
      <c r="M64" s="56">
        <v>0.10532345482039726</v>
      </c>
      <c r="N64" s="56">
        <v>0.1404312746841016</v>
      </c>
      <c r="O64" s="56">
        <v>0.17553909430115672</v>
      </c>
      <c r="P64" s="56">
        <v>0.21064691419082424</v>
      </c>
    </row>
    <row r="65" spans="3:3" ht="15" customHeight="1">
      <c r="C65" s="316"/>
    </row>
    <row r="66" spans="3:3" ht="15" customHeight="1">
      <c r="C66" s="174"/>
    </row>
    <row r="67" spans="3:3" ht="15" customHeight="1">
      <c r="C67" s="174"/>
    </row>
    <row r="68" spans="3:3" ht="15" customHeight="1">
      <c r="C68" s="174"/>
    </row>
    <row r="69" spans="3:3" ht="15" customHeight="1">
      <c r="C69" s="174"/>
    </row>
    <row r="70" spans="3:3" ht="15" customHeight="1">
      <c r="C70" s="174"/>
    </row>
    <row r="71" spans="3:3" ht="15" customHeight="1">
      <c r="C71" s="174"/>
    </row>
    <row r="72" spans="3:3" ht="15" customHeight="1">
      <c r="C72" s="174"/>
    </row>
    <row r="73" spans="3:3" ht="15" customHeight="1">
      <c r="C73" s="174"/>
    </row>
    <row r="74" spans="3:3" ht="15" customHeight="1">
      <c r="C74" s="174"/>
    </row>
    <row r="75" spans="3:3" ht="15" customHeight="1">
      <c r="C75" s="174"/>
    </row>
    <row r="76" spans="3:3" ht="15" customHeight="1">
      <c r="C76" s="174"/>
    </row>
    <row r="77" spans="3:3" ht="15" customHeight="1">
      <c r="C77" s="174"/>
    </row>
    <row r="78" spans="3:3" ht="15" customHeight="1">
      <c r="C78" s="174"/>
    </row>
    <row r="79" spans="3:3" ht="15" customHeight="1">
      <c r="C79" s="174"/>
    </row>
    <row r="80" spans="3:3" ht="15" customHeight="1">
      <c r="C80" s="174"/>
    </row>
    <row r="81" spans="3:3" ht="15" customHeight="1">
      <c r="C81" s="174"/>
    </row>
    <row r="82" spans="3:3" ht="15" customHeight="1">
      <c r="C82" s="174"/>
    </row>
    <row r="83" spans="3:3" ht="15" customHeight="1">
      <c r="C83" s="174"/>
    </row>
    <row r="84" spans="3:3" ht="15" customHeight="1">
      <c r="C84" s="174"/>
    </row>
    <row r="85" spans="3:3" ht="15" customHeight="1">
      <c r="C85" s="174"/>
    </row>
    <row r="86" spans="3:3" ht="15" customHeight="1">
      <c r="C86" s="174"/>
    </row>
    <row r="87" spans="3:3" ht="15" customHeight="1">
      <c r="C87" s="174"/>
    </row>
    <row r="88" spans="3:3" ht="15" customHeight="1">
      <c r="C88" s="174"/>
    </row>
    <row r="89" spans="3:3" ht="15" customHeight="1">
      <c r="C89" s="174"/>
    </row>
    <row r="90" spans="3:3" ht="15" customHeight="1">
      <c r="C90" s="174"/>
    </row>
    <row r="91" spans="3:3" ht="15" customHeight="1">
      <c r="C91" s="174"/>
    </row>
    <row r="92" spans="3:3" ht="15" customHeight="1">
      <c r="C92" s="174"/>
    </row>
    <row r="93" spans="3:3" ht="15" customHeight="1">
      <c r="C93" s="174"/>
    </row>
    <row r="94" spans="3:3" ht="15" customHeight="1">
      <c r="C94" s="174"/>
    </row>
    <row r="95" spans="3:3" ht="15" customHeight="1">
      <c r="C95" s="174"/>
    </row>
    <row r="96" spans="3:3" ht="15" customHeight="1">
      <c r="C96" s="174"/>
    </row>
    <row r="97" spans="3:3" ht="15" customHeight="1">
      <c r="C97" s="174"/>
    </row>
    <row r="98" spans="3:3" ht="15" customHeight="1">
      <c r="C98" s="174"/>
    </row>
    <row r="99" spans="3:3" ht="15" customHeight="1">
      <c r="C99" s="174"/>
    </row>
    <row r="100" spans="3:3" ht="15" customHeight="1">
      <c r="C100" s="174"/>
    </row>
    <row r="101" spans="3:3" ht="15" customHeight="1">
      <c r="C101" s="174"/>
    </row>
    <row r="102" spans="3:3" ht="15" customHeight="1">
      <c r="C102" s="174"/>
    </row>
    <row r="103" spans="3:3" ht="15" customHeight="1">
      <c r="C103" s="174"/>
    </row>
    <row r="104" spans="3:3" ht="15" customHeight="1">
      <c r="C104" s="174"/>
    </row>
  </sheetData>
  <mergeCells count="3">
    <mergeCell ref="J3:P3"/>
    <mergeCell ref="B3:H3"/>
    <mergeCell ref="B1:P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9"/>
  <sheetViews>
    <sheetView showGridLines="0" topLeftCell="A37" workbookViewId="0">
      <selection activeCell="C53" sqref="C53"/>
    </sheetView>
  </sheetViews>
  <sheetFormatPr defaultColWidth="17.28515625" defaultRowHeight="15" customHeight="1"/>
  <cols>
    <col min="1" max="1" width="8.85546875" style="192" customWidth="1"/>
    <col min="2" max="2" width="16.42578125" style="192" customWidth="1"/>
    <col min="3" max="3" width="41" style="192" customWidth="1"/>
    <col min="4" max="4" width="45.85546875" style="192" customWidth="1"/>
    <col min="5" max="5" width="14.7109375" style="192" customWidth="1"/>
    <col min="6" max="6" width="8.85546875" style="192" customWidth="1"/>
    <col min="7" max="7" width="5.7109375" style="192" customWidth="1"/>
    <col min="8" max="20" width="8.85546875" style="192" customWidth="1"/>
  </cols>
  <sheetData>
    <row r="1" spans="1:17" ht="23.25" customHeight="1">
      <c r="A1" s="261"/>
      <c r="B1" s="339" t="s">
        <v>30</v>
      </c>
      <c r="C1" s="340"/>
      <c r="D1" s="340"/>
      <c r="E1" s="340"/>
      <c r="F1" s="340"/>
      <c r="G1" s="340"/>
      <c r="H1" s="340"/>
      <c r="I1" s="340"/>
      <c r="J1" s="340"/>
      <c r="K1" s="340"/>
      <c r="L1" s="340"/>
      <c r="M1" s="340"/>
      <c r="N1" s="340"/>
      <c r="O1" s="340"/>
      <c r="P1" s="261"/>
      <c r="Q1" s="261"/>
    </row>
    <row r="2" spans="1:17" s="192" customFormat="1" ht="15.75" customHeight="1">
      <c r="A2" s="191"/>
      <c r="B2" s="191"/>
      <c r="C2" s="191"/>
      <c r="D2" s="191"/>
      <c r="E2" s="191"/>
      <c r="F2" s="191"/>
      <c r="G2" s="191"/>
      <c r="H2" s="191"/>
      <c r="I2" s="191"/>
      <c r="J2" s="191"/>
      <c r="K2" s="191"/>
      <c r="L2" s="191"/>
      <c r="M2" s="191"/>
      <c r="N2" s="191"/>
      <c r="O2" s="191"/>
      <c r="P2" s="191"/>
      <c r="Q2" s="191"/>
    </row>
    <row r="3" spans="1:17" ht="45" customHeight="1">
      <c r="A3" s="191"/>
      <c r="B3" s="319" t="s">
        <v>31</v>
      </c>
      <c r="C3" s="319" t="s">
        <v>36</v>
      </c>
      <c r="D3" s="320" t="s">
        <v>37</v>
      </c>
      <c r="E3" s="320" t="s">
        <v>63</v>
      </c>
      <c r="F3" s="191"/>
      <c r="G3" s="229" t="s">
        <v>64</v>
      </c>
      <c r="H3" s="191" t="s">
        <v>75</v>
      </c>
      <c r="I3" s="191"/>
      <c r="J3" s="191"/>
      <c r="K3" s="191"/>
      <c r="L3" s="191"/>
      <c r="M3" s="191"/>
      <c r="N3" s="191"/>
      <c r="O3" s="191"/>
      <c r="P3" s="191"/>
      <c r="Q3" s="191"/>
    </row>
    <row r="4" spans="1:17">
      <c r="A4" s="191"/>
      <c r="B4" s="321" t="s">
        <v>76</v>
      </c>
      <c r="C4" s="322">
        <v>38272</v>
      </c>
      <c r="D4" s="323">
        <f>'CO2 Values'!D33</f>
        <v>1.0201284079999999</v>
      </c>
      <c r="E4" s="323">
        <f t="shared" ref="E4:E9" si="0">D4*C4*10^6</f>
        <v>39042354430.975998</v>
      </c>
      <c r="F4" s="191"/>
      <c r="G4" s="191"/>
      <c r="H4" s="191"/>
      <c r="I4" s="191"/>
      <c r="J4" s="191"/>
      <c r="K4" s="191"/>
      <c r="L4" s="191"/>
      <c r="M4" s="191"/>
      <c r="N4" s="191"/>
      <c r="O4" s="191"/>
      <c r="P4" s="191"/>
      <c r="Q4" s="191"/>
    </row>
    <row r="5" spans="1:17">
      <c r="A5" s="191"/>
      <c r="B5" s="321" t="s">
        <v>157</v>
      </c>
      <c r="C5" s="322">
        <v>27238</v>
      </c>
      <c r="D5" s="323">
        <f>'CO2 Values'!D32</f>
        <v>0.51482691999999997</v>
      </c>
      <c r="E5" s="323">
        <f t="shared" si="0"/>
        <v>14022855646.959999</v>
      </c>
      <c r="F5" s="191"/>
      <c r="G5" s="191"/>
      <c r="H5" s="191"/>
      <c r="I5" s="191"/>
      <c r="J5" s="191"/>
      <c r="K5" s="191"/>
      <c r="L5" s="191"/>
      <c r="M5" s="191"/>
      <c r="N5" s="191"/>
      <c r="O5" s="191"/>
      <c r="P5" s="191"/>
      <c r="Q5" s="191"/>
    </row>
    <row r="6" spans="1:17">
      <c r="A6" s="191"/>
      <c r="B6" s="321" t="s">
        <v>159</v>
      </c>
      <c r="C6" s="322">
        <v>2319</v>
      </c>
      <c r="D6" s="324">
        <v>0</v>
      </c>
      <c r="E6" s="323">
        <f t="shared" si="0"/>
        <v>0</v>
      </c>
      <c r="F6" s="191"/>
      <c r="G6" s="191"/>
      <c r="H6" s="191"/>
      <c r="I6" s="191"/>
      <c r="J6" s="191"/>
      <c r="K6" s="191"/>
      <c r="L6" s="191"/>
      <c r="M6" s="191"/>
      <c r="N6" s="191"/>
      <c r="O6" s="191"/>
      <c r="P6" s="191"/>
      <c r="Q6" s="191"/>
    </row>
    <row r="7" spans="1:17">
      <c r="A7" s="191"/>
      <c r="B7" s="321" t="s">
        <v>170</v>
      </c>
      <c r="C7" s="322">
        <v>2640</v>
      </c>
      <c r="D7" s="324">
        <v>0</v>
      </c>
      <c r="E7" s="323">
        <f t="shared" si="0"/>
        <v>0</v>
      </c>
      <c r="F7" s="191"/>
      <c r="G7" s="191"/>
      <c r="H7" s="191"/>
      <c r="I7" s="191"/>
      <c r="J7" s="191"/>
      <c r="K7" s="191"/>
      <c r="L7" s="191"/>
      <c r="M7" s="191"/>
      <c r="N7" s="191"/>
      <c r="O7" s="191"/>
      <c r="P7" s="191"/>
      <c r="Q7" s="191"/>
    </row>
    <row r="8" spans="1:17">
      <c r="A8" s="191"/>
      <c r="B8" s="321" t="s">
        <v>171</v>
      </c>
      <c r="C8" s="322">
        <v>2089</v>
      </c>
      <c r="D8" s="324">
        <v>0</v>
      </c>
      <c r="E8" s="323">
        <f t="shared" si="0"/>
        <v>0</v>
      </c>
      <c r="F8" s="191"/>
      <c r="G8" s="191"/>
      <c r="H8" s="191"/>
      <c r="I8" s="191"/>
      <c r="J8" s="191"/>
      <c r="K8" s="191"/>
      <c r="L8" s="191"/>
      <c r="M8" s="191"/>
      <c r="N8" s="191"/>
      <c r="O8" s="191"/>
      <c r="P8" s="191"/>
      <c r="Q8" s="191"/>
    </row>
    <row r="9" spans="1:17">
      <c r="A9" s="191"/>
      <c r="B9" s="321" t="s">
        <v>181</v>
      </c>
      <c r="C9" s="325">
        <v>359</v>
      </c>
      <c r="D9" s="324">
        <v>0</v>
      </c>
      <c r="E9" s="323">
        <f t="shared" si="0"/>
        <v>0</v>
      </c>
      <c r="F9" s="191"/>
      <c r="G9" s="191"/>
      <c r="H9" s="191"/>
      <c r="I9" s="191"/>
      <c r="J9" s="191"/>
      <c r="K9" s="191"/>
      <c r="L9" s="191"/>
      <c r="M9" s="191"/>
      <c r="N9" s="191"/>
      <c r="O9" s="191"/>
      <c r="P9" s="191"/>
      <c r="Q9" s="191"/>
    </row>
    <row r="10" spans="1:17">
      <c r="A10" s="191"/>
      <c r="B10" s="326" t="s">
        <v>188</v>
      </c>
      <c r="C10" s="327">
        <v>72918</v>
      </c>
      <c r="D10" s="323"/>
      <c r="E10" s="323">
        <f>SUM(E4:E9)</f>
        <v>53065210077.935997</v>
      </c>
      <c r="F10" s="191"/>
      <c r="G10" s="191"/>
      <c r="H10" s="191"/>
      <c r="I10" s="191"/>
      <c r="J10" s="191"/>
      <c r="K10" s="191"/>
      <c r="L10" s="191"/>
      <c r="M10" s="191"/>
      <c r="N10" s="191"/>
      <c r="O10" s="191"/>
      <c r="P10" s="191"/>
      <c r="Q10" s="191"/>
    </row>
    <row r="11" spans="1:17" ht="30.75" customHeight="1">
      <c r="A11" s="191"/>
      <c r="B11" s="328" t="s">
        <v>190</v>
      </c>
      <c r="C11" s="329" t="s">
        <v>191</v>
      </c>
      <c r="D11" s="330" t="s">
        <v>193</v>
      </c>
      <c r="E11" s="331"/>
      <c r="F11" s="191"/>
      <c r="G11" s="191"/>
      <c r="H11" s="191"/>
      <c r="I11" s="191"/>
      <c r="J11" s="191"/>
      <c r="K11" s="191"/>
      <c r="L11" s="191"/>
      <c r="M11" s="191"/>
      <c r="N11" s="191"/>
      <c r="O11" s="191"/>
      <c r="P11" s="191"/>
      <c r="Q11" s="191"/>
    </row>
    <row r="12" spans="1:17" s="192" customFormat="1">
      <c r="A12" s="191"/>
      <c r="B12" s="191"/>
      <c r="C12" s="191"/>
      <c r="D12" s="191"/>
      <c r="E12" s="191"/>
      <c r="F12" s="191"/>
      <c r="G12" s="191"/>
      <c r="H12" s="191"/>
      <c r="I12" s="191"/>
      <c r="J12" s="191"/>
      <c r="K12" s="191"/>
      <c r="L12" s="191"/>
      <c r="M12" s="191"/>
      <c r="N12" s="191"/>
      <c r="O12" s="191"/>
      <c r="P12" s="191"/>
      <c r="Q12" s="191"/>
    </row>
    <row r="13" spans="1:17" s="192" customFormat="1">
      <c r="A13" s="191"/>
      <c r="B13" s="191"/>
      <c r="C13" s="191"/>
      <c r="D13" s="191"/>
      <c r="E13" s="191"/>
      <c r="F13" s="191"/>
      <c r="G13" s="191"/>
      <c r="H13" s="191"/>
      <c r="I13" s="191"/>
      <c r="J13" s="191"/>
      <c r="K13" s="191"/>
      <c r="L13" s="191"/>
      <c r="M13" s="191"/>
      <c r="N13" s="191"/>
      <c r="O13" s="191"/>
      <c r="P13" s="191"/>
      <c r="Q13" s="191"/>
    </row>
    <row r="14" spans="1:17" s="192" customFormat="1">
      <c r="A14" s="191"/>
      <c r="B14" s="198"/>
      <c r="C14" s="317" t="s">
        <v>194</v>
      </c>
      <c r="D14" s="198"/>
      <c r="E14" s="198"/>
      <c r="F14" s="191"/>
      <c r="G14" s="191"/>
      <c r="H14" s="191"/>
      <c r="I14" s="191"/>
      <c r="J14" s="191"/>
      <c r="K14" s="191"/>
      <c r="L14" s="191"/>
      <c r="M14" s="191"/>
      <c r="N14" s="191"/>
      <c r="O14" s="191"/>
      <c r="P14" s="191"/>
      <c r="Q14" s="191"/>
    </row>
    <row r="15" spans="1:17" s="192" customFormat="1">
      <c r="A15" s="191"/>
      <c r="B15" s="198"/>
      <c r="C15" s="318">
        <f>E10/C10/10^6</f>
        <v>0.72773814528560843</v>
      </c>
      <c r="D15" s="198"/>
      <c r="E15" s="198"/>
      <c r="F15" s="191"/>
      <c r="G15" s="191"/>
      <c r="H15" s="191"/>
      <c r="I15" s="191"/>
      <c r="J15" s="191"/>
      <c r="K15" s="191"/>
      <c r="L15" s="191"/>
      <c r="M15" s="191"/>
      <c r="N15" s="191"/>
      <c r="O15" s="191"/>
      <c r="P15" s="191"/>
      <c r="Q15" s="191"/>
    </row>
    <row r="16" spans="1:17" s="192" customFormat="1">
      <c r="A16" s="191"/>
      <c r="B16" s="191"/>
      <c r="C16" s="191"/>
      <c r="D16" s="191"/>
      <c r="E16" s="191"/>
      <c r="F16" s="191"/>
      <c r="G16" s="191"/>
      <c r="H16" s="191"/>
      <c r="I16" s="191"/>
      <c r="J16" s="191"/>
      <c r="K16" s="191"/>
      <c r="L16" s="191"/>
      <c r="M16" s="191"/>
      <c r="N16" s="191"/>
      <c r="O16" s="191"/>
      <c r="P16" s="191"/>
      <c r="Q16" s="191"/>
    </row>
    <row r="17" spans="1:17" s="192" customFormat="1">
      <c r="A17" s="191"/>
      <c r="B17" s="191"/>
      <c r="C17" s="191"/>
      <c r="D17" s="191"/>
      <c r="E17" s="191"/>
      <c r="F17" s="191"/>
      <c r="G17" s="191"/>
      <c r="H17" s="191"/>
      <c r="I17" s="191"/>
      <c r="J17" s="191"/>
      <c r="K17" s="191"/>
      <c r="L17" s="191"/>
      <c r="M17" s="191"/>
      <c r="N17" s="191"/>
      <c r="O17" s="191"/>
      <c r="P17" s="191"/>
      <c r="Q17" s="191"/>
    </row>
    <row r="18" spans="1:17" ht="15.75" customHeight="1">
      <c r="A18" s="191"/>
      <c r="B18" s="198" t="s">
        <v>197</v>
      </c>
      <c r="C18" s="198" t="s">
        <v>191</v>
      </c>
      <c r="D18" s="198"/>
      <c r="E18" s="198"/>
      <c r="F18" s="191"/>
      <c r="G18" s="191"/>
      <c r="H18" s="191"/>
      <c r="I18" s="191"/>
      <c r="J18" s="191"/>
      <c r="K18" s="191"/>
      <c r="L18" s="191"/>
      <c r="M18" s="191"/>
      <c r="N18" s="191"/>
      <c r="O18" s="191"/>
      <c r="P18" s="191"/>
      <c r="Q18" s="191"/>
    </row>
    <row r="19" spans="1:17" ht="30" customHeight="1">
      <c r="A19" s="191"/>
      <c r="B19" s="319" t="s">
        <v>198</v>
      </c>
      <c r="C19" s="319" t="s">
        <v>199</v>
      </c>
      <c r="D19" s="198"/>
      <c r="E19" s="198"/>
      <c r="F19" s="191"/>
      <c r="G19" s="191"/>
      <c r="H19" s="191"/>
      <c r="I19" s="191"/>
      <c r="J19" s="191"/>
      <c r="K19" s="191"/>
      <c r="L19" s="191"/>
      <c r="M19" s="191"/>
      <c r="N19" s="191"/>
      <c r="O19" s="191"/>
      <c r="P19" s="191"/>
      <c r="Q19" s="191"/>
    </row>
    <row r="20" spans="1:17">
      <c r="A20" s="191"/>
      <c r="B20" s="321" t="s">
        <v>76</v>
      </c>
      <c r="C20" s="322">
        <v>5690</v>
      </c>
      <c r="D20" s="198"/>
      <c r="E20" s="198"/>
      <c r="F20" s="191"/>
      <c r="G20" s="191"/>
      <c r="H20" s="191"/>
      <c r="I20" s="191"/>
      <c r="J20" s="191"/>
      <c r="K20" s="191"/>
      <c r="L20" s="191"/>
      <c r="M20" s="191"/>
      <c r="N20" s="191"/>
      <c r="O20" s="191"/>
      <c r="P20" s="191"/>
      <c r="Q20" s="191"/>
    </row>
    <row r="21" spans="1:17">
      <c r="A21" s="191"/>
      <c r="B21" s="321" t="s">
        <v>200</v>
      </c>
      <c r="C21" s="322">
        <v>5784</v>
      </c>
      <c r="D21" s="198"/>
      <c r="E21" s="198"/>
      <c r="F21" s="191"/>
      <c r="G21" s="191"/>
      <c r="H21" s="191"/>
      <c r="I21" s="191"/>
      <c r="J21" s="191"/>
      <c r="K21" s="191"/>
      <c r="L21" s="191"/>
      <c r="M21" s="191"/>
      <c r="N21" s="191"/>
      <c r="O21" s="191"/>
      <c r="P21" s="191"/>
      <c r="Q21" s="191"/>
    </row>
    <row r="22" spans="1:17">
      <c r="A22" s="191"/>
      <c r="B22" s="321" t="s">
        <v>159</v>
      </c>
      <c r="C22" s="325">
        <v>900</v>
      </c>
      <c r="D22" s="198"/>
      <c r="E22" s="198"/>
      <c r="F22" s="191"/>
      <c r="G22" s="191"/>
      <c r="H22" s="191"/>
      <c r="I22" s="191"/>
      <c r="J22" s="191"/>
      <c r="K22" s="191"/>
      <c r="L22" s="191"/>
      <c r="M22" s="191"/>
      <c r="N22" s="191"/>
      <c r="O22" s="191"/>
      <c r="P22" s="191"/>
      <c r="Q22" s="191"/>
    </row>
    <row r="23" spans="1:17">
      <c r="A23" s="191"/>
      <c r="B23" s="321" t="s">
        <v>170</v>
      </c>
      <c r="C23" s="322">
        <v>1113</v>
      </c>
      <c r="D23" s="198"/>
      <c r="E23" s="198"/>
      <c r="F23" s="191"/>
      <c r="G23" s="191"/>
      <c r="H23" s="191"/>
      <c r="I23" s="191"/>
      <c r="J23" s="191"/>
      <c r="K23" s="191"/>
      <c r="L23" s="191"/>
      <c r="M23" s="191"/>
      <c r="N23" s="191"/>
      <c r="O23" s="191"/>
      <c r="P23" s="191"/>
      <c r="Q23" s="191"/>
    </row>
    <row r="24" spans="1:17">
      <c r="A24" s="191"/>
      <c r="B24" s="321" t="s">
        <v>171</v>
      </c>
      <c r="C24" s="325">
        <v>418</v>
      </c>
      <c r="D24" s="198"/>
      <c r="E24" s="198"/>
      <c r="F24" s="191"/>
      <c r="G24" s="191"/>
      <c r="H24" s="191"/>
      <c r="I24" s="191"/>
      <c r="J24" s="191"/>
      <c r="K24" s="191"/>
      <c r="L24" s="191"/>
      <c r="M24" s="191"/>
      <c r="N24" s="191"/>
      <c r="O24" s="191"/>
      <c r="P24" s="191"/>
      <c r="Q24" s="191"/>
    </row>
    <row r="25" spans="1:17">
      <c r="A25" s="191"/>
      <c r="B25" s="321" t="s">
        <v>201</v>
      </c>
      <c r="C25" s="325">
        <v>86</v>
      </c>
      <c r="D25" s="198"/>
      <c r="E25" s="198"/>
      <c r="F25" s="191"/>
      <c r="G25" s="191"/>
      <c r="H25" s="191"/>
      <c r="I25" s="191"/>
      <c r="J25" s="191"/>
      <c r="K25" s="191"/>
      <c r="L25" s="191"/>
      <c r="M25" s="191"/>
      <c r="N25" s="191"/>
      <c r="O25" s="191"/>
      <c r="P25" s="191"/>
      <c r="Q25" s="191"/>
    </row>
    <row r="26" spans="1:17">
      <c r="A26" s="191"/>
      <c r="B26" s="321" t="s">
        <v>202</v>
      </c>
      <c r="C26" s="325">
        <v>12</v>
      </c>
      <c r="D26" s="198"/>
      <c r="E26" s="198"/>
      <c r="F26" s="191"/>
      <c r="G26" s="191"/>
      <c r="H26" s="191"/>
      <c r="I26" s="191"/>
      <c r="J26" s="191"/>
      <c r="K26" s="191"/>
      <c r="L26" s="191"/>
      <c r="M26" s="191"/>
      <c r="N26" s="191"/>
      <c r="O26" s="191"/>
      <c r="P26" s="191"/>
      <c r="Q26" s="191"/>
    </row>
    <row r="27" spans="1:17">
      <c r="A27" s="191"/>
      <c r="B27" s="326" t="s">
        <v>203</v>
      </c>
      <c r="C27" s="327">
        <v>14003</v>
      </c>
      <c r="D27" s="198"/>
      <c r="E27" s="198"/>
      <c r="F27" s="191"/>
      <c r="G27" s="191"/>
      <c r="H27" s="191"/>
      <c r="I27" s="191"/>
      <c r="J27" s="191"/>
      <c r="K27" s="191"/>
      <c r="L27" s="191"/>
      <c r="M27" s="191"/>
      <c r="N27" s="191"/>
      <c r="O27" s="191"/>
      <c r="P27" s="191"/>
      <c r="Q27" s="191"/>
    </row>
    <row r="28" spans="1:17" ht="30" customHeight="1">
      <c r="A28" s="191"/>
      <c r="B28" s="332" t="s">
        <v>204</v>
      </c>
      <c r="C28" s="333"/>
      <c r="D28" s="198"/>
      <c r="E28" s="198"/>
      <c r="F28" s="191"/>
      <c r="G28" s="191"/>
      <c r="H28" s="191"/>
      <c r="I28" s="191"/>
      <c r="J28" s="191"/>
      <c r="K28" s="191"/>
      <c r="L28" s="191"/>
      <c r="M28" s="191"/>
      <c r="N28" s="191"/>
      <c r="O28" s="191"/>
      <c r="P28" s="191"/>
      <c r="Q28" s="191"/>
    </row>
    <row r="29" spans="1:17">
      <c r="A29" s="191"/>
      <c r="B29" s="334"/>
      <c r="C29" s="335"/>
      <c r="D29" s="198"/>
      <c r="E29" s="198"/>
      <c r="F29" s="191"/>
      <c r="G29" s="191"/>
      <c r="H29" s="191"/>
      <c r="I29" s="191"/>
      <c r="J29" s="191"/>
      <c r="K29" s="191"/>
      <c r="L29" s="191"/>
      <c r="M29" s="191"/>
      <c r="N29" s="191"/>
      <c r="O29" s="191"/>
      <c r="P29" s="191"/>
      <c r="Q29" s="191"/>
    </row>
    <row r="30" spans="1:17" ht="30" customHeight="1">
      <c r="A30" s="191"/>
      <c r="B30" s="321" t="s">
        <v>211</v>
      </c>
      <c r="C30" s="325">
        <v>750</v>
      </c>
      <c r="D30" s="198"/>
      <c r="E30" s="198"/>
      <c r="F30" s="191"/>
      <c r="G30" s="191"/>
      <c r="H30" s="191"/>
      <c r="I30" s="191"/>
      <c r="J30" s="191"/>
      <c r="K30" s="191"/>
      <c r="L30" s="191"/>
      <c r="M30" s="191"/>
      <c r="N30" s="191"/>
      <c r="O30" s="191"/>
      <c r="P30" s="191"/>
      <c r="Q30" s="191"/>
    </row>
    <row r="31" spans="1:17">
      <c r="A31" s="191"/>
      <c r="B31" s="321" t="s">
        <v>212</v>
      </c>
      <c r="C31" s="325">
        <v>150</v>
      </c>
      <c r="D31" s="198"/>
      <c r="E31" s="198"/>
      <c r="F31" s="191"/>
      <c r="G31" s="191"/>
      <c r="H31" s="191"/>
      <c r="I31" s="191"/>
      <c r="J31" s="191"/>
      <c r="K31" s="191"/>
      <c r="L31" s="191"/>
      <c r="M31" s="191"/>
      <c r="N31" s="191"/>
      <c r="O31" s="191"/>
      <c r="P31" s="191"/>
      <c r="Q31" s="191"/>
    </row>
    <row r="32" spans="1:17" ht="15" customHeight="1">
      <c r="A32" s="191"/>
      <c r="B32" s="326" t="s">
        <v>203</v>
      </c>
      <c r="C32" s="336">
        <v>900</v>
      </c>
      <c r="D32" s="198"/>
      <c r="E32" s="198"/>
      <c r="F32" s="191"/>
      <c r="G32" s="191"/>
      <c r="H32" s="191"/>
      <c r="I32" s="191"/>
      <c r="J32" s="191"/>
      <c r="K32" s="191"/>
      <c r="L32" s="191"/>
      <c r="M32" s="191"/>
      <c r="N32" s="191"/>
      <c r="O32" s="191"/>
      <c r="P32" s="191"/>
      <c r="Q32" s="191"/>
    </row>
    <row r="33" spans="1:17" ht="15.75" customHeight="1">
      <c r="A33" s="191"/>
      <c r="B33" s="337" t="s">
        <v>228</v>
      </c>
      <c r="C33" s="338">
        <v>14903</v>
      </c>
      <c r="D33" s="198"/>
      <c r="E33" s="198"/>
      <c r="F33" s="191"/>
      <c r="G33" s="191"/>
      <c r="H33" s="191"/>
      <c r="I33" s="191"/>
      <c r="J33" s="191"/>
      <c r="K33" s="191"/>
      <c r="L33" s="191"/>
      <c r="M33" s="191"/>
      <c r="N33" s="191"/>
      <c r="O33" s="191"/>
      <c r="P33" s="191"/>
      <c r="Q33" s="191"/>
    </row>
    <row r="34" spans="1:17">
      <c r="A34" s="191"/>
      <c r="B34" s="191"/>
      <c r="C34" s="191"/>
      <c r="D34" s="191"/>
      <c r="E34" s="191"/>
      <c r="F34" s="191"/>
      <c r="G34" s="191"/>
      <c r="H34" s="191"/>
      <c r="I34" s="191"/>
      <c r="J34" s="191"/>
      <c r="K34" s="191"/>
      <c r="L34" s="191"/>
      <c r="M34" s="191"/>
      <c r="N34" s="191"/>
      <c r="O34" s="191"/>
      <c r="P34" s="191"/>
      <c r="Q34" s="191"/>
    </row>
    <row r="35" spans="1:17">
      <c r="A35" s="191"/>
      <c r="B35" s="191"/>
      <c r="C35" s="191"/>
      <c r="D35" s="191"/>
      <c r="E35" s="191"/>
      <c r="F35" s="191"/>
      <c r="G35" s="191"/>
      <c r="H35" s="191"/>
      <c r="I35" s="191"/>
      <c r="J35" s="191"/>
      <c r="K35" s="191"/>
      <c r="L35" s="191"/>
      <c r="M35" s="191"/>
      <c r="N35" s="191"/>
      <c r="O35" s="191"/>
      <c r="P35" s="191"/>
      <c r="Q35" s="191"/>
    </row>
    <row r="36" spans="1:17">
      <c r="A36" s="191"/>
      <c r="B36" s="354" t="s">
        <v>243</v>
      </c>
      <c r="C36" s="354"/>
      <c r="D36" s="191" t="s">
        <v>244</v>
      </c>
      <c r="E36" s="191"/>
      <c r="F36" s="191"/>
      <c r="G36" s="191"/>
      <c r="H36" s="191"/>
      <c r="I36" s="191"/>
      <c r="J36" s="191"/>
      <c r="K36" s="191"/>
      <c r="L36" s="191"/>
      <c r="M36" s="191"/>
      <c r="N36" s="191"/>
      <c r="O36" s="191"/>
      <c r="P36" s="191"/>
      <c r="Q36" s="191"/>
    </row>
    <row r="37" spans="1:17">
      <c r="A37" s="191"/>
      <c r="B37" s="191"/>
      <c r="C37" s="191"/>
      <c r="D37" s="191"/>
      <c r="E37" s="191"/>
      <c r="F37" s="191"/>
      <c r="G37" s="191"/>
      <c r="H37" s="191"/>
      <c r="I37" s="191"/>
      <c r="J37" s="191"/>
      <c r="K37" s="191"/>
      <c r="L37" s="191"/>
      <c r="M37" s="191"/>
      <c r="N37" s="191"/>
      <c r="O37" s="191"/>
      <c r="P37" s="191"/>
      <c r="Q37" s="191"/>
    </row>
    <row r="38" spans="1:17" ht="15" customHeight="1">
      <c r="A38" s="191"/>
      <c r="B38" s="341" t="s">
        <v>245</v>
      </c>
      <c r="C38" s="342"/>
      <c r="D38" s="343" t="s">
        <v>256</v>
      </c>
      <c r="E38" s="343" t="s">
        <v>257</v>
      </c>
      <c r="F38" s="343" t="s">
        <v>258</v>
      </c>
      <c r="G38" s="343" t="s">
        <v>259</v>
      </c>
      <c r="H38" s="343" t="s">
        <v>260</v>
      </c>
      <c r="I38" s="343" t="s">
        <v>261</v>
      </c>
      <c r="J38" s="343" t="s">
        <v>262</v>
      </c>
      <c r="K38" s="343" t="s">
        <v>263</v>
      </c>
      <c r="L38" s="343" t="s">
        <v>264</v>
      </c>
      <c r="M38" s="343" t="s">
        <v>265</v>
      </c>
      <c r="N38" s="343" t="s">
        <v>266</v>
      </c>
      <c r="O38" s="343" t="s">
        <v>267</v>
      </c>
      <c r="P38" s="343" t="s">
        <v>268</v>
      </c>
      <c r="Q38" s="343" t="s">
        <v>269</v>
      </c>
    </row>
    <row r="39" spans="1:17" ht="15" customHeight="1">
      <c r="A39" s="191"/>
      <c r="B39" s="344"/>
      <c r="C39" s="342"/>
      <c r="D39" s="345" t="s">
        <v>271</v>
      </c>
      <c r="E39" s="342"/>
      <c r="F39" s="342"/>
      <c r="G39" s="342"/>
      <c r="H39" s="342"/>
      <c r="I39" s="342"/>
      <c r="J39" s="342"/>
      <c r="K39" s="342"/>
      <c r="L39" s="342"/>
      <c r="M39" s="342"/>
      <c r="N39" s="342"/>
      <c r="O39" s="342"/>
      <c r="P39" s="342"/>
      <c r="Q39" s="342"/>
    </row>
    <row r="40" spans="1:17" ht="15" customHeight="1">
      <c r="A40" s="191"/>
      <c r="B40" s="346" t="s">
        <v>295</v>
      </c>
      <c r="C40" s="342"/>
      <c r="D40" s="347">
        <v>75077</v>
      </c>
      <c r="E40" s="347">
        <v>6781</v>
      </c>
      <c r="F40" s="348">
        <v>0</v>
      </c>
      <c r="G40" s="348">
        <v>374</v>
      </c>
      <c r="H40" s="348">
        <v>947</v>
      </c>
      <c r="I40" s="347">
        <v>38438</v>
      </c>
      <c r="J40" s="347">
        <v>8406</v>
      </c>
      <c r="K40" s="347">
        <v>5054</v>
      </c>
      <c r="L40" s="348">
        <v>856</v>
      </c>
      <c r="M40" s="348">
        <v>883</v>
      </c>
      <c r="N40" s="347">
        <v>13205</v>
      </c>
      <c r="O40" s="348">
        <v>78</v>
      </c>
      <c r="P40" s="348">
        <v>56</v>
      </c>
      <c r="Q40" s="348">
        <v>0</v>
      </c>
    </row>
    <row r="41" spans="1:17" ht="15" customHeight="1">
      <c r="A41" s="191"/>
      <c r="B41" s="346" t="s">
        <v>297</v>
      </c>
      <c r="C41" s="342"/>
      <c r="D41" s="347">
        <v>3973</v>
      </c>
      <c r="E41" s="348">
        <v>54</v>
      </c>
      <c r="F41" s="348">
        <v>152</v>
      </c>
      <c r="G41" s="348">
        <v>218</v>
      </c>
      <c r="H41" s="348">
        <v>249</v>
      </c>
      <c r="I41" s="348">
        <v>658</v>
      </c>
      <c r="J41" s="347">
        <v>1457</v>
      </c>
      <c r="K41" s="348">
        <v>104</v>
      </c>
      <c r="L41" s="348">
        <v>171</v>
      </c>
      <c r="M41" s="348">
        <v>806</v>
      </c>
      <c r="N41" s="348">
        <v>104</v>
      </c>
      <c r="O41" s="348">
        <v>1</v>
      </c>
      <c r="P41" s="348">
        <v>0</v>
      </c>
      <c r="Q41" s="348">
        <v>0</v>
      </c>
    </row>
    <row r="42" spans="1:17" ht="15" customHeight="1">
      <c r="A42" s="191"/>
      <c r="B42" s="346" t="s">
        <v>298</v>
      </c>
      <c r="C42" s="342"/>
      <c r="D42" s="348">
        <v>20</v>
      </c>
      <c r="E42" s="348">
        <v>0</v>
      </c>
      <c r="F42" s="348">
        <v>0</v>
      </c>
      <c r="G42" s="348">
        <v>20</v>
      </c>
      <c r="H42" s="348">
        <v>0</v>
      </c>
      <c r="I42" s="348">
        <v>0</v>
      </c>
      <c r="J42" s="348">
        <v>0</v>
      </c>
      <c r="K42" s="348">
        <v>0</v>
      </c>
      <c r="L42" s="348">
        <v>0</v>
      </c>
      <c r="M42" s="348">
        <v>0</v>
      </c>
      <c r="N42" s="348">
        <v>0</v>
      </c>
      <c r="O42" s="348">
        <v>0</v>
      </c>
      <c r="P42" s="348">
        <v>0</v>
      </c>
      <c r="Q42" s="348">
        <v>0</v>
      </c>
    </row>
    <row r="43" spans="1:17" ht="15" customHeight="1">
      <c r="A43" s="191"/>
      <c r="B43" s="346" t="s">
        <v>299</v>
      </c>
      <c r="C43" s="342"/>
      <c r="D43" s="348">
        <v>108</v>
      </c>
      <c r="E43" s="348">
        <v>0</v>
      </c>
      <c r="F43" s="348">
        <v>0</v>
      </c>
      <c r="G43" s="348">
        <v>0</v>
      </c>
      <c r="H43" s="348">
        <v>0</v>
      </c>
      <c r="I43" s="348">
        <v>0</v>
      </c>
      <c r="J43" s="348">
        <v>108</v>
      </c>
      <c r="K43" s="348">
        <v>0</v>
      </c>
      <c r="L43" s="348">
        <v>0</v>
      </c>
      <c r="M43" s="348">
        <v>0</v>
      </c>
      <c r="N43" s="348">
        <v>0</v>
      </c>
      <c r="O43" s="348">
        <v>0</v>
      </c>
      <c r="P43" s="348">
        <v>0</v>
      </c>
      <c r="Q43" s="348">
        <v>0</v>
      </c>
    </row>
    <row r="44" spans="1:17" ht="15" customHeight="1">
      <c r="A44" s="191"/>
      <c r="B44" s="346" t="s">
        <v>300</v>
      </c>
      <c r="C44" s="342"/>
      <c r="D44" s="347">
        <v>51365</v>
      </c>
      <c r="E44" s="348">
        <v>584</v>
      </c>
      <c r="F44" s="348">
        <v>117</v>
      </c>
      <c r="G44" s="347">
        <v>2006</v>
      </c>
      <c r="H44" s="347">
        <v>2849</v>
      </c>
      <c r="I44" s="347">
        <v>3018</v>
      </c>
      <c r="J44" s="347">
        <v>25516</v>
      </c>
      <c r="K44" s="348">
        <v>501</v>
      </c>
      <c r="L44" s="347">
        <v>3159</v>
      </c>
      <c r="M44" s="347">
        <v>11107</v>
      </c>
      <c r="N44" s="347">
        <v>2291</v>
      </c>
      <c r="O44" s="348">
        <v>33</v>
      </c>
      <c r="P44" s="348">
        <v>127</v>
      </c>
      <c r="Q44" s="348">
        <v>54</v>
      </c>
    </row>
    <row r="45" spans="1:17">
      <c r="A45" s="191"/>
      <c r="B45" s="348"/>
      <c r="C45" s="349" t="s">
        <v>301</v>
      </c>
      <c r="D45" s="347">
        <v>25491</v>
      </c>
      <c r="E45" s="348">
        <v>490</v>
      </c>
      <c r="F45" s="348">
        <v>67</v>
      </c>
      <c r="G45" s="347">
        <v>1686</v>
      </c>
      <c r="H45" s="347">
        <v>2068</v>
      </c>
      <c r="I45" s="348">
        <v>959</v>
      </c>
      <c r="J45" s="347">
        <v>9101</v>
      </c>
      <c r="K45" s="348">
        <v>250</v>
      </c>
      <c r="L45" s="347">
        <v>2173</v>
      </c>
      <c r="M45" s="347">
        <v>7780</v>
      </c>
      <c r="N45" s="348">
        <v>897</v>
      </c>
      <c r="O45" s="348">
        <v>0</v>
      </c>
      <c r="P45" s="348">
        <v>0</v>
      </c>
      <c r="Q45" s="348">
        <v>0</v>
      </c>
    </row>
    <row r="46" spans="1:17">
      <c r="A46" s="191"/>
      <c r="B46" s="348"/>
      <c r="C46" s="349" t="s">
        <v>302</v>
      </c>
      <c r="D46" s="347">
        <v>12665</v>
      </c>
      <c r="E46" s="348">
        <v>0</v>
      </c>
      <c r="F46" s="348">
        <v>0</v>
      </c>
      <c r="G46" s="348">
        <v>0</v>
      </c>
      <c r="H46" s="350" t="s">
        <v>303</v>
      </c>
      <c r="I46" s="350" t="s">
        <v>308</v>
      </c>
      <c r="J46" s="347">
        <v>11990</v>
      </c>
      <c r="K46" s="348">
        <v>0</v>
      </c>
      <c r="L46" s="348">
        <v>0</v>
      </c>
      <c r="M46" s="348">
        <v>0</v>
      </c>
      <c r="N46" s="348">
        <v>0</v>
      </c>
      <c r="O46" s="348">
        <v>0</v>
      </c>
      <c r="P46" s="348">
        <v>0</v>
      </c>
      <c r="Q46" s="348">
        <v>0</v>
      </c>
    </row>
    <row r="47" spans="1:17">
      <c r="A47" s="191"/>
      <c r="B47" s="348"/>
      <c r="C47" s="349" t="s">
        <v>313</v>
      </c>
      <c r="D47" s="347">
        <v>12406</v>
      </c>
      <c r="E47" s="348">
        <v>43</v>
      </c>
      <c r="F47" s="348">
        <v>50</v>
      </c>
      <c r="G47" s="348">
        <v>320</v>
      </c>
      <c r="H47" s="348">
        <v>779</v>
      </c>
      <c r="I47" s="347">
        <v>1252</v>
      </c>
      <c r="J47" s="347">
        <v>4340</v>
      </c>
      <c r="K47" s="348">
        <v>241</v>
      </c>
      <c r="L47" s="348">
        <v>981</v>
      </c>
      <c r="M47" s="347">
        <v>3037</v>
      </c>
      <c r="N47" s="347">
        <v>1343</v>
      </c>
      <c r="O47" s="348">
        <v>0</v>
      </c>
      <c r="P47" s="348">
        <v>19</v>
      </c>
      <c r="Q47" s="348">
        <v>0</v>
      </c>
    </row>
    <row r="48" spans="1:17">
      <c r="A48" s="191"/>
      <c r="B48" s="348"/>
      <c r="C48" s="349" t="s">
        <v>314</v>
      </c>
      <c r="D48" s="348">
        <v>803</v>
      </c>
      <c r="E48" s="348">
        <v>51</v>
      </c>
      <c r="F48" s="348">
        <v>0</v>
      </c>
      <c r="G48" s="348">
        <v>0</v>
      </c>
      <c r="H48" s="348">
        <v>3</v>
      </c>
      <c r="I48" s="348">
        <v>131</v>
      </c>
      <c r="J48" s="348">
        <v>85</v>
      </c>
      <c r="K48" s="348">
        <v>10</v>
      </c>
      <c r="L48" s="348">
        <v>5</v>
      </c>
      <c r="M48" s="348">
        <v>271</v>
      </c>
      <c r="N48" s="348">
        <v>51</v>
      </c>
      <c r="O48" s="348">
        <v>33</v>
      </c>
      <c r="P48" s="348">
        <v>107</v>
      </c>
      <c r="Q48" s="348">
        <v>54</v>
      </c>
    </row>
    <row r="49" spans="1:17" ht="15" customHeight="1">
      <c r="A49" s="191"/>
      <c r="B49" s="351" t="s">
        <v>315</v>
      </c>
      <c r="C49" s="342"/>
      <c r="D49" s="352">
        <v>130543</v>
      </c>
      <c r="E49" s="352">
        <v>7419</v>
      </c>
      <c r="F49" s="353">
        <v>269</v>
      </c>
      <c r="G49" s="352">
        <v>2618</v>
      </c>
      <c r="H49" s="352">
        <v>4045</v>
      </c>
      <c r="I49" s="352">
        <v>42115</v>
      </c>
      <c r="J49" s="352">
        <v>35487</v>
      </c>
      <c r="K49" s="352">
        <v>5659</v>
      </c>
      <c r="L49" s="352">
        <v>4186</v>
      </c>
      <c r="M49" s="352">
        <v>12796</v>
      </c>
      <c r="N49" s="352">
        <v>15600</v>
      </c>
      <c r="O49" s="353">
        <v>112</v>
      </c>
      <c r="P49" s="353">
        <v>183</v>
      </c>
      <c r="Q49" s="353">
        <v>54</v>
      </c>
    </row>
  </sheetData>
  <mergeCells count="10">
    <mergeCell ref="B44:C44"/>
    <mergeCell ref="B49:C49"/>
    <mergeCell ref="B1:O1"/>
    <mergeCell ref="B38:C38"/>
    <mergeCell ref="B42:C42"/>
    <mergeCell ref="B39:C39"/>
    <mergeCell ref="D39:Q39"/>
    <mergeCell ref="B40:C40"/>
    <mergeCell ref="B41:C41"/>
    <mergeCell ref="B43:C43"/>
  </mergeCells>
  <hyperlinks>
    <hyperlink ref="C11" r:id="rId1"/>
    <hyperlink ref="H46" r:id="rId2" location="cite_note-22"/>
    <hyperlink ref="I46" r:id="rId3" location="cite_note-23"/>
  </hyperlinks>
  <pageMargins left="0.7" right="0.7" top="0.75" bottom="0.75" header="0.3" footer="0.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
  <sheetViews>
    <sheetView showGridLines="0" topLeftCell="A10" workbookViewId="0">
      <selection activeCell="F31" sqref="F31"/>
    </sheetView>
  </sheetViews>
  <sheetFormatPr defaultColWidth="17.28515625" defaultRowHeight="15" customHeight="1"/>
  <cols>
    <col min="1" max="1" width="2.42578125" style="192" customWidth="1"/>
    <col min="2" max="2" width="11.42578125" customWidth="1"/>
    <col min="3" max="3" width="13.28515625" customWidth="1"/>
    <col min="4" max="4" width="12.140625" customWidth="1"/>
    <col min="5" max="7" width="11.42578125" customWidth="1"/>
    <col min="8" max="8" width="12.42578125" customWidth="1"/>
    <col min="9" max="9" width="15.140625" customWidth="1"/>
    <col min="10" max="10" width="11.42578125" customWidth="1"/>
    <col min="11" max="19" width="11.42578125" style="192" customWidth="1"/>
    <col min="20" max="20" width="11.42578125" customWidth="1"/>
  </cols>
  <sheetData>
    <row r="1" spans="1:20" s="192" customFormat="1" ht="12.75" customHeight="1">
      <c r="A1" s="355"/>
      <c r="B1" s="355"/>
      <c r="C1" s="355"/>
      <c r="D1" s="355"/>
      <c r="E1" s="355"/>
      <c r="F1" s="355"/>
      <c r="G1" s="355"/>
      <c r="H1" s="355"/>
      <c r="I1" s="355"/>
      <c r="J1" s="355"/>
      <c r="K1" s="355"/>
      <c r="L1" s="355"/>
      <c r="M1" s="355"/>
      <c r="N1" s="355"/>
      <c r="O1" s="355"/>
      <c r="P1" s="355"/>
      <c r="Q1" s="355"/>
      <c r="R1" s="356"/>
      <c r="S1" s="356"/>
      <c r="T1" s="356"/>
    </row>
    <row r="2" spans="1:20" ht="20.25" customHeight="1">
      <c r="A2" s="355"/>
      <c r="B2" s="28" t="s">
        <v>35</v>
      </c>
      <c r="C2" s="29"/>
      <c r="D2" s="29"/>
      <c r="E2" s="29"/>
      <c r="F2" s="29"/>
      <c r="G2" s="29"/>
      <c r="H2" s="29"/>
      <c r="I2" s="29"/>
      <c r="J2" s="29"/>
      <c r="K2" s="355"/>
      <c r="L2" s="355"/>
      <c r="M2" s="355"/>
      <c r="N2" s="355"/>
      <c r="O2" s="355"/>
      <c r="P2" s="355"/>
      <c r="Q2" s="355"/>
      <c r="R2" s="356"/>
      <c r="S2" s="356"/>
      <c r="T2" s="27"/>
    </row>
    <row r="3" spans="1:20" ht="12.75" customHeight="1">
      <c r="A3" s="355"/>
      <c r="B3" s="27"/>
      <c r="C3" s="27"/>
      <c r="D3" s="27"/>
      <c r="E3" s="27"/>
      <c r="F3" s="27"/>
      <c r="G3" s="27"/>
      <c r="H3" s="27"/>
      <c r="I3" s="27"/>
      <c r="J3" s="27"/>
      <c r="K3" s="355"/>
      <c r="L3" s="355"/>
      <c r="M3" s="355"/>
      <c r="N3" s="355"/>
      <c r="O3" s="355"/>
      <c r="P3" s="355"/>
      <c r="Q3" s="355"/>
      <c r="R3" s="356"/>
      <c r="S3" s="356"/>
      <c r="T3" s="27"/>
    </row>
    <row r="4" spans="1:20" ht="12.75" customHeight="1">
      <c r="A4" s="355"/>
      <c r="B4" s="41"/>
      <c r="C4" s="27" t="s">
        <v>68</v>
      </c>
      <c r="D4" s="27"/>
      <c r="E4" s="27"/>
      <c r="F4" s="27"/>
      <c r="G4" s="27"/>
      <c r="H4" s="27"/>
      <c r="I4" s="27"/>
      <c r="J4" s="27"/>
      <c r="K4" s="355"/>
      <c r="L4" s="355"/>
      <c r="M4" s="355"/>
      <c r="N4" s="355"/>
      <c r="O4" s="355"/>
      <c r="P4" s="355"/>
      <c r="Q4" s="355"/>
      <c r="R4" s="356"/>
      <c r="S4" s="356"/>
      <c r="T4" s="27"/>
    </row>
    <row r="5" spans="1:20" ht="12.75" customHeight="1">
      <c r="A5" s="355"/>
      <c r="B5" s="44"/>
      <c r="C5" s="27" t="s">
        <v>71</v>
      </c>
      <c r="D5" s="27"/>
      <c r="E5" s="27"/>
      <c r="F5" s="27"/>
      <c r="G5" s="27"/>
      <c r="H5" s="27"/>
      <c r="I5" s="27"/>
      <c r="J5" s="27"/>
      <c r="K5" s="355"/>
      <c r="L5" s="355"/>
      <c r="M5" s="355"/>
      <c r="N5" s="355"/>
      <c r="O5" s="355"/>
      <c r="P5" s="355"/>
      <c r="Q5" s="355"/>
      <c r="R5" s="356"/>
      <c r="S5" s="356"/>
      <c r="T5" s="27"/>
    </row>
    <row r="6" spans="1:20" ht="12.75" customHeight="1">
      <c r="A6" s="355"/>
      <c r="B6" s="27"/>
      <c r="C6" s="27"/>
      <c r="D6" s="27"/>
      <c r="E6" s="27"/>
      <c r="F6" s="27"/>
      <c r="G6" s="27"/>
      <c r="H6" s="27"/>
      <c r="I6" s="27"/>
      <c r="J6" s="27"/>
      <c r="K6" s="355"/>
      <c r="L6" s="355"/>
      <c r="M6" s="355"/>
      <c r="N6" s="355"/>
      <c r="O6" s="355"/>
      <c r="P6" s="355"/>
      <c r="Q6" s="355"/>
      <c r="R6" s="356"/>
      <c r="S6" s="356"/>
      <c r="T6" s="27"/>
    </row>
    <row r="7" spans="1:20" ht="15.75" customHeight="1">
      <c r="A7" s="355"/>
      <c r="B7" s="51" t="s">
        <v>72</v>
      </c>
      <c r="C7" s="27"/>
      <c r="D7" s="51" t="s">
        <v>89</v>
      </c>
      <c r="E7" s="27"/>
      <c r="F7" s="27"/>
      <c r="G7" s="27"/>
      <c r="H7" s="27"/>
      <c r="I7" s="27"/>
      <c r="J7" s="27"/>
      <c r="K7" s="355"/>
      <c r="L7" s="355"/>
      <c r="M7" s="355"/>
      <c r="N7" s="355"/>
      <c r="O7" s="355"/>
      <c r="P7" s="355"/>
      <c r="Q7" s="355"/>
      <c r="R7" s="356"/>
      <c r="S7" s="356"/>
      <c r="T7" s="27"/>
    </row>
    <row r="8" spans="1:20" ht="12.75" customHeight="1">
      <c r="A8" s="355"/>
      <c r="B8" s="27"/>
      <c r="C8" s="27"/>
      <c r="D8" s="27"/>
      <c r="E8" s="27"/>
      <c r="F8" s="27"/>
      <c r="G8" s="27"/>
      <c r="H8" s="27"/>
      <c r="I8" s="27"/>
      <c r="J8" s="27"/>
      <c r="K8" s="355"/>
      <c r="L8" s="355"/>
      <c r="M8" s="355"/>
      <c r="N8" s="355"/>
      <c r="O8" s="355"/>
      <c r="P8" s="355"/>
      <c r="Q8" s="355"/>
      <c r="R8" s="356"/>
      <c r="S8" s="356"/>
      <c r="T8" s="27"/>
    </row>
    <row r="9" spans="1:20" ht="17.25" customHeight="1">
      <c r="A9" s="357"/>
      <c r="B9" s="186" t="s">
        <v>108</v>
      </c>
      <c r="C9" s="360"/>
      <c r="D9" s="360"/>
      <c r="E9" s="360"/>
      <c r="F9" s="360"/>
      <c r="G9" s="360"/>
      <c r="H9" s="361"/>
      <c r="I9" s="69">
        <f>I10*I11*I12*I13</f>
        <v>1174665803143.3186</v>
      </c>
      <c r="J9" s="77" t="s">
        <v>187</v>
      </c>
      <c r="K9" s="357"/>
      <c r="L9" s="357"/>
      <c r="M9" s="357"/>
      <c r="N9" s="357"/>
      <c r="O9" s="357"/>
      <c r="P9" s="357"/>
      <c r="Q9" s="357"/>
      <c r="R9" s="358"/>
      <c r="S9" s="358"/>
      <c r="T9" s="77"/>
    </row>
    <row r="10" spans="1:20" ht="17.25" customHeight="1">
      <c r="A10" s="357"/>
      <c r="B10" s="186" t="s">
        <v>206</v>
      </c>
      <c r="C10" s="360"/>
      <c r="D10" s="360"/>
      <c r="E10" s="360"/>
      <c r="F10" s="360"/>
      <c r="G10" s="360"/>
      <c r="H10" s="361"/>
      <c r="I10" s="79">
        <f>Summary!C57</f>
        <v>6309000000</v>
      </c>
      <c r="J10" s="77" t="s">
        <v>207</v>
      </c>
      <c r="K10" s="357"/>
      <c r="L10" s="357"/>
      <c r="M10" s="357"/>
      <c r="N10" s="357"/>
      <c r="O10" s="357"/>
      <c r="P10" s="357"/>
      <c r="Q10" s="357"/>
      <c r="R10" s="358"/>
      <c r="S10" s="358"/>
      <c r="T10" s="77"/>
    </row>
    <row r="11" spans="1:20" ht="17.25" customHeight="1">
      <c r="A11" s="357"/>
      <c r="B11" s="186" t="s">
        <v>208</v>
      </c>
      <c r="C11" s="360"/>
      <c r="D11" s="360"/>
      <c r="E11" s="360"/>
      <c r="F11" s="360"/>
      <c r="G11" s="360"/>
      <c r="H11" s="361"/>
      <c r="I11" s="81">
        <f>Summary!C60</f>
        <v>0.2</v>
      </c>
      <c r="J11" s="77"/>
      <c r="K11" s="357"/>
      <c r="L11" s="357"/>
      <c r="M11" s="357"/>
      <c r="N11" s="357"/>
      <c r="O11" s="357"/>
      <c r="P11" s="357"/>
      <c r="Q11" s="357"/>
      <c r="R11" s="358"/>
      <c r="S11" s="358"/>
      <c r="T11" s="77"/>
    </row>
    <row r="12" spans="1:20" ht="17.25" customHeight="1">
      <c r="A12" s="357"/>
      <c r="B12" s="186" t="s">
        <v>209</v>
      </c>
      <c r="C12" s="360"/>
      <c r="D12" s="360"/>
      <c r="E12" s="360"/>
      <c r="F12" s="360"/>
      <c r="G12" s="360"/>
      <c r="H12" s="361"/>
      <c r="I12" s="93">
        <f>Summary!C64</f>
        <v>1242.0138888888887</v>
      </c>
      <c r="J12" s="77" t="s">
        <v>217</v>
      </c>
      <c r="K12" s="357"/>
      <c r="L12" s="357"/>
      <c r="M12" s="357"/>
      <c r="N12" s="357"/>
      <c r="O12" s="357"/>
      <c r="P12" s="357"/>
      <c r="Q12" s="357"/>
      <c r="R12" s="358"/>
      <c r="S12" s="358"/>
      <c r="T12" s="77"/>
    </row>
    <row r="13" spans="1:20" ht="17.25" customHeight="1">
      <c r="A13" s="357"/>
      <c r="B13" s="186" t="s">
        <v>218</v>
      </c>
      <c r="C13" s="360"/>
      <c r="D13" s="360"/>
      <c r="E13" s="360"/>
      <c r="F13" s="360"/>
      <c r="G13" s="360"/>
      <c r="H13" s="361"/>
      <c r="I13" s="94">
        <f>(1-I18)*(1-I19)*(1-I20)*(1-I21)*(1-I22)*(1-I23)*(1-I24)*(1-I25)</f>
        <v>0.7495443766899198</v>
      </c>
      <c r="J13" s="77"/>
      <c r="K13" s="357"/>
      <c r="L13" s="357"/>
      <c r="M13" s="357"/>
      <c r="N13" s="357"/>
      <c r="O13" s="357"/>
      <c r="P13" s="357"/>
      <c r="Q13" s="357"/>
      <c r="R13" s="358"/>
      <c r="S13" s="358"/>
      <c r="T13" s="77"/>
    </row>
    <row r="14" spans="1:20" ht="12.75" customHeight="1">
      <c r="A14" s="355"/>
      <c r="B14" s="27"/>
      <c r="C14" s="27"/>
      <c r="D14" s="27"/>
      <c r="E14" s="27"/>
      <c r="F14" s="27"/>
      <c r="G14" s="27"/>
      <c r="H14" s="27"/>
      <c r="I14" s="27"/>
      <c r="J14" s="27"/>
      <c r="K14" s="355"/>
      <c r="L14" s="355"/>
      <c r="M14" s="355"/>
      <c r="N14" s="355"/>
      <c r="O14" s="355"/>
      <c r="P14" s="355"/>
      <c r="Q14" s="355"/>
      <c r="R14" s="356"/>
      <c r="S14" s="356"/>
      <c r="T14" s="27"/>
    </row>
    <row r="15" spans="1:20" ht="12.75" customHeight="1">
      <c r="A15" s="355"/>
      <c r="B15" s="27"/>
      <c r="C15" s="27"/>
      <c r="D15" s="27"/>
      <c r="E15" s="27"/>
      <c r="F15" s="27"/>
      <c r="G15" s="185" t="s">
        <v>221</v>
      </c>
      <c r="H15" s="179"/>
      <c r="I15" s="102">
        <f>1000*I9/(24*365*1000000000)</f>
        <v>134.094269765219</v>
      </c>
      <c r="J15" s="104" t="s">
        <v>235</v>
      </c>
      <c r="K15" s="359"/>
      <c r="L15" s="234"/>
      <c r="M15" s="234"/>
      <c r="N15" s="234"/>
      <c r="O15" s="234"/>
      <c r="P15" s="234"/>
      <c r="Q15" s="355"/>
      <c r="R15" s="356"/>
      <c r="S15" s="356"/>
      <c r="T15" s="27"/>
    </row>
    <row r="16" spans="1:20" ht="13.5" customHeight="1">
      <c r="A16" s="355"/>
      <c r="B16" s="27"/>
      <c r="C16" s="27"/>
      <c r="D16" s="27"/>
      <c r="E16" s="27"/>
      <c r="F16" s="27"/>
      <c r="G16" s="27"/>
      <c r="H16" s="27"/>
      <c r="I16" s="27"/>
      <c r="J16" s="27"/>
      <c r="K16" s="359"/>
      <c r="L16" s="234"/>
      <c r="M16" s="234"/>
      <c r="N16" s="234"/>
      <c r="O16" s="234"/>
      <c r="P16" s="234"/>
      <c r="Q16" s="355"/>
      <c r="R16" s="356"/>
      <c r="S16" s="356"/>
      <c r="T16" s="27"/>
    </row>
    <row r="17" spans="1:20" ht="12.75" customHeight="1">
      <c r="A17" s="355"/>
      <c r="B17" s="107" t="s">
        <v>239</v>
      </c>
      <c r="C17" s="27"/>
      <c r="D17" s="27"/>
      <c r="E17" s="27"/>
      <c r="F17" s="27"/>
      <c r="G17" s="27"/>
      <c r="H17" s="27"/>
      <c r="I17" s="27"/>
      <c r="J17" s="27"/>
      <c r="K17" s="355"/>
      <c r="L17" s="355"/>
      <c r="M17" s="355"/>
      <c r="N17" s="355"/>
      <c r="O17" s="355"/>
      <c r="P17" s="355"/>
      <c r="Q17" s="355"/>
      <c r="R17" s="356"/>
      <c r="S17" s="356"/>
      <c r="T17" s="27"/>
    </row>
    <row r="18" spans="1:20" ht="12.75" customHeight="1">
      <c r="A18" s="355"/>
      <c r="B18" s="109" t="s">
        <v>246</v>
      </c>
      <c r="C18" s="110" t="s">
        <v>248</v>
      </c>
      <c r="D18" s="27"/>
      <c r="E18" s="27"/>
      <c r="F18" s="27"/>
      <c r="G18" s="27"/>
      <c r="H18" s="27"/>
      <c r="I18" s="111">
        <v>0.08</v>
      </c>
      <c r="J18" s="27"/>
      <c r="K18" s="355"/>
      <c r="L18" s="355"/>
      <c r="M18" s="355"/>
      <c r="N18" s="355"/>
      <c r="O18" s="355"/>
      <c r="P18" s="355"/>
      <c r="Q18" s="355"/>
      <c r="R18" s="356"/>
      <c r="S18" s="356"/>
      <c r="T18" s="27"/>
    </row>
    <row r="19" spans="1:20" ht="12.75" customHeight="1">
      <c r="A19" s="355"/>
      <c r="B19" s="109" t="s">
        <v>246</v>
      </c>
      <c r="C19" s="110" t="s">
        <v>249</v>
      </c>
      <c r="D19" s="27"/>
      <c r="E19" s="27"/>
      <c r="F19" s="27"/>
      <c r="G19" s="27"/>
      <c r="H19" s="27"/>
      <c r="I19" s="111">
        <v>0.08</v>
      </c>
      <c r="J19" s="27"/>
      <c r="K19" s="355"/>
      <c r="L19" s="355"/>
      <c r="M19" s="355"/>
      <c r="N19" s="355"/>
      <c r="O19" s="355"/>
      <c r="P19" s="355"/>
      <c r="Q19" s="355"/>
      <c r="R19" s="356"/>
      <c r="S19" s="356"/>
      <c r="T19" s="27"/>
    </row>
    <row r="20" spans="1:20" ht="12.75" customHeight="1">
      <c r="A20" s="355"/>
      <c r="B20" s="109" t="s">
        <v>246</v>
      </c>
      <c r="C20" s="110" t="s">
        <v>250</v>
      </c>
      <c r="D20" s="27"/>
      <c r="E20" s="27"/>
      <c r="F20" s="27"/>
      <c r="G20" s="27"/>
      <c r="H20" s="27"/>
      <c r="I20" s="111">
        <v>0.02</v>
      </c>
      <c r="J20" s="27"/>
      <c r="K20" s="355"/>
      <c r="L20" s="355"/>
      <c r="M20" s="355"/>
      <c r="N20" s="355"/>
      <c r="O20" s="355"/>
      <c r="P20" s="355"/>
      <c r="Q20" s="355"/>
      <c r="R20" s="356"/>
      <c r="S20" s="356"/>
      <c r="T20" s="27"/>
    </row>
    <row r="21" spans="1:20" ht="12.75" customHeight="1">
      <c r="A21" s="355"/>
      <c r="B21" s="109" t="s">
        <v>246</v>
      </c>
      <c r="C21" s="110" t="s">
        <v>251</v>
      </c>
      <c r="D21" s="27"/>
      <c r="E21" s="27"/>
      <c r="F21" s="27"/>
      <c r="G21" s="27"/>
      <c r="H21" s="27"/>
      <c r="I21" s="111">
        <v>0.02</v>
      </c>
      <c r="J21" s="27"/>
      <c r="K21" s="355"/>
      <c r="L21" s="355"/>
      <c r="M21" s="355"/>
      <c r="N21" s="355"/>
      <c r="O21" s="355"/>
      <c r="P21" s="355"/>
      <c r="Q21" s="355"/>
      <c r="R21" s="356"/>
      <c r="S21" s="356"/>
      <c r="T21" s="27"/>
    </row>
    <row r="22" spans="1:20" ht="12.75" customHeight="1">
      <c r="A22" s="355"/>
      <c r="B22" s="109" t="s">
        <v>246</v>
      </c>
      <c r="C22" s="110" t="s">
        <v>252</v>
      </c>
      <c r="D22" s="27"/>
      <c r="E22" s="27"/>
      <c r="F22" s="27"/>
      <c r="G22" s="27"/>
      <c r="H22" s="27"/>
      <c r="I22" s="111">
        <v>0.03</v>
      </c>
      <c r="J22" s="27"/>
      <c r="K22" s="355"/>
      <c r="L22" s="355"/>
      <c r="M22" s="355"/>
      <c r="N22" s="355"/>
      <c r="O22" s="355"/>
      <c r="P22" s="355"/>
      <c r="Q22" s="355"/>
      <c r="R22" s="356"/>
      <c r="S22" s="356"/>
      <c r="T22" s="27"/>
    </row>
    <row r="23" spans="1:20" ht="12.75" customHeight="1">
      <c r="A23" s="355"/>
      <c r="B23" s="109" t="s">
        <v>246</v>
      </c>
      <c r="C23" s="110" t="s">
        <v>253</v>
      </c>
      <c r="D23" s="27"/>
      <c r="E23" s="27"/>
      <c r="F23" s="27"/>
      <c r="G23" s="27"/>
      <c r="H23" s="27"/>
      <c r="I23" s="111">
        <v>0.03</v>
      </c>
      <c r="J23" s="27"/>
      <c r="K23" s="355"/>
      <c r="L23" s="355"/>
      <c r="M23" s="355"/>
      <c r="N23" s="355"/>
      <c r="O23" s="355"/>
      <c r="P23" s="355"/>
      <c r="Q23" s="355"/>
      <c r="R23" s="356"/>
      <c r="S23" s="356"/>
      <c r="T23" s="27"/>
    </row>
    <row r="24" spans="1:20" ht="12.75" customHeight="1">
      <c r="A24" s="355"/>
      <c r="B24" s="109" t="s">
        <v>246</v>
      </c>
      <c r="C24" s="110" t="s">
        <v>254</v>
      </c>
      <c r="D24" s="27"/>
      <c r="E24" s="27"/>
      <c r="F24" s="27"/>
      <c r="G24" s="27"/>
      <c r="H24" s="27"/>
      <c r="I24" s="111">
        <v>0.02</v>
      </c>
      <c r="J24" s="27"/>
      <c r="K24" s="355"/>
      <c r="L24" s="355"/>
      <c r="M24" s="355"/>
      <c r="N24" s="355"/>
      <c r="O24" s="355"/>
      <c r="P24" s="355"/>
      <c r="Q24" s="355"/>
      <c r="R24" s="356"/>
      <c r="S24" s="356"/>
      <c r="T24" s="27"/>
    </row>
    <row r="25" spans="1:20" ht="12.75" customHeight="1">
      <c r="A25" s="355"/>
      <c r="B25" s="109" t="s">
        <v>246</v>
      </c>
      <c r="C25" s="110" t="s">
        <v>255</v>
      </c>
      <c r="D25" s="27"/>
      <c r="E25" s="27"/>
      <c r="F25" s="27"/>
      <c r="G25" s="27"/>
      <c r="H25" s="27"/>
      <c r="I25" s="111">
        <v>0</v>
      </c>
      <c r="J25" s="27"/>
      <c r="K25" s="355"/>
      <c r="L25" s="355"/>
      <c r="M25" s="355"/>
      <c r="N25" s="355"/>
      <c r="O25" s="355"/>
      <c r="P25" s="355"/>
      <c r="Q25" s="355"/>
      <c r="R25" s="356"/>
      <c r="S25" s="356"/>
      <c r="T25" s="27"/>
    </row>
    <row r="26" spans="1:20" ht="12.75" customHeight="1">
      <c r="A26" s="355"/>
      <c r="B26" s="27"/>
      <c r="C26" s="27"/>
      <c r="D26" s="27"/>
      <c r="E26" s="27"/>
      <c r="F26" s="27"/>
      <c r="G26" s="27"/>
      <c r="H26" s="27"/>
      <c r="I26" s="27"/>
      <c r="J26" s="27"/>
      <c r="K26" s="355"/>
      <c r="L26" s="355"/>
      <c r="M26" s="355"/>
      <c r="N26" s="355"/>
      <c r="O26" s="355"/>
      <c r="P26" s="355"/>
      <c r="Q26" s="355"/>
      <c r="R26" s="356"/>
      <c r="S26" s="356"/>
      <c r="T26" s="27"/>
    </row>
    <row r="27" spans="1:20" ht="12.75" customHeight="1">
      <c r="A27" s="355"/>
      <c r="B27" s="27"/>
      <c r="C27" s="27"/>
      <c r="D27" s="27"/>
      <c r="E27" s="27"/>
      <c r="F27" s="27"/>
      <c r="G27" s="27"/>
      <c r="H27" s="27"/>
      <c r="I27" s="27"/>
      <c r="J27" s="27"/>
      <c r="K27" s="355"/>
      <c r="L27" s="355"/>
      <c r="M27" s="355"/>
      <c r="N27" s="355"/>
      <c r="O27" s="355"/>
      <c r="P27" s="355"/>
      <c r="Q27" s="355"/>
      <c r="R27" s="356"/>
      <c r="S27" s="356"/>
      <c r="T27" s="27"/>
    </row>
    <row r="28" spans="1:20" ht="12.75" customHeight="1">
      <c r="A28" s="355"/>
      <c r="B28" s="27"/>
      <c r="C28" s="27"/>
      <c r="D28" s="27"/>
      <c r="E28" s="27"/>
      <c r="F28" s="27"/>
      <c r="G28" s="27"/>
      <c r="H28" s="27"/>
      <c r="I28" s="27"/>
      <c r="J28" s="27"/>
      <c r="K28" s="355"/>
      <c r="L28" s="355"/>
      <c r="M28" s="355"/>
      <c r="N28" s="355"/>
      <c r="O28" s="355"/>
      <c r="P28" s="355"/>
      <c r="Q28" s="355"/>
      <c r="R28" s="356"/>
      <c r="S28" s="356"/>
      <c r="T28" s="27"/>
    </row>
    <row r="29" spans="1:20" ht="12.75" customHeight="1">
      <c r="A29" s="355"/>
      <c r="B29" s="27"/>
      <c r="C29" s="27"/>
      <c r="D29" s="27"/>
      <c r="E29" s="27"/>
      <c r="F29" s="27"/>
      <c r="G29" s="27"/>
      <c r="H29" s="27"/>
      <c r="I29" s="27"/>
      <c r="J29" s="27"/>
      <c r="K29" s="355"/>
      <c r="L29" s="355"/>
      <c r="M29" s="355"/>
      <c r="N29" s="355"/>
      <c r="O29" s="355"/>
      <c r="P29" s="355"/>
      <c r="Q29" s="355"/>
      <c r="R29" s="356"/>
      <c r="S29" s="356"/>
      <c r="T29" s="27"/>
    </row>
    <row r="30" spans="1:20" ht="12.75" customHeight="1">
      <c r="A30" s="355"/>
      <c r="B30" s="27"/>
      <c r="C30" s="27"/>
      <c r="D30" s="27"/>
      <c r="E30" s="27"/>
      <c r="F30" s="27"/>
      <c r="G30" s="27"/>
      <c r="H30" s="27"/>
      <c r="I30" s="27"/>
      <c r="J30" s="27"/>
      <c r="K30" s="355"/>
      <c r="L30" s="355"/>
      <c r="M30" s="355"/>
      <c r="N30" s="355"/>
      <c r="O30" s="355"/>
      <c r="P30" s="355"/>
      <c r="Q30" s="355"/>
      <c r="R30" s="356"/>
      <c r="S30" s="356"/>
      <c r="T30" s="27"/>
    </row>
    <row r="31" spans="1:20" ht="12.75" customHeight="1">
      <c r="A31" s="355"/>
      <c r="B31" s="27"/>
      <c r="C31" s="27"/>
      <c r="D31" s="27"/>
      <c r="E31" s="27"/>
      <c r="F31" s="27"/>
      <c r="G31" s="27"/>
      <c r="H31" s="27"/>
      <c r="I31" s="27"/>
      <c r="J31" s="27"/>
      <c r="K31" s="355"/>
      <c r="L31" s="355"/>
      <c r="M31" s="355"/>
      <c r="N31" s="355"/>
      <c r="O31" s="355"/>
      <c r="P31" s="355"/>
      <c r="Q31" s="355"/>
      <c r="R31" s="356"/>
      <c r="S31" s="356"/>
      <c r="T31" s="27"/>
    </row>
    <row r="32" spans="1:20" s="192" customFormat="1" ht="12.75" customHeight="1">
      <c r="A32" s="355"/>
      <c r="B32" s="355"/>
      <c r="C32" s="355"/>
      <c r="D32" s="355"/>
      <c r="E32" s="355"/>
      <c r="F32" s="355"/>
      <c r="G32" s="355"/>
      <c r="H32" s="355"/>
      <c r="I32" s="355"/>
      <c r="J32" s="355"/>
      <c r="K32" s="355"/>
      <c r="L32" s="355"/>
      <c r="M32" s="355"/>
      <c r="N32" s="355"/>
      <c r="O32" s="355"/>
      <c r="P32" s="355"/>
      <c r="Q32" s="355"/>
      <c r="R32" s="355"/>
      <c r="S32" s="355"/>
      <c r="T32" s="355"/>
    </row>
    <row r="33" s="192" customFormat="1" ht="15" customHeight="1"/>
    <row r="34" s="192" customFormat="1" ht="15" customHeight="1"/>
    <row r="35" s="192" customFormat="1" ht="15" customHeight="1"/>
  </sheetData>
  <mergeCells count="8">
    <mergeCell ref="G15:H15"/>
    <mergeCell ref="K15:P15"/>
    <mergeCell ref="K16:P16"/>
    <mergeCell ref="B9:H9"/>
    <mergeCell ref="B10:H10"/>
    <mergeCell ref="B11:H11"/>
    <mergeCell ref="B12:H12"/>
    <mergeCell ref="B13:H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showGridLines="0" topLeftCell="A48" workbookViewId="0">
      <selection activeCell="A49" sqref="A49"/>
    </sheetView>
  </sheetViews>
  <sheetFormatPr defaultColWidth="17.28515625" defaultRowHeight="15" customHeight="1"/>
  <cols>
    <col min="1" max="1" width="3.42578125" style="192" customWidth="1"/>
    <col min="2" max="2" width="15.7109375" customWidth="1"/>
    <col min="3" max="3" width="13.28515625" customWidth="1"/>
    <col min="4" max="14" width="8.85546875" customWidth="1"/>
  </cols>
  <sheetData>
    <row r="1" spans="1:14" ht="21" customHeight="1" thickBot="1">
      <c r="A1" s="222"/>
      <c r="B1" s="184" t="s">
        <v>10</v>
      </c>
      <c r="C1" s="179"/>
      <c r="D1" s="179"/>
      <c r="E1" s="179"/>
      <c r="F1" s="179"/>
      <c r="G1" s="179"/>
      <c r="H1" s="179"/>
      <c r="I1" s="179"/>
      <c r="J1" s="179"/>
      <c r="K1" s="179"/>
      <c r="L1" s="179"/>
      <c r="M1" s="179"/>
      <c r="N1" s="179"/>
    </row>
    <row r="2" spans="1:14" ht="15.75" customHeight="1" thickBot="1">
      <c r="A2" s="222"/>
      <c r="B2" s="26" t="s">
        <v>11</v>
      </c>
      <c r="C2" s="42" t="s">
        <v>33</v>
      </c>
      <c r="D2" s="226" t="s">
        <v>69</v>
      </c>
      <c r="E2" s="227"/>
      <c r="F2" s="227"/>
      <c r="G2" s="227"/>
      <c r="H2" s="227"/>
      <c r="I2" s="227"/>
      <c r="J2" s="227"/>
      <c r="K2" s="228"/>
      <c r="L2" s="228"/>
      <c r="M2" s="228"/>
      <c r="N2" s="228"/>
    </row>
    <row r="3" spans="1:14">
      <c r="A3" s="222"/>
      <c r="B3" s="53" t="s">
        <v>70</v>
      </c>
      <c r="C3" s="11" t="s">
        <v>90</v>
      </c>
      <c r="D3" s="2" t="s">
        <v>91</v>
      </c>
      <c r="E3" s="2"/>
      <c r="F3" s="2"/>
      <c r="G3" s="2"/>
      <c r="H3" s="2"/>
      <c r="I3" s="2"/>
      <c r="J3" s="2"/>
      <c r="K3" s="2"/>
      <c r="L3" s="2"/>
      <c r="M3" s="2"/>
      <c r="N3" s="2"/>
    </row>
    <row r="4" spans="1:14">
      <c r="A4" s="222"/>
      <c r="B4" s="53" t="s">
        <v>70</v>
      </c>
      <c r="C4" s="11" t="s">
        <v>92</v>
      </c>
      <c r="D4" s="2" t="s">
        <v>93</v>
      </c>
      <c r="E4" s="2"/>
      <c r="F4" s="2"/>
      <c r="G4" s="2"/>
      <c r="H4" s="2"/>
      <c r="I4" s="2"/>
      <c r="J4" s="2"/>
      <c r="K4" s="2"/>
      <c r="L4" s="2"/>
      <c r="M4" s="2"/>
      <c r="N4" s="2"/>
    </row>
    <row r="5" spans="1:14">
      <c r="A5" s="222"/>
      <c r="B5" s="53" t="s">
        <v>94</v>
      </c>
      <c r="C5" s="11" t="s">
        <v>95</v>
      </c>
      <c r="D5" s="2" t="s">
        <v>96</v>
      </c>
      <c r="E5" s="2"/>
      <c r="F5" s="2"/>
      <c r="G5" s="2"/>
      <c r="H5" s="2"/>
      <c r="I5" s="2"/>
      <c r="J5" s="2"/>
      <c r="K5" s="2"/>
      <c r="L5" s="2"/>
      <c r="M5" s="2"/>
      <c r="N5" s="2"/>
    </row>
    <row r="6" spans="1:14">
      <c r="A6" s="222"/>
      <c r="B6" s="53" t="s">
        <v>94</v>
      </c>
      <c r="C6" s="11" t="s">
        <v>95</v>
      </c>
      <c r="D6" s="2" t="s">
        <v>97</v>
      </c>
      <c r="E6" s="2"/>
      <c r="F6" s="2"/>
      <c r="G6" s="2"/>
      <c r="H6" s="2"/>
      <c r="I6" s="2"/>
      <c r="J6" s="2"/>
      <c r="K6" s="2"/>
      <c r="L6" s="2"/>
      <c r="M6" s="2"/>
      <c r="N6" s="2"/>
    </row>
    <row r="7" spans="1:14">
      <c r="A7" s="222"/>
      <c r="B7" s="53" t="s">
        <v>94</v>
      </c>
      <c r="C7" s="11" t="s">
        <v>95</v>
      </c>
      <c r="D7" s="2" t="s">
        <v>98</v>
      </c>
      <c r="E7" s="2"/>
      <c r="F7" s="2"/>
      <c r="G7" s="2"/>
      <c r="H7" s="2"/>
      <c r="I7" s="2"/>
      <c r="J7" s="2"/>
      <c r="K7" s="2"/>
      <c r="L7" s="2"/>
      <c r="M7" s="2"/>
      <c r="N7" s="2"/>
    </row>
    <row r="8" spans="1:14">
      <c r="A8" s="222"/>
      <c r="B8" s="53" t="s">
        <v>94</v>
      </c>
      <c r="C8" s="11" t="s">
        <v>95</v>
      </c>
      <c r="D8" s="2" t="s">
        <v>99</v>
      </c>
      <c r="E8" s="2"/>
      <c r="F8" s="2"/>
      <c r="G8" s="2"/>
      <c r="H8" s="2"/>
      <c r="I8" s="2"/>
      <c r="J8" s="2"/>
      <c r="K8" s="2"/>
      <c r="L8" s="2"/>
      <c r="M8" s="2"/>
      <c r="N8" s="2"/>
    </row>
    <row r="9" spans="1:14">
      <c r="A9" s="222"/>
      <c r="B9" s="53" t="s">
        <v>94</v>
      </c>
      <c r="C9" s="11" t="s">
        <v>95</v>
      </c>
      <c r="D9" s="2" t="s">
        <v>100</v>
      </c>
      <c r="E9" s="2"/>
      <c r="F9" s="2"/>
      <c r="G9" s="2"/>
      <c r="H9" s="2"/>
      <c r="I9" s="2"/>
      <c r="J9" s="2"/>
      <c r="K9" s="2"/>
      <c r="L9" s="2"/>
      <c r="M9" s="2"/>
      <c r="N9" s="2"/>
    </row>
    <row r="10" spans="1:14">
      <c r="A10" s="222"/>
      <c r="B10" s="53" t="s">
        <v>94</v>
      </c>
      <c r="C10" s="11" t="s">
        <v>95</v>
      </c>
      <c r="D10" s="2" t="s">
        <v>101</v>
      </c>
      <c r="E10" s="2"/>
      <c r="F10" s="2"/>
      <c r="G10" s="2"/>
      <c r="H10" s="2"/>
      <c r="I10" s="2"/>
      <c r="J10" s="2"/>
      <c r="K10" s="2"/>
      <c r="L10" s="2"/>
      <c r="M10" s="2"/>
      <c r="N10" s="2"/>
    </row>
    <row r="11" spans="1:14">
      <c r="A11" s="222"/>
      <c r="B11" s="53" t="s">
        <v>94</v>
      </c>
      <c r="C11" s="11" t="s">
        <v>95</v>
      </c>
      <c r="D11" s="2" t="s">
        <v>102</v>
      </c>
      <c r="E11" s="2"/>
      <c r="F11" s="2"/>
      <c r="G11" s="2"/>
      <c r="H11" s="2"/>
      <c r="I11" s="2"/>
      <c r="J11" s="2"/>
      <c r="K11" s="2"/>
      <c r="L11" s="2"/>
      <c r="M11" s="2"/>
      <c r="N11" s="2"/>
    </row>
    <row r="12" spans="1:14">
      <c r="A12" s="222"/>
      <c r="B12" s="53" t="s">
        <v>94</v>
      </c>
      <c r="C12" s="11" t="s">
        <v>103</v>
      </c>
      <c r="D12" s="2" t="s">
        <v>104</v>
      </c>
      <c r="E12" s="2"/>
      <c r="F12" s="2"/>
      <c r="G12" s="2"/>
      <c r="H12" s="2"/>
      <c r="I12" s="2"/>
      <c r="J12" s="2"/>
      <c r="K12" s="2"/>
      <c r="L12" s="2"/>
      <c r="M12" s="2"/>
      <c r="N12" s="2"/>
    </row>
    <row r="13" spans="1:14">
      <c r="A13" s="222"/>
      <c r="B13" s="53" t="s">
        <v>94</v>
      </c>
      <c r="C13" s="11" t="s">
        <v>103</v>
      </c>
      <c r="D13" s="2" t="s">
        <v>105</v>
      </c>
      <c r="E13" s="2"/>
      <c r="F13" s="2"/>
      <c r="G13" s="2"/>
      <c r="H13" s="2"/>
      <c r="I13" s="2"/>
      <c r="J13" s="2"/>
      <c r="K13" s="2"/>
      <c r="L13" s="2"/>
      <c r="M13" s="2"/>
      <c r="N13" s="2"/>
    </row>
    <row r="14" spans="1:14">
      <c r="A14" s="222"/>
      <c r="B14" s="53" t="s">
        <v>94</v>
      </c>
      <c r="C14" s="11" t="s">
        <v>103</v>
      </c>
      <c r="D14" s="2" t="s">
        <v>106</v>
      </c>
      <c r="E14" s="2"/>
      <c r="F14" s="2"/>
      <c r="G14" s="2"/>
      <c r="H14" s="2"/>
      <c r="I14" s="2"/>
      <c r="J14" s="2"/>
      <c r="K14" s="2"/>
      <c r="L14" s="2"/>
      <c r="M14" s="2"/>
      <c r="N14" s="2"/>
    </row>
    <row r="15" spans="1:14">
      <c r="A15" s="222"/>
      <c r="B15" s="53" t="s">
        <v>94</v>
      </c>
      <c r="C15" s="11" t="s">
        <v>103</v>
      </c>
      <c r="D15" s="2" t="s">
        <v>107</v>
      </c>
      <c r="E15" s="2"/>
      <c r="F15" s="2"/>
      <c r="G15" s="2"/>
      <c r="H15" s="2"/>
      <c r="I15" s="2"/>
      <c r="J15" s="2"/>
      <c r="K15" s="2"/>
      <c r="L15" s="2"/>
      <c r="M15" s="2"/>
      <c r="N15" s="2"/>
    </row>
    <row r="16" spans="1:14">
      <c r="A16" s="222"/>
      <c r="B16" s="53" t="s">
        <v>94</v>
      </c>
      <c r="C16" s="11" t="s">
        <v>103</v>
      </c>
      <c r="D16" s="2" t="s">
        <v>109</v>
      </c>
      <c r="E16" s="2"/>
      <c r="F16" s="2"/>
      <c r="G16" s="2"/>
      <c r="H16" s="2"/>
      <c r="I16" s="2"/>
      <c r="J16" s="2"/>
      <c r="K16" s="2"/>
      <c r="L16" s="2"/>
      <c r="M16" s="2"/>
      <c r="N16" s="2"/>
    </row>
    <row r="17" spans="1:14">
      <c r="A17" s="222"/>
      <c r="B17" s="53" t="s">
        <v>94</v>
      </c>
      <c r="C17" s="11" t="s">
        <v>103</v>
      </c>
      <c r="D17" s="2" t="s">
        <v>110</v>
      </c>
      <c r="E17" s="2"/>
      <c r="F17" s="2"/>
      <c r="G17" s="2"/>
      <c r="H17" s="2"/>
      <c r="I17" s="2"/>
      <c r="J17" s="2"/>
      <c r="K17" s="2"/>
      <c r="L17" s="2"/>
      <c r="M17" s="2"/>
      <c r="N17" s="2"/>
    </row>
    <row r="18" spans="1:14">
      <c r="A18" s="222"/>
      <c r="B18" s="53" t="s">
        <v>70</v>
      </c>
      <c r="C18" s="11" t="s">
        <v>111</v>
      </c>
      <c r="D18" s="2" t="s">
        <v>112</v>
      </c>
      <c r="E18" s="2"/>
      <c r="F18" s="2"/>
      <c r="G18" s="2"/>
      <c r="H18" s="2"/>
      <c r="I18" s="2"/>
      <c r="J18" s="2"/>
      <c r="K18" s="2"/>
      <c r="L18" s="2"/>
      <c r="M18" s="2"/>
      <c r="N18" s="2"/>
    </row>
    <row r="19" spans="1:14">
      <c r="A19" s="222"/>
      <c r="B19" s="53" t="s">
        <v>113</v>
      </c>
      <c r="C19" s="11" t="s">
        <v>114</v>
      </c>
      <c r="D19" s="2" t="s">
        <v>115</v>
      </c>
      <c r="E19" s="2"/>
      <c r="F19" s="2"/>
      <c r="G19" s="2"/>
      <c r="H19" s="2"/>
      <c r="I19" s="2"/>
      <c r="J19" s="2"/>
      <c r="K19" s="2"/>
      <c r="L19" s="2"/>
      <c r="M19" s="2"/>
      <c r="N19" s="2"/>
    </row>
    <row r="20" spans="1:14">
      <c r="A20" s="222"/>
      <c r="B20" s="53" t="s">
        <v>94</v>
      </c>
      <c r="C20" s="11" t="s">
        <v>116</v>
      </c>
      <c r="D20" s="2" t="s">
        <v>117</v>
      </c>
      <c r="E20" s="2"/>
      <c r="F20" s="2"/>
      <c r="G20" s="2"/>
      <c r="H20" s="2"/>
      <c r="I20" s="2"/>
      <c r="J20" s="2"/>
      <c r="K20" s="2"/>
      <c r="L20" s="2"/>
      <c r="M20" s="2"/>
      <c r="N20" s="2"/>
    </row>
    <row r="21" spans="1:14">
      <c r="A21" s="222"/>
      <c r="B21" s="53" t="s">
        <v>94</v>
      </c>
      <c r="C21" s="11" t="s">
        <v>116</v>
      </c>
      <c r="D21" s="2" t="s">
        <v>118</v>
      </c>
      <c r="E21" s="2"/>
      <c r="F21" s="2"/>
      <c r="G21" s="2"/>
      <c r="H21" s="2"/>
      <c r="I21" s="2"/>
      <c r="J21" s="2"/>
      <c r="K21" s="2"/>
      <c r="L21" s="2"/>
      <c r="M21" s="2"/>
      <c r="N21" s="2"/>
    </row>
    <row r="22" spans="1:14">
      <c r="A22" s="222"/>
      <c r="B22" s="53" t="s">
        <v>94</v>
      </c>
      <c r="C22" s="11" t="s">
        <v>116</v>
      </c>
      <c r="D22" s="2" t="s">
        <v>119</v>
      </c>
      <c r="E22" s="2"/>
      <c r="F22" s="2"/>
      <c r="G22" s="2"/>
      <c r="H22" s="2"/>
      <c r="I22" s="2"/>
      <c r="J22" s="2"/>
      <c r="K22" s="2"/>
      <c r="L22" s="2"/>
      <c r="M22" s="2"/>
      <c r="N22" s="2"/>
    </row>
    <row r="23" spans="1:14">
      <c r="A23" s="222"/>
      <c r="B23" s="53" t="s">
        <v>94</v>
      </c>
      <c r="C23" s="11" t="s">
        <v>116</v>
      </c>
      <c r="D23" s="2" t="s">
        <v>120</v>
      </c>
      <c r="E23" s="2"/>
      <c r="F23" s="2"/>
      <c r="G23" s="2"/>
      <c r="H23" s="2"/>
      <c r="I23" s="2"/>
      <c r="J23" s="2"/>
      <c r="K23" s="2"/>
      <c r="L23" s="2"/>
      <c r="M23" s="2"/>
      <c r="N23" s="2"/>
    </row>
    <row r="24" spans="1:14">
      <c r="A24" s="222"/>
      <c r="B24" s="53" t="s">
        <v>94</v>
      </c>
      <c r="C24" s="11" t="s">
        <v>116</v>
      </c>
      <c r="D24" s="2" t="s">
        <v>121</v>
      </c>
      <c r="E24" s="2"/>
      <c r="F24" s="2"/>
      <c r="G24" s="2"/>
      <c r="H24" s="2"/>
      <c r="I24" s="2"/>
      <c r="J24" s="2"/>
      <c r="K24" s="2"/>
      <c r="L24" s="2"/>
      <c r="M24" s="2"/>
      <c r="N24" s="2"/>
    </row>
    <row r="25" spans="1:14">
      <c r="A25" s="222"/>
      <c r="B25" s="53" t="s">
        <v>94</v>
      </c>
      <c r="C25" s="11" t="s">
        <v>116</v>
      </c>
      <c r="D25" s="2" t="s">
        <v>122</v>
      </c>
      <c r="E25" s="2"/>
      <c r="F25" s="2"/>
      <c r="G25" s="2"/>
      <c r="H25" s="2"/>
      <c r="I25" s="2"/>
      <c r="J25" s="2"/>
      <c r="K25" s="2"/>
      <c r="L25" s="2"/>
      <c r="M25" s="2"/>
      <c r="N25" s="2"/>
    </row>
    <row r="26" spans="1:14">
      <c r="A26" s="222"/>
      <c r="B26" s="53" t="s">
        <v>94</v>
      </c>
      <c r="C26" s="11" t="s">
        <v>116</v>
      </c>
      <c r="D26" s="2" t="s">
        <v>123</v>
      </c>
      <c r="E26" s="2"/>
      <c r="F26" s="2"/>
      <c r="G26" s="2"/>
      <c r="H26" s="2"/>
      <c r="I26" s="2"/>
      <c r="J26" s="2"/>
      <c r="K26" s="2"/>
      <c r="L26" s="2"/>
      <c r="M26" s="2"/>
      <c r="N26" s="2"/>
    </row>
    <row r="27" spans="1:14">
      <c r="A27" s="222"/>
      <c r="B27" s="53" t="s">
        <v>94</v>
      </c>
      <c r="C27" s="11" t="s">
        <v>124</v>
      </c>
      <c r="D27" s="2" t="s">
        <v>125</v>
      </c>
      <c r="E27" s="2"/>
      <c r="F27" s="2"/>
      <c r="G27" s="2"/>
      <c r="H27" s="2"/>
      <c r="I27" s="2"/>
      <c r="J27" s="2"/>
      <c r="K27" s="2"/>
      <c r="L27" s="2"/>
      <c r="M27" s="2"/>
      <c r="N27" s="2"/>
    </row>
    <row r="28" spans="1:14">
      <c r="A28" s="222"/>
      <c r="B28" s="53" t="s">
        <v>94</v>
      </c>
      <c r="C28" s="11" t="s">
        <v>124</v>
      </c>
      <c r="D28" s="2" t="s">
        <v>126</v>
      </c>
      <c r="E28" s="2"/>
      <c r="F28" s="2"/>
      <c r="G28" s="2"/>
      <c r="H28" s="2"/>
      <c r="I28" s="2"/>
      <c r="J28" s="2"/>
      <c r="K28" s="2"/>
      <c r="L28" s="2"/>
      <c r="M28" s="2"/>
      <c r="N28" s="2"/>
    </row>
    <row r="29" spans="1:14">
      <c r="A29" s="222"/>
      <c r="B29" s="53" t="s">
        <v>94</v>
      </c>
      <c r="C29" s="11" t="s">
        <v>127</v>
      </c>
      <c r="D29" s="2" t="s">
        <v>128</v>
      </c>
      <c r="E29" s="2"/>
      <c r="F29" s="2"/>
      <c r="G29" s="2"/>
      <c r="H29" s="2"/>
      <c r="I29" s="2"/>
      <c r="J29" s="2"/>
      <c r="K29" s="2"/>
      <c r="L29" s="2"/>
      <c r="M29" s="2"/>
      <c r="N29" s="2"/>
    </row>
    <row r="30" spans="1:14">
      <c r="A30" s="222"/>
      <c r="B30" s="53" t="s">
        <v>94</v>
      </c>
      <c r="C30" s="11" t="s">
        <v>127</v>
      </c>
      <c r="D30" s="2" t="s">
        <v>129</v>
      </c>
      <c r="E30" s="2"/>
      <c r="F30" s="2"/>
      <c r="G30" s="2"/>
      <c r="H30" s="2"/>
      <c r="I30" s="2"/>
      <c r="J30" s="2"/>
      <c r="K30" s="2"/>
      <c r="L30" s="2"/>
      <c r="M30" s="2"/>
      <c r="N30" s="2"/>
    </row>
    <row r="31" spans="1:14">
      <c r="A31" s="222"/>
      <c r="B31" s="53" t="s">
        <v>70</v>
      </c>
      <c r="C31" s="11" t="s">
        <v>130</v>
      </c>
      <c r="D31" s="2" t="s">
        <v>131</v>
      </c>
      <c r="E31" s="2"/>
      <c r="F31" s="2"/>
      <c r="G31" s="2"/>
      <c r="H31" s="2"/>
      <c r="I31" s="2"/>
      <c r="J31" s="2"/>
      <c r="K31" s="2"/>
      <c r="L31" s="2"/>
      <c r="M31" s="2"/>
      <c r="N31" s="2"/>
    </row>
    <row r="32" spans="1:14">
      <c r="A32" s="222"/>
      <c r="B32" s="53" t="s">
        <v>70</v>
      </c>
      <c r="C32" s="11" t="s">
        <v>130</v>
      </c>
      <c r="D32" s="2" t="s">
        <v>132</v>
      </c>
      <c r="E32" s="2"/>
      <c r="F32" s="2"/>
      <c r="G32" s="2"/>
      <c r="H32" s="2"/>
      <c r="I32" s="2"/>
      <c r="J32" s="2"/>
      <c r="K32" s="2"/>
      <c r="L32" s="2"/>
      <c r="M32" s="2"/>
      <c r="N32" s="2"/>
    </row>
    <row r="33" spans="1:14">
      <c r="A33" s="222"/>
      <c r="B33" s="53" t="s">
        <v>113</v>
      </c>
      <c r="C33" s="11" t="s">
        <v>133</v>
      </c>
      <c r="D33" s="2" t="s">
        <v>134</v>
      </c>
      <c r="E33" s="2"/>
      <c r="F33" s="2"/>
      <c r="G33" s="2"/>
      <c r="H33" s="2"/>
      <c r="I33" s="2"/>
      <c r="J33" s="2"/>
      <c r="K33" s="2"/>
      <c r="L33" s="2"/>
      <c r="M33" s="2"/>
      <c r="N33" s="2"/>
    </row>
    <row r="34" spans="1:14">
      <c r="A34" s="222"/>
      <c r="B34" s="53" t="s">
        <v>113</v>
      </c>
      <c r="C34" s="11" t="s">
        <v>135</v>
      </c>
      <c r="D34" s="2" t="s">
        <v>136</v>
      </c>
      <c r="E34" s="2"/>
      <c r="F34" s="2"/>
      <c r="G34" s="2"/>
      <c r="H34" s="2"/>
      <c r="I34" s="2"/>
      <c r="J34" s="2"/>
      <c r="K34" s="2"/>
      <c r="L34" s="2"/>
      <c r="M34" s="2"/>
      <c r="N34" s="2"/>
    </row>
    <row r="35" spans="1:14">
      <c r="A35" s="222"/>
      <c r="B35" s="53" t="s">
        <v>113</v>
      </c>
      <c r="C35" s="11" t="s">
        <v>135</v>
      </c>
      <c r="D35" s="2" t="s">
        <v>137</v>
      </c>
      <c r="E35" s="2"/>
      <c r="F35" s="2"/>
      <c r="G35" s="2"/>
      <c r="H35" s="2"/>
      <c r="I35" s="2"/>
      <c r="J35" s="2"/>
      <c r="K35" s="2"/>
      <c r="L35" s="2"/>
      <c r="M35" s="2"/>
      <c r="N35" s="2"/>
    </row>
    <row r="36" spans="1:14">
      <c r="A36" s="222"/>
      <c r="B36" s="53" t="s">
        <v>113</v>
      </c>
      <c r="C36" s="11" t="s">
        <v>135</v>
      </c>
      <c r="D36" s="2" t="s">
        <v>138</v>
      </c>
      <c r="E36" s="2"/>
      <c r="F36" s="2"/>
      <c r="G36" s="2"/>
      <c r="H36" s="2"/>
      <c r="I36" s="2"/>
      <c r="J36" s="2"/>
      <c r="K36" s="2"/>
      <c r="L36" s="2"/>
      <c r="M36" s="2"/>
      <c r="N36" s="2"/>
    </row>
    <row r="37" spans="1:14">
      <c r="A37" s="222"/>
      <c r="B37" s="53" t="s">
        <v>94</v>
      </c>
      <c r="C37" s="11" t="s">
        <v>139</v>
      </c>
      <c r="D37" s="2" t="s">
        <v>140</v>
      </c>
      <c r="E37" s="2"/>
      <c r="F37" s="2"/>
      <c r="G37" s="2"/>
      <c r="H37" s="2"/>
      <c r="I37" s="2"/>
      <c r="J37" s="2"/>
      <c r="K37" s="2"/>
      <c r="L37" s="2"/>
      <c r="M37" s="2"/>
      <c r="N37" s="2"/>
    </row>
    <row r="38" spans="1:14">
      <c r="A38" s="222"/>
      <c r="B38" s="53" t="s">
        <v>94</v>
      </c>
      <c r="C38" s="11" t="s">
        <v>139</v>
      </c>
      <c r="D38" s="2" t="s">
        <v>141</v>
      </c>
      <c r="E38" s="2"/>
      <c r="F38" s="2"/>
      <c r="G38" s="2"/>
      <c r="H38" s="2"/>
      <c r="I38" s="2"/>
      <c r="J38" s="2"/>
      <c r="K38" s="2"/>
      <c r="L38" s="2"/>
      <c r="M38" s="2"/>
      <c r="N38" s="2"/>
    </row>
    <row r="39" spans="1:14">
      <c r="A39" s="222"/>
      <c r="B39" s="53" t="s">
        <v>94</v>
      </c>
      <c r="C39" s="11" t="s">
        <v>139</v>
      </c>
      <c r="D39" s="2" t="s">
        <v>142</v>
      </c>
      <c r="E39" s="2"/>
      <c r="F39" s="2"/>
      <c r="G39" s="2"/>
      <c r="H39" s="2"/>
      <c r="I39" s="2"/>
      <c r="J39" s="2"/>
      <c r="K39" s="2"/>
      <c r="L39" s="2"/>
      <c r="M39" s="2"/>
      <c r="N39" s="2"/>
    </row>
    <row r="40" spans="1:14">
      <c r="A40" s="222"/>
      <c r="B40" s="53" t="s">
        <v>94</v>
      </c>
      <c r="C40" s="11" t="s">
        <v>139</v>
      </c>
      <c r="D40" s="2" t="s">
        <v>143</v>
      </c>
      <c r="E40" s="2"/>
      <c r="F40" s="2"/>
      <c r="G40" s="2"/>
      <c r="H40" s="2"/>
      <c r="I40" s="2"/>
      <c r="J40" s="2"/>
      <c r="K40" s="2"/>
      <c r="L40" s="2"/>
      <c r="M40" s="2"/>
      <c r="N40" s="2"/>
    </row>
    <row r="41" spans="1:14">
      <c r="A41" s="222"/>
      <c r="B41" s="53" t="s">
        <v>94</v>
      </c>
      <c r="C41" s="11" t="s">
        <v>144</v>
      </c>
      <c r="D41" s="2" t="s">
        <v>145</v>
      </c>
      <c r="E41" s="2"/>
      <c r="F41" s="2"/>
      <c r="G41" s="2"/>
      <c r="H41" s="2"/>
      <c r="I41" s="2"/>
      <c r="J41" s="2"/>
      <c r="K41" s="2"/>
      <c r="L41" s="2"/>
      <c r="M41" s="2"/>
      <c r="N41" s="2"/>
    </row>
    <row r="42" spans="1:14">
      <c r="A42" s="222"/>
      <c r="B42" s="53" t="s">
        <v>94</v>
      </c>
      <c r="C42" s="11" t="s">
        <v>144</v>
      </c>
      <c r="D42" s="2" t="s">
        <v>146</v>
      </c>
      <c r="E42" s="2"/>
      <c r="F42" s="2"/>
      <c r="G42" s="2"/>
      <c r="H42" s="2"/>
      <c r="I42" s="2"/>
      <c r="J42" s="2"/>
      <c r="K42" s="2"/>
      <c r="L42" s="2"/>
      <c r="M42" s="2"/>
      <c r="N42" s="2"/>
    </row>
    <row r="43" spans="1:14">
      <c r="A43" s="222"/>
      <c r="B43" s="11" t="s">
        <v>94</v>
      </c>
      <c r="C43" s="11" t="s">
        <v>144</v>
      </c>
      <c r="D43" s="53" t="s">
        <v>147</v>
      </c>
      <c r="E43" s="2"/>
      <c r="F43" s="2"/>
      <c r="G43" s="2"/>
      <c r="H43" s="2"/>
      <c r="I43" s="2"/>
      <c r="J43" s="2"/>
      <c r="K43" s="2"/>
      <c r="L43" s="2"/>
      <c r="M43" s="2"/>
      <c r="N43" s="2"/>
    </row>
    <row r="44" spans="1:14">
      <c r="A44" s="222"/>
      <c r="B44" s="11" t="s">
        <v>94</v>
      </c>
      <c r="C44" s="11" t="s">
        <v>144</v>
      </c>
      <c r="D44" s="53" t="s">
        <v>148</v>
      </c>
      <c r="E44" s="2"/>
      <c r="F44" s="2"/>
      <c r="G44" s="2"/>
      <c r="H44" s="2"/>
      <c r="I44" s="2"/>
      <c r="J44" s="2"/>
      <c r="K44" s="2"/>
      <c r="L44" s="2"/>
      <c r="M44" s="2"/>
      <c r="N44" s="2"/>
    </row>
    <row r="45" spans="1:14">
      <c r="A45" s="222"/>
      <c r="B45" s="11" t="s">
        <v>94</v>
      </c>
      <c r="C45" s="11" t="s">
        <v>144</v>
      </c>
      <c r="D45" s="53" t="s">
        <v>149</v>
      </c>
      <c r="E45" s="2"/>
      <c r="F45" s="2"/>
      <c r="G45" s="2"/>
      <c r="H45" s="2"/>
      <c r="I45" s="2"/>
      <c r="J45" s="2"/>
      <c r="K45" s="2"/>
      <c r="L45" s="2"/>
      <c r="M45" s="2"/>
      <c r="N45" s="2"/>
    </row>
    <row r="46" spans="1:14">
      <c r="A46" s="222"/>
      <c r="B46" s="53" t="s">
        <v>113</v>
      </c>
      <c r="C46" s="11" t="s">
        <v>150</v>
      </c>
      <c r="D46" s="2" t="s">
        <v>151</v>
      </c>
      <c r="E46" s="2"/>
      <c r="F46" s="2"/>
      <c r="G46" s="2"/>
      <c r="H46" s="2"/>
      <c r="I46" s="2"/>
      <c r="J46" s="2"/>
      <c r="K46" s="2"/>
      <c r="L46" s="2"/>
      <c r="M46" s="2"/>
      <c r="N46" s="2"/>
    </row>
    <row r="47" spans="1:14">
      <c r="A47" s="222"/>
      <c r="B47" s="53" t="s">
        <v>113</v>
      </c>
      <c r="C47" s="11" t="s">
        <v>150</v>
      </c>
      <c r="D47" s="2" t="s">
        <v>152</v>
      </c>
      <c r="E47" s="2"/>
      <c r="F47" s="2"/>
      <c r="G47" s="2"/>
      <c r="H47" s="2"/>
      <c r="I47" s="2"/>
      <c r="J47" s="2"/>
      <c r="K47" s="2"/>
      <c r="L47" s="2"/>
      <c r="M47" s="2"/>
      <c r="N47" s="2"/>
    </row>
    <row r="48" spans="1:14">
      <c r="A48" s="222"/>
      <c r="B48" s="53" t="s">
        <v>113</v>
      </c>
      <c r="C48" s="11" t="s">
        <v>150</v>
      </c>
      <c r="D48" s="2" t="s">
        <v>153</v>
      </c>
      <c r="E48" s="2"/>
      <c r="F48" s="2"/>
      <c r="G48" s="2"/>
      <c r="H48" s="2"/>
      <c r="I48" s="2"/>
      <c r="J48" s="2"/>
      <c r="K48" s="2"/>
      <c r="L48" s="2"/>
      <c r="M48" s="2"/>
      <c r="N48" s="2"/>
    </row>
    <row r="49" spans="1:14">
      <c r="A49" s="222"/>
      <c r="B49" s="53" t="s">
        <v>70</v>
      </c>
      <c r="C49" s="11" t="s">
        <v>150</v>
      </c>
      <c r="D49" s="2" t="s">
        <v>154</v>
      </c>
      <c r="E49" s="2"/>
      <c r="F49" s="2"/>
      <c r="G49" s="2"/>
      <c r="H49" s="2"/>
      <c r="I49" s="2"/>
      <c r="J49" s="2"/>
      <c r="K49" s="2"/>
      <c r="L49" s="2"/>
      <c r="M49" s="2"/>
      <c r="N49" s="2"/>
    </row>
    <row r="50" spans="1:14">
      <c r="A50" s="222"/>
      <c r="B50" s="53" t="s">
        <v>94</v>
      </c>
      <c r="C50" s="11" t="s">
        <v>155</v>
      </c>
      <c r="D50" s="2" t="s">
        <v>156</v>
      </c>
      <c r="E50" s="2"/>
      <c r="F50" s="2"/>
      <c r="G50" s="2"/>
      <c r="H50" s="2"/>
      <c r="I50" s="2"/>
      <c r="J50" s="2"/>
      <c r="K50" s="2"/>
      <c r="L50" s="2"/>
      <c r="M50" s="2"/>
      <c r="N50" s="2"/>
    </row>
    <row r="51" spans="1:14">
      <c r="A51" s="222"/>
      <c r="B51" s="223" t="s">
        <v>94</v>
      </c>
      <c r="C51" s="224" t="s">
        <v>368</v>
      </c>
      <c r="D51" s="225" t="s">
        <v>369</v>
      </c>
      <c r="E51" s="2"/>
      <c r="F51" s="2"/>
      <c r="G51" s="2"/>
      <c r="H51" s="2"/>
      <c r="I51" s="2"/>
      <c r="J51" s="2"/>
      <c r="K51" s="2"/>
      <c r="L51" s="2"/>
      <c r="M51" s="2"/>
      <c r="N51" s="2"/>
    </row>
    <row r="52" spans="1:14">
      <c r="A52" s="222"/>
      <c r="B52" s="223" t="s">
        <v>94</v>
      </c>
      <c r="C52" s="224" t="s">
        <v>368</v>
      </c>
      <c r="D52" s="225" t="s">
        <v>370</v>
      </c>
      <c r="E52" s="2"/>
      <c r="F52" s="2"/>
      <c r="G52" s="2"/>
      <c r="H52" s="2"/>
      <c r="I52" s="2"/>
      <c r="J52" s="2"/>
      <c r="K52" s="2"/>
      <c r="L52" s="2"/>
      <c r="M52" s="2"/>
      <c r="N52" s="2"/>
    </row>
    <row r="53" spans="1:14">
      <c r="A53" s="222"/>
      <c r="B53" s="53"/>
      <c r="C53" s="11"/>
      <c r="D53" s="2"/>
      <c r="E53" s="2"/>
      <c r="F53" s="2"/>
      <c r="G53" s="2"/>
      <c r="H53" s="2"/>
      <c r="I53" s="2"/>
      <c r="J53" s="2"/>
      <c r="K53" s="2"/>
      <c r="L53" s="2"/>
      <c r="M53" s="2"/>
      <c r="N53" s="2"/>
    </row>
    <row r="54" spans="1:14" ht="15.75" customHeight="1">
      <c r="A54" s="222"/>
      <c r="B54" s="53"/>
      <c r="C54" s="13"/>
      <c r="D54" s="2"/>
      <c r="E54" s="2"/>
      <c r="F54" s="2"/>
      <c r="G54" s="2"/>
      <c r="H54" s="2"/>
      <c r="I54" s="2"/>
      <c r="J54" s="2"/>
      <c r="K54" s="2"/>
      <c r="L54" s="2"/>
      <c r="M54" s="2"/>
      <c r="N54" s="2"/>
    </row>
  </sheetData>
  <mergeCells count="1">
    <mergeCell ref="B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Summary</vt:lpstr>
      <vt:lpstr>Forests</vt:lpstr>
      <vt:lpstr>Wind Speed</vt:lpstr>
      <vt:lpstr>CO2 Values</vt:lpstr>
      <vt:lpstr>Solar Info</vt:lpstr>
      <vt:lpstr>development plan (Wind)</vt:lpstr>
      <vt:lpstr>Dev Plan (Wind)</vt:lpstr>
      <vt:lpstr>Wind Graphs</vt:lpstr>
      <vt:lpstr>Development Plan (Solar)</vt:lpstr>
      <vt:lpstr>Solar Graphs</vt:lpstr>
      <vt:lpstr>Alberta Electricity Profile</vt:lpstr>
      <vt:lpstr>PV Output</vt:lpstr>
      <vt:lpstr>Edit History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c:creator>
  <cp:lastModifiedBy>s</cp:lastModifiedBy>
  <dcterms:created xsi:type="dcterms:W3CDTF">2015-03-22T01:37:53Z</dcterms:created>
  <dcterms:modified xsi:type="dcterms:W3CDTF">2015-03-22T02:00:31Z</dcterms:modified>
</cp:coreProperties>
</file>