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Documents\GitHub\oilsands-papers\excel\"/>
    </mc:Choice>
  </mc:AlternateContent>
  <bookViews>
    <workbookView xWindow="0" yWindow="0" windowWidth="15345" windowHeight="4755" tabRatio="664"/>
  </bookViews>
  <sheets>
    <sheet name="Summary" sheetId="3" r:id="rId1"/>
    <sheet name="Forests" sheetId="1" r:id="rId2"/>
    <sheet name="Wind Speed" sheetId="2" r:id="rId3"/>
    <sheet name="CO2 Values" sheetId="4" r:id="rId4"/>
    <sheet name="Solar Info" sheetId="5" r:id="rId5"/>
    <sheet name="development plan (Wind)" sheetId="7" state="hidden" r:id="rId6"/>
    <sheet name="Dev Plan (Wind)" sheetId="8" r:id="rId7"/>
    <sheet name="Wind Graphs" sheetId="9" r:id="rId8"/>
    <sheet name="Development Plan (Solar)" sheetId="10" r:id="rId9"/>
    <sheet name="Solar Graphs" sheetId="11" r:id="rId10"/>
    <sheet name="CarbonFootprint" sheetId="14" r:id="rId11"/>
    <sheet name="Alberta Electricity Profile" sheetId="12" r:id="rId12"/>
    <sheet name="PV Output" sheetId="13" r:id="rId13"/>
    <sheet name="Edit History" sheetId="6" r:id="rId14"/>
  </sheets>
  <calcPr calcId="152511"/>
</workbook>
</file>

<file path=xl/calcChain.xml><?xml version="1.0" encoding="utf-8"?>
<calcChain xmlns="http://schemas.openxmlformats.org/spreadsheetml/2006/main">
  <c r="C71" i="3" l="1"/>
  <c r="I24" i="10"/>
  <c r="C27" i="3"/>
  <c r="L5" i="14" l="1"/>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52" i="14"/>
  <c r="K53" i="14"/>
  <c r="K54" i="14"/>
  <c r="K55" i="14"/>
  <c r="K56" i="14"/>
  <c r="K57" i="14"/>
  <c r="K58" i="14"/>
  <c r="K59" i="14"/>
  <c r="K60" i="14"/>
  <c r="K61" i="14"/>
  <c r="K62" i="14"/>
  <c r="K63" i="14"/>
  <c r="K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4" i="14"/>
  <c r="R30" i="14"/>
  <c r="M22" i="8"/>
  <c r="Q16" i="14"/>
  <c r="Q13" i="14"/>
  <c r="Q12" i="14"/>
  <c r="Q14" i="14"/>
  <c r="Q15" i="14"/>
  <c r="Q11" i="14"/>
  <c r="C10" i="8"/>
  <c r="C16" i="8" l="1"/>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5" i="14"/>
  <c r="F6" i="14"/>
  <c r="F7" i="14"/>
  <c r="F8" i="14"/>
  <c r="F9" i="14"/>
  <c r="F10" i="14"/>
  <c r="F11" i="14"/>
  <c r="F12" i="14"/>
  <c r="F13" i="14"/>
  <c r="F4" i="14"/>
  <c r="K21" i="8"/>
  <c r="T61" i="8" s="1"/>
  <c r="C4" i="4"/>
  <c r="B71" i="8"/>
  <c r="I71" i="8"/>
  <c r="K71" i="8" s="1"/>
  <c r="J71" i="8"/>
  <c r="B72" i="8"/>
  <c r="I72" i="8"/>
  <c r="J72" i="8"/>
  <c r="B73" i="8"/>
  <c r="J73" i="8"/>
  <c r="B74" i="8"/>
  <c r="J74" i="8"/>
  <c r="B75" i="8"/>
  <c r="J75" i="8"/>
  <c r="B76" i="8"/>
  <c r="J76" i="8"/>
  <c r="B77" i="8"/>
  <c r="J77" i="8"/>
  <c r="B78" i="8"/>
  <c r="J78" i="8"/>
  <c r="B79" i="8"/>
  <c r="J79" i="8"/>
  <c r="B80" i="8"/>
  <c r="J80" i="8"/>
  <c r="B81" i="8"/>
  <c r="J81" i="8"/>
  <c r="B82" i="8"/>
  <c r="J82" i="8"/>
  <c r="B83" i="8"/>
  <c r="J83" i="8"/>
  <c r="B84" i="8"/>
  <c r="J84" i="8"/>
  <c r="B85" i="8"/>
  <c r="J85" i="8"/>
  <c r="B86" i="8"/>
  <c r="J86" i="8"/>
  <c r="B87" i="8"/>
  <c r="J87" i="8"/>
  <c r="B88" i="8"/>
  <c r="J88" i="8"/>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J121" i="8" s="1"/>
  <c r="J122" i="8" s="1"/>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I57" i="8"/>
  <c r="J57" i="8"/>
  <c r="I58" i="8"/>
  <c r="J25" i="8"/>
  <c r="I25" i="8"/>
  <c r="H62" i="14" l="1"/>
  <c r="G62" i="14"/>
  <c r="I62" i="14"/>
  <c r="H50" i="14"/>
  <c r="G50" i="14"/>
  <c r="I50" i="14"/>
  <c r="H38" i="14"/>
  <c r="I38" i="14"/>
  <c r="G38" i="14"/>
  <c r="G30" i="14"/>
  <c r="I30" i="14"/>
  <c r="H30" i="14"/>
  <c r="G18" i="14"/>
  <c r="I18" i="14"/>
  <c r="H18" i="14"/>
  <c r="I4" i="14"/>
  <c r="H4" i="14"/>
  <c r="G4" i="14"/>
  <c r="H10" i="14"/>
  <c r="G10" i="14"/>
  <c r="I10" i="14"/>
  <c r="H6" i="14"/>
  <c r="I6" i="14"/>
  <c r="G6" i="14"/>
  <c r="I61" i="14"/>
  <c r="H61" i="14"/>
  <c r="G61" i="14"/>
  <c r="I57" i="14"/>
  <c r="H57" i="14"/>
  <c r="G57" i="14"/>
  <c r="I53" i="14"/>
  <c r="H53" i="14"/>
  <c r="G53" i="14"/>
  <c r="I49" i="14"/>
  <c r="H49" i="14"/>
  <c r="G49" i="14"/>
  <c r="I45" i="14"/>
  <c r="H45" i="14"/>
  <c r="G45" i="14"/>
  <c r="I41" i="14"/>
  <c r="H41" i="14"/>
  <c r="G41" i="14"/>
  <c r="I37" i="14"/>
  <c r="H37" i="14"/>
  <c r="G37" i="14"/>
  <c r="I33" i="14"/>
  <c r="H33" i="14"/>
  <c r="G33" i="14"/>
  <c r="I29" i="14"/>
  <c r="H29" i="14"/>
  <c r="G29" i="14"/>
  <c r="I25" i="14"/>
  <c r="H25" i="14"/>
  <c r="G25" i="14"/>
  <c r="I21" i="14"/>
  <c r="H21" i="14"/>
  <c r="G21" i="14"/>
  <c r="I17" i="14"/>
  <c r="H17" i="14"/>
  <c r="G17" i="14"/>
  <c r="I7" i="14"/>
  <c r="G7" i="14"/>
  <c r="H7" i="14"/>
  <c r="I54" i="14"/>
  <c r="H54" i="14"/>
  <c r="G54" i="14"/>
  <c r="G42" i="14"/>
  <c r="I42" i="14"/>
  <c r="H42" i="14"/>
  <c r="H26" i="14"/>
  <c r="I26" i="14"/>
  <c r="G26" i="14"/>
  <c r="H14" i="14"/>
  <c r="I14" i="14"/>
  <c r="G14" i="14"/>
  <c r="I13" i="14"/>
  <c r="H13" i="14"/>
  <c r="G13" i="14"/>
  <c r="I9" i="14"/>
  <c r="H9" i="14"/>
  <c r="G9" i="14"/>
  <c r="I5" i="14"/>
  <c r="H5" i="14"/>
  <c r="G5" i="14"/>
  <c r="I60" i="14"/>
  <c r="H60" i="14"/>
  <c r="G60" i="14"/>
  <c r="I56" i="14"/>
  <c r="H56" i="14"/>
  <c r="G56" i="14"/>
  <c r="I52" i="14"/>
  <c r="H52" i="14"/>
  <c r="G52" i="14"/>
  <c r="I48" i="14"/>
  <c r="H48" i="14"/>
  <c r="G48" i="14"/>
  <c r="I44" i="14"/>
  <c r="H44" i="14"/>
  <c r="G44" i="14"/>
  <c r="I40" i="14"/>
  <c r="H40" i="14"/>
  <c r="G40" i="14"/>
  <c r="I36" i="14"/>
  <c r="H36" i="14"/>
  <c r="G36" i="14"/>
  <c r="I32" i="14"/>
  <c r="H32" i="14"/>
  <c r="G32" i="14"/>
  <c r="I28" i="14"/>
  <c r="H28" i="14"/>
  <c r="G28" i="14"/>
  <c r="I24" i="14"/>
  <c r="H24" i="14"/>
  <c r="G24" i="14"/>
  <c r="I20" i="14"/>
  <c r="H20" i="14"/>
  <c r="G20" i="14"/>
  <c r="I16" i="14"/>
  <c r="H16" i="14"/>
  <c r="G16" i="14"/>
  <c r="H11" i="14"/>
  <c r="I11" i="14"/>
  <c r="G11" i="14"/>
  <c r="I58" i="14"/>
  <c r="G58" i="14"/>
  <c r="H58" i="14"/>
  <c r="G46" i="14"/>
  <c r="I46" i="14"/>
  <c r="H46" i="14"/>
  <c r="I34" i="14"/>
  <c r="G34" i="14"/>
  <c r="H34" i="14"/>
  <c r="H22" i="14"/>
  <c r="G22" i="14"/>
  <c r="I22" i="14"/>
  <c r="I12" i="14"/>
  <c r="H12" i="14"/>
  <c r="G12" i="14"/>
  <c r="I8" i="14"/>
  <c r="H8" i="14"/>
  <c r="G8" i="14"/>
  <c r="G63" i="14"/>
  <c r="I63" i="14"/>
  <c r="H63" i="14"/>
  <c r="H59" i="14"/>
  <c r="I59" i="14"/>
  <c r="G59" i="14"/>
  <c r="I55" i="14"/>
  <c r="G55" i="14"/>
  <c r="H55" i="14"/>
  <c r="G51" i="14"/>
  <c r="H51" i="14"/>
  <c r="I51" i="14"/>
  <c r="G47" i="14"/>
  <c r="I47" i="14"/>
  <c r="H47" i="14"/>
  <c r="H43" i="14"/>
  <c r="G43" i="14"/>
  <c r="I43" i="14"/>
  <c r="I39" i="14"/>
  <c r="G39" i="14"/>
  <c r="H39" i="14"/>
  <c r="H35" i="14"/>
  <c r="G35" i="14"/>
  <c r="I35" i="14"/>
  <c r="G31" i="14"/>
  <c r="H31" i="14"/>
  <c r="I31" i="14"/>
  <c r="H27" i="14"/>
  <c r="I27" i="14"/>
  <c r="G27" i="14"/>
  <c r="I23" i="14"/>
  <c r="G23" i="14"/>
  <c r="H23" i="14"/>
  <c r="G19" i="14"/>
  <c r="H19" i="14"/>
  <c r="I19" i="14"/>
  <c r="G15" i="14"/>
  <c r="I15" i="14"/>
  <c r="H15" i="14"/>
  <c r="T119" i="8"/>
  <c r="T115" i="8"/>
  <c r="T111" i="8"/>
  <c r="T107" i="8"/>
  <c r="T103" i="8"/>
  <c r="T99" i="8"/>
  <c r="T95" i="8"/>
  <c r="T91" i="8"/>
  <c r="T87" i="8"/>
  <c r="T83" i="8"/>
  <c r="T79" i="8"/>
  <c r="T75" i="8"/>
  <c r="T71" i="8"/>
  <c r="T67" i="8"/>
  <c r="T63" i="8"/>
  <c r="T59" i="8"/>
  <c r="T120" i="8"/>
  <c r="T112" i="8"/>
  <c r="T104" i="8"/>
  <c r="T96" i="8"/>
  <c r="T88" i="8"/>
  <c r="T80" i="8"/>
  <c r="T72" i="8"/>
  <c r="T64" i="8"/>
  <c r="T60" i="8"/>
  <c r="T122" i="8"/>
  <c r="T118" i="8"/>
  <c r="T114" i="8"/>
  <c r="T110" i="8"/>
  <c r="T106" i="8"/>
  <c r="T102" i="8"/>
  <c r="T98" i="8"/>
  <c r="T94" i="8"/>
  <c r="T90" i="8"/>
  <c r="T86" i="8"/>
  <c r="T82" i="8"/>
  <c r="T78" i="8"/>
  <c r="T74" i="8"/>
  <c r="T70" i="8"/>
  <c r="T66" i="8"/>
  <c r="T62" i="8"/>
  <c r="T58" i="8"/>
  <c r="T116" i="8"/>
  <c r="T108" i="8"/>
  <c r="T100" i="8"/>
  <c r="T92" i="8"/>
  <c r="T84" i="8"/>
  <c r="T76" i="8"/>
  <c r="T68" i="8"/>
  <c r="T57" i="8"/>
  <c r="T121" i="8"/>
  <c r="T117" i="8"/>
  <c r="T113" i="8"/>
  <c r="T109" i="8"/>
  <c r="T105" i="8"/>
  <c r="T101" i="8"/>
  <c r="T97" i="8"/>
  <c r="T93" i="8"/>
  <c r="T89" i="8"/>
  <c r="T85" i="8"/>
  <c r="T81" i="8"/>
  <c r="T77" i="8"/>
  <c r="T73" i="8"/>
  <c r="T69" i="8"/>
  <c r="T65" i="8"/>
  <c r="K72" i="8"/>
  <c r="I73" i="8"/>
  <c r="K57" i="8"/>
  <c r="J58" i="8"/>
  <c r="J59" i="8" s="1"/>
  <c r="J60" i="8" s="1"/>
  <c r="J61" i="8" s="1"/>
  <c r="J62" i="8" s="1"/>
  <c r="J63" i="8" s="1"/>
  <c r="J64" i="8" s="1"/>
  <c r="J65" i="8" s="1"/>
  <c r="J66" i="8" s="1"/>
  <c r="J67" i="8" s="1"/>
  <c r="J68" i="8" s="1"/>
  <c r="J69" i="8" s="1"/>
  <c r="J70" i="8" s="1"/>
  <c r="I59" i="8"/>
  <c r="K58" i="8"/>
  <c r="I13" i="13"/>
  <c r="I11" i="13"/>
  <c r="E9" i="12"/>
  <c r="E8" i="12"/>
  <c r="E7" i="12"/>
  <c r="E6" i="12"/>
  <c r="B23" i="10"/>
  <c r="L22" i="10"/>
  <c r="B22" i="10"/>
  <c r="N21" i="10"/>
  <c r="L21" i="10"/>
  <c r="C14" i="10"/>
  <c r="C16" i="10" s="1"/>
  <c r="B22" i="8"/>
  <c r="B23" i="8" s="1"/>
  <c r="N21" i="8"/>
  <c r="C15" i="8"/>
  <c r="A15" i="7"/>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B9" i="7"/>
  <c r="B10" i="7" s="1"/>
  <c r="D34" i="4"/>
  <c r="D33" i="4"/>
  <c r="D4" i="12" s="1"/>
  <c r="E4" i="12" s="1"/>
  <c r="E10" i="12" s="1"/>
  <c r="C15" i="12" s="1"/>
  <c r="C8" i="4" s="1"/>
  <c r="C3" i="4" s="1"/>
  <c r="D32" i="4"/>
  <c r="D5" i="12" s="1"/>
  <c r="E5" i="12" s="1"/>
  <c r="C9" i="4"/>
  <c r="C82" i="3"/>
  <c r="C66" i="3" s="1"/>
  <c r="C69" i="3" s="1"/>
  <c r="C81" i="3"/>
  <c r="C65" i="3"/>
  <c r="C61" i="3"/>
  <c r="C62" i="3" s="1"/>
  <c r="C52" i="3"/>
  <c r="C57" i="3" s="1"/>
  <c r="C43" i="3"/>
  <c r="C31" i="3"/>
  <c r="C8" i="10" s="1"/>
  <c r="C10" i="10" s="1"/>
  <c r="C23" i="3"/>
  <c r="C24" i="3" s="1"/>
  <c r="C21" i="3"/>
  <c r="C22" i="3" s="1"/>
  <c r="C20" i="3"/>
  <c r="C13" i="3"/>
  <c r="C4" i="2"/>
  <c r="C6" i="1"/>
  <c r="C5" i="1"/>
  <c r="S13" i="14" l="1"/>
  <c r="S16" i="14"/>
  <c r="S12" i="14"/>
  <c r="S11" i="14"/>
  <c r="S15" i="14"/>
  <c r="S14" i="14"/>
  <c r="R13" i="14"/>
  <c r="R16" i="14"/>
  <c r="R15" i="14"/>
  <c r="R14" i="14"/>
  <c r="R11" i="14"/>
  <c r="R12" i="14"/>
  <c r="K73" i="8"/>
  <c r="I74" i="8"/>
  <c r="I60" i="8"/>
  <c r="K59" i="8"/>
  <c r="I10" i="13"/>
  <c r="C58" i="3"/>
  <c r="C29" i="3"/>
  <c r="C25" i="3"/>
  <c r="E29" i="3"/>
  <c r="E68" i="3"/>
  <c r="N23" i="8"/>
  <c r="B24" i="8"/>
  <c r="B3" i="7"/>
  <c r="B5" i="7" s="1"/>
  <c r="N22" i="8"/>
  <c r="C33" i="3"/>
  <c r="C54" i="3"/>
  <c r="C55" i="3" s="1"/>
  <c r="C53" i="3" s="1"/>
  <c r="C68" i="3"/>
  <c r="C70" i="3" s="1"/>
  <c r="C8" i="8"/>
  <c r="K21" i="10"/>
  <c r="E21" i="10" s="1"/>
  <c r="C17" i="10"/>
  <c r="C32" i="3"/>
  <c r="I21" i="8" s="1"/>
  <c r="C64" i="3"/>
  <c r="B24" i="10"/>
  <c r="L23" i="10"/>
  <c r="K74" i="8" l="1"/>
  <c r="I75" i="8"/>
  <c r="I61" i="8"/>
  <c r="K60" i="8"/>
  <c r="L24" i="10"/>
  <c r="B25" i="10"/>
  <c r="I22" i="8"/>
  <c r="O21" i="8"/>
  <c r="B25" i="8"/>
  <c r="N24" i="8"/>
  <c r="M29" i="3"/>
  <c r="C26" i="3"/>
  <c r="F21" i="10"/>
  <c r="C21" i="10"/>
  <c r="J21" i="8"/>
  <c r="J22" i="8" s="1"/>
  <c r="J23" i="8" s="1"/>
  <c r="J24"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C34" i="3"/>
  <c r="M21" i="8"/>
  <c r="E21" i="8" s="1"/>
  <c r="I12" i="13"/>
  <c r="C63" i="3"/>
  <c r="C48" i="3" s="1"/>
  <c r="J14" i="7"/>
  <c r="D14" i="7" s="1"/>
  <c r="B11" i="7"/>
  <c r="I9" i="13"/>
  <c r="K75" i="8" l="1"/>
  <c r="I76" i="8"/>
  <c r="K61" i="8"/>
  <c r="I62" i="8"/>
  <c r="G21" i="10"/>
  <c r="I15" i="13"/>
  <c r="C38" i="3" s="1"/>
  <c r="C39" i="3"/>
  <c r="C40" i="3" s="1"/>
  <c r="C15" i="10"/>
  <c r="C49" i="3"/>
  <c r="J22" i="10" s="1"/>
  <c r="K22" i="10" s="1"/>
  <c r="E22" i="10" s="1"/>
  <c r="I23" i="8"/>
  <c r="K22" i="8"/>
  <c r="C21" i="8"/>
  <c r="H22" i="8" s="1"/>
  <c r="F21" i="8"/>
  <c r="B14" i="7"/>
  <c r="E14" i="7"/>
  <c r="I21" i="10"/>
  <c r="H14" i="7"/>
  <c r="N25" i="8"/>
  <c r="B26" i="8"/>
  <c r="B26" i="10"/>
  <c r="L25" i="10"/>
  <c r="K76" i="8" l="1"/>
  <c r="I77" i="8"/>
  <c r="I63" i="8"/>
  <c r="K62" i="8"/>
  <c r="F22" i="10"/>
  <c r="C22" i="10"/>
  <c r="B27" i="8"/>
  <c r="N26" i="8"/>
  <c r="L26" i="10"/>
  <c r="B27" i="10"/>
  <c r="I22" i="10"/>
  <c r="O21" i="10"/>
  <c r="D21" i="10"/>
  <c r="G21" i="8"/>
  <c r="L22" i="8"/>
  <c r="E22" i="8" s="1"/>
  <c r="F22" i="8" s="1"/>
  <c r="P21" i="8"/>
  <c r="C42" i="3"/>
  <c r="C41" i="3"/>
  <c r="M22" i="10"/>
  <c r="G15" i="7"/>
  <c r="F14" i="7"/>
  <c r="I15" i="7"/>
  <c r="J15" i="7" s="1"/>
  <c r="D15" i="7" s="1"/>
  <c r="E15" i="7" s="1"/>
  <c r="I24" i="8"/>
  <c r="K23" i="8"/>
  <c r="H15" i="7"/>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H57" i="7" s="1"/>
  <c r="H58" i="7" s="1"/>
  <c r="H59" i="7" s="1"/>
  <c r="H60" i="7" s="1"/>
  <c r="H61" i="7" s="1"/>
  <c r="H62" i="7" s="1"/>
  <c r="H63" i="7" s="1"/>
  <c r="H64" i="7" s="1"/>
  <c r="H65" i="7" s="1"/>
  <c r="H66" i="7" s="1"/>
  <c r="H67" i="7" s="1"/>
  <c r="C14" i="7"/>
  <c r="T56" i="8"/>
  <c r="T54" i="8"/>
  <c r="T52" i="8"/>
  <c r="T50" i="8"/>
  <c r="T48" i="8"/>
  <c r="T46" i="8"/>
  <c r="T44" i="8"/>
  <c r="T42" i="8"/>
  <c r="T40" i="8"/>
  <c r="T38" i="8"/>
  <c r="T36" i="8"/>
  <c r="T34" i="8"/>
  <c r="T32" i="8"/>
  <c r="T30" i="8"/>
  <c r="T55" i="8"/>
  <c r="T53" i="8"/>
  <c r="T51" i="8"/>
  <c r="T49" i="8"/>
  <c r="T47" i="8"/>
  <c r="T45" i="8"/>
  <c r="T43" i="8"/>
  <c r="T41" i="8"/>
  <c r="T39" i="8"/>
  <c r="T37" i="8"/>
  <c r="T35" i="8"/>
  <c r="T33" i="8"/>
  <c r="T31" i="8"/>
  <c r="T29" i="8"/>
  <c r="T28" i="8"/>
  <c r="T26" i="8"/>
  <c r="T24" i="8"/>
  <c r="T22" i="8"/>
  <c r="T21" i="8"/>
  <c r="T27" i="8"/>
  <c r="T25" i="8"/>
  <c r="T23" i="8"/>
  <c r="D21" i="8"/>
  <c r="K77" i="8" l="1"/>
  <c r="I78" i="8"/>
  <c r="I64" i="8"/>
  <c r="K63" i="8"/>
  <c r="U22" i="8"/>
  <c r="D22" i="8"/>
  <c r="W22" i="8"/>
  <c r="O22" i="8"/>
  <c r="B15" i="7"/>
  <c r="I23" i="10"/>
  <c r="O22" i="10"/>
  <c r="N27" i="8"/>
  <c r="B28" i="8"/>
  <c r="K24" i="8"/>
  <c r="C15" i="7"/>
  <c r="G16" i="7"/>
  <c r="C22" i="8"/>
  <c r="B28" i="10"/>
  <c r="L27" i="10"/>
  <c r="M23" i="10"/>
  <c r="G22" i="10"/>
  <c r="J23" i="10"/>
  <c r="K23" i="10" s="1"/>
  <c r="E23" i="10" s="1"/>
  <c r="F23" i="10" s="1"/>
  <c r="R22" i="10"/>
  <c r="N22" i="10"/>
  <c r="H22" i="10"/>
  <c r="Q21" i="8"/>
  <c r="S21" i="8"/>
  <c r="K78" i="8" l="1"/>
  <c r="I79" i="8"/>
  <c r="I65" i="8"/>
  <c r="K64" i="8"/>
  <c r="V21" i="8"/>
  <c r="R21" i="8"/>
  <c r="H23" i="10"/>
  <c r="D22" i="10"/>
  <c r="P22" i="10"/>
  <c r="C23" i="10"/>
  <c r="B29" i="10"/>
  <c r="L28" i="10"/>
  <c r="P22" i="8"/>
  <c r="G22" i="8"/>
  <c r="L23" i="8"/>
  <c r="M23" i="8" s="1"/>
  <c r="E23" i="8" s="1"/>
  <c r="F23" i="8" s="1"/>
  <c r="I26" i="8"/>
  <c r="K25" i="8"/>
  <c r="O23" i="10"/>
  <c r="R23" i="10"/>
  <c r="N23" i="10"/>
  <c r="C16" i="7"/>
  <c r="B29" i="8"/>
  <c r="N28" i="8"/>
  <c r="I16" i="7"/>
  <c r="J16" i="7" s="1"/>
  <c r="D16" i="7" s="1"/>
  <c r="E16" i="7" s="1"/>
  <c r="F15" i="7"/>
  <c r="H23" i="8"/>
  <c r="V22" i="8"/>
  <c r="K79" i="8" l="1"/>
  <c r="I80" i="8"/>
  <c r="K65" i="8"/>
  <c r="I66" i="8"/>
  <c r="B16" i="7"/>
  <c r="I25" i="10"/>
  <c r="O24" i="10"/>
  <c r="B30" i="10"/>
  <c r="L29" i="10"/>
  <c r="P23" i="10"/>
  <c r="D23" i="10"/>
  <c r="W23" i="8"/>
  <c r="O23" i="8"/>
  <c r="U23" i="8"/>
  <c r="D23" i="8"/>
  <c r="Q22" i="8"/>
  <c r="R22" i="8" s="1"/>
  <c r="S22" i="8"/>
  <c r="J24" i="10"/>
  <c r="K24" i="10" s="1"/>
  <c r="E24" i="10" s="1"/>
  <c r="F24" i="10" s="1"/>
  <c r="M24" i="10"/>
  <c r="H24" i="10" s="1"/>
  <c r="G23" i="10"/>
  <c r="N29" i="8"/>
  <c r="B30" i="8"/>
  <c r="I27" i="8"/>
  <c r="K26" i="8"/>
  <c r="C23" i="8"/>
  <c r="H24" i="8" s="1"/>
  <c r="S22" i="10"/>
  <c r="Q22" i="10"/>
  <c r="K80" i="8" l="1"/>
  <c r="I81" i="8"/>
  <c r="I67" i="8"/>
  <c r="K66" i="8"/>
  <c r="P24" i="10"/>
  <c r="D24" i="10"/>
  <c r="B31" i="8"/>
  <c r="N30" i="8"/>
  <c r="C24" i="10"/>
  <c r="V23" i="8"/>
  <c r="B31" i="10"/>
  <c r="L30" i="10"/>
  <c r="G23" i="8"/>
  <c r="L24" i="8"/>
  <c r="M24" i="8" s="1"/>
  <c r="E24" i="8" s="1"/>
  <c r="F24" i="8" s="1"/>
  <c r="P23" i="8"/>
  <c r="I28" i="8"/>
  <c r="K27" i="8"/>
  <c r="R24" i="10"/>
  <c r="N24" i="10"/>
  <c r="Q23" i="10"/>
  <c r="S23" i="10"/>
  <c r="I26" i="10"/>
  <c r="O25" i="10"/>
  <c r="F16" i="7"/>
  <c r="I17" i="7"/>
  <c r="J17" i="7" s="1"/>
  <c r="D17" i="7" s="1"/>
  <c r="E17" i="7" s="1"/>
  <c r="G17" i="7"/>
  <c r="K81" i="8" l="1"/>
  <c r="I82" i="8"/>
  <c r="I68" i="8"/>
  <c r="K67" i="8"/>
  <c r="I29" i="8"/>
  <c r="K28" i="8"/>
  <c r="I27" i="10"/>
  <c r="O26" i="10"/>
  <c r="B17" i="7"/>
  <c r="C24" i="8"/>
  <c r="H25" i="8" s="1"/>
  <c r="B32" i="10"/>
  <c r="L31" i="10"/>
  <c r="N31" i="8"/>
  <c r="B32" i="8"/>
  <c r="C17" i="7"/>
  <c r="G18" i="7"/>
  <c r="U24" i="8"/>
  <c r="D24" i="8"/>
  <c r="W24" i="8"/>
  <c r="O24" i="8"/>
  <c r="M25" i="10"/>
  <c r="H25" i="10" s="1"/>
  <c r="G24" i="10"/>
  <c r="J25" i="10"/>
  <c r="K25" i="10" s="1"/>
  <c r="E25" i="10" s="1"/>
  <c r="F25" i="10" s="1"/>
  <c r="S24" i="10"/>
  <c r="Q24" i="10"/>
  <c r="S23" i="8"/>
  <c r="Q23" i="8"/>
  <c r="R23" i="8" s="1"/>
  <c r="K82" i="8" l="1"/>
  <c r="I83" i="8"/>
  <c r="I69" i="8"/>
  <c r="K68" i="8"/>
  <c r="C18" i="7"/>
  <c r="L32" i="10"/>
  <c r="B33" i="10"/>
  <c r="I28" i="10"/>
  <c r="O27" i="10"/>
  <c r="C25" i="10"/>
  <c r="N25" i="10"/>
  <c r="R25" i="10"/>
  <c r="B33" i="8"/>
  <c r="N32" i="8"/>
  <c r="P24" i="8"/>
  <c r="G24" i="8"/>
  <c r="L25" i="8"/>
  <c r="M25" i="8" s="1"/>
  <c r="E25" i="8" s="1"/>
  <c r="F25" i="8" s="1"/>
  <c r="W25" i="8"/>
  <c r="O25" i="8"/>
  <c r="U25" i="8"/>
  <c r="D25" i="8"/>
  <c r="V24" i="8"/>
  <c r="I18" i="7"/>
  <c r="J18" i="7" s="1"/>
  <c r="D18" i="7" s="1"/>
  <c r="E18" i="7" s="1"/>
  <c r="F17" i="7"/>
  <c r="I30" i="8"/>
  <c r="K29" i="8"/>
  <c r="K83" i="8" l="1"/>
  <c r="I84" i="8"/>
  <c r="K69" i="8"/>
  <c r="I70" i="8"/>
  <c r="B34" i="10"/>
  <c r="L33" i="10"/>
  <c r="B18" i="7"/>
  <c r="N33" i="8"/>
  <c r="B34" i="8"/>
  <c r="J26" i="10"/>
  <c r="K26" i="10" s="1"/>
  <c r="E26" i="10" s="1"/>
  <c r="F26" i="10" s="1"/>
  <c r="M26" i="10"/>
  <c r="H26" i="10" s="1"/>
  <c r="G25" i="10"/>
  <c r="Q24" i="8"/>
  <c r="R24" i="8" s="1"/>
  <c r="S24" i="8"/>
  <c r="P25" i="10"/>
  <c r="D25" i="10"/>
  <c r="I31" i="8"/>
  <c r="K30" i="8"/>
  <c r="C25" i="8"/>
  <c r="I29" i="10"/>
  <c r="O28" i="10"/>
  <c r="K84" i="8" l="1"/>
  <c r="I85" i="8"/>
  <c r="K70" i="8"/>
  <c r="I30" i="10"/>
  <c r="O29" i="10"/>
  <c r="I32" i="8"/>
  <c r="K31" i="8"/>
  <c r="R26" i="10"/>
  <c r="N26" i="10"/>
  <c r="F18" i="7"/>
  <c r="I19" i="7"/>
  <c r="J19" i="7" s="1"/>
  <c r="D19" i="7" s="1"/>
  <c r="E19" i="7" s="1"/>
  <c r="G19" i="7"/>
  <c r="D26" i="10"/>
  <c r="P26" i="10"/>
  <c r="G25" i="8"/>
  <c r="L26" i="8"/>
  <c r="M26" i="8" s="1"/>
  <c r="E26" i="8" s="1"/>
  <c r="F26" i="8" s="1"/>
  <c r="P25" i="8"/>
  <c r="H26" i="8"/>
  <c r="V25" i="8"/>
  <c r="C26" i="10"/>
  <c r="Q25" i="10"/>
  <c r="S25" i="10"/>
  <c r="B35" i="8"/>
  <c r="N34" i="8"/>
  <c r="B35" i="10"/>
  <c r="L34" i="10"/>
  <c r="K85" i="8" l="1"/>
  <c r="I86" i="8"/>
  <c r="N35" i="8"/>
  <c r="B36" i="8"/>
  <c r="S26" i="10"/>
  <c r="Q26" i="10"/>
  <c r="M27" i="10"/>
  <c r="G26" i="10"/>
  <c r="J27" i="10"/>
  <c r="K27" i="10" s="1"/>
  <c r="E27" i="10" s="1"/>
  <c r="F27" i="10" s="1"/>
  <c r="C26" i="8"/>
  <c r="H27" i="8" s="1"/>
  <c r="B19" i="7"/>
  <c r="I33" i="8"/>
  <c r="K32" i="8"/>
  <c r="U26" i="8"/>
  <c r="D26" i="8"/>
  <c r="W26" i="8"/>
  <c r="O26" i="8"/>
  <c r="C19" i="7"/>
  <c r="G20" i="7"/>
  <c r="B36" i="10"/>
  <c r="L35" i="10"/>
  <c r="S25" i="8"/>
  <c r="Q25" i="8"/>
  <c r="R25" i="8" s="1"/>
  <c r="I31" i="10"/>
  <c r="O30" i="10"/>
  <c r="K86" i="8" l="1"/>
  <c r="I87" i="8"/>
  <c r="I32" i="10"/>
  <c r="O31" i="10"/>
  <c r="C20" i="7"/>
  <c r="I34" i="8"/>
  <c r="K33" i="8"/>
  <c r="C27" i="10"/>
  <c r="B37" i="10"/>
  <c r="L36" i="10"/>
  <c r="I20" i="7"/>
  <c r="J20" i="7" s="1"/>
  <c r="D20" i="7" s="1"/>
  <c r="E20" i="7" s="1"/>
  <c r="F19" i="7"/>
  <c r="B37" i="8"/>
  <c r="N36" i="8"/>
  <c r="W27" i="8"/>
  <c r="O27" i="8"/>
  <c r="U27" i="8"/>
  <c r="D27" i="8"/>
  <c r="V26" i="8"/>
  <c r="P26" i="8"/>
  <c r="G26" i="8"/>
  <c r="L27" i="8"/>
  <c r="M27" i="8" s="1"/>
  <c r="E27" i="8" s="1"/>
  <c r="F27" i="8" s="1"/>
  <c r="R27" i="10"/>
  <c r="N27" i="10"/>
  <c r="H27" i="10"/>
  <c r="K87" i="8" l="1"/>
  <c r="I88" i="8"/>
  <c r="B38" i="10"/>
  <c r="L37" i="10"/>
  <c r="J28" i="10"/>
  <c r="K28" i="10" s="1"/>
  <c r="E28" i="10" s="1"/>
  <c r="F28" i="10" s="1"/>
  <c r="M28" i="10"/>
  <c r="H28" i="10" s="1"/>
  <c r="G27" i="10"/>
  <c r="Q26" i="8"/>
  <c r="R26" i="8" s="1"/>
  <c r="S26" i="8"/>
  <c r="B20" i="7"/>
  <c r="P27" i="10"/>
  <c r="D27" i="10"/>
  <c r="C27" i="8"/>
  <c r="N37" i="8"/>
  <c r="B38" i="8"/>
  <c r="I35" i="8"/>
  <c r="K34" i="8"/>
  <c r="I33" i="10"/>
  <c r="O32" i="10"/>
  <c r="K88" i="8" l="1"/>
  <c r="I89" i="8"/>
  <c r="Q27" i="10"/>
  <c r="S27" i="10"/>
  <c r="C28" i="10"/>
  <c r="B39" i="8"/>
  <c r="N38" i="8"/>
  <c r="F20" i="7"/>
  <c r="I21" i="7"/>
  <c r="J21" i="7" s="1"/>
  <c r="D21" i="7" s="1"/>
  <c r="E21" i="7" s="1"/>
  <c r="G21" i="7"/>
  <c r="I34" i="10"/>
  <c r="O33" i="10"/>
  <c r="G27" i="8"/>
  <c r="L28" i="8"/>
  <c r="M28" i="8" s="1"/>
  <c r="E28" i="8" s="1"/>
  <c r="F28" i="8" s="1"/>
  <c r="P27" i="8"/>
  <c r="H28" i="8"/>
  <c r="I36" i="8"/>
  <c r="K35" i="8"/>
  <c r="D28" i="10"/>
  <c r="P28" i="10"/>
  <c r="V27" i="8"/>
  <c r="R28" i="10"/>
  <c r="N28" i="10"/>
  <c r="B39" i="10"/>
  <c r="L38" i="10"/>
  <c r="K89" i="8" l="1"/>
  <c r="I90" i="8"/>
  <c r="S28" i="10"/>
  <c r="Q28" i="10"/>
  <c r="W28" i="8"/>
  <c r="U28" i="8"/>
  <c r="D28" i="8"/>
  <c r="O28" i="8"/>
  <c r="N39" i="8"/>
  <c r="B40" i="8"/>
  <c r="S27" i="8"/>
  <c r="Q27" i="8"/>
  <c r="R27" i="8" s="1"/>
  <c r="B21" i="7"/>
  <c r="M29" i="10"/>
  <c r="G28" i="10"/>
  <c r="J29" i="10"/>
  <c r="K29" i="10" s="1"/>
  <c r="E29" i="10" s="1"/>
  <c r="F29" i="10" s="1"/>
  <c r="C28" i="8"/>
  <c r="H29" i="8" s="1"/>
  <c r="I35" i="10"/>
  <c r="O34" i="10"/>
  <c r="B40" i="10"/>
  <c r="L39" i="10"/>
  <c r="I37" i="8"/>
  <c r="K36" i="8"/>
  <c r="C21" i="7"/>
  <c r="G22" i="7"/>
  <c r="K90" i="8" l="1"/>
  <c r="I91" i="8"/>
  <c r="U29" i="8"/>
  <c r="D29" i="8"/>
  <c r="W29" i="8"/>
  <c r="O29" i="8"/>
  <c r="I22" i="7"/>
  <c r="J22" i="7" s="1"/>
  <c r="D22" i="7" s="1"/>
  <c r="E22" i="7" s="1"/>
  <c r="F21" i="7"/>
  <c r="B41" i="10"/>
  <c r="L40" i="10"/>
  <c r="C29" i="10"/>
  <c r="I38" i="8"/>
  <c r="K37" i="8"/>
  <c r="I36" i="10"/>
  <c r="O35" i="10"/>
  <c r="C22" i="7"/>
  <c r="L29" i="8"/>
  <c r="M29" i="8" s="1"/>
  <c r="E29" i="8" s="1"/>
  <c r="F29" i="8" s="1"/>
  <c r="P28" i="8"/>
  <c r="G28" i="8"/>
  <c r="R29" i="10"/>
  <c r="N29" i="10"/>
  <c r="H29" i="10"/>
  <c r="B41" i="8"/>
  <c r="N40" i="8"/>
  <c r="V28" i="8"/>
  <c r="K91" i="8" l="1"/>
  <c r="I92" i="8"/>
  <c r="C29" i="8"/>
  <c r="P29" i="10"/>
  <c r="D29" i="10"/>
  <c r="Q28" i="8"/>
  <c r="R28" i="8" s="1"/>
  <c r="S28" i="8"/>
  <c r="I39" i="8"/>
  <c r="K38" i="8"/>
  <c r="J30" i="10"/>
  <c r="K30" i="10" s="1"/>
  <c r="E30" i="10" s="1"/>
  <c r="F30" i="10" s="1"/>
  <c r="M30" i="10"/>
  <c r="H30" i="10" s="1"/>
  <c r="G29" i="10"/>
  <c r="I37" i="10"/>
  <c r="O36" i="10"/>
  <c r="B22" i="7"/>
  <c r="N41" i="8"/>
  <c r="B42" i="8"/>
  <c r="B42" i="10"/>
  <c r="L41" i="10"/>
  <c r="K92" i="8" l="1"/>
  <c r="I93" i="8"/>
  <c r="V29" i="8"/>
  <c r="D30" i="10"/>
  <c r="P30" i="10"/>
  <c r="B43" i="8"/>
  <c r="N42" i="8"/>
  <c r="B43" i="10"/>
  <c r="L42" i="10"/>
  <c r="F22" i="7"/>
  <c r="I23" i="7"/>
  <c r="J23" i="7" s="1"/>
  <c r="D23" i="7" s="1"/>
  <c r="E23" i="7" s="1"/>
  <c r="G23" i="7"/>
  <c r="R30" i="10"/>
  <c r="N30" i="10"/>
  <c r="I40" i="8"/>
  <c r="K39" i="8"/>
  <c r="Q29" i="10"/>
  <c r="S29" i="10"/>
  <c r="I38" i="10"/>
  <c r="O37" i="10"/>
  <c r="C30" i="10"/>
  <c r="L30" i="8"/>
  <c r="M30" i="8" s="1"/>
  <c r="E30" i="8" s="1"/>
  <c r="F30" i="8" s="1"/>
  <c r="P29" i="8"/>
  <c r="G29" i="8"/>
  <c r="H30" i="8"/>
  <c r="K93" i="8" l="1"/>
  <c r="I94" i="8"/>
  <c r="M31" i="10"/>
  <c r="G30" i="10"/>
  <c r="J31" i="10"/>
  <c r="K31" i="10" s="1"/>
  <c r="E31" i="10" s="1"/>
  <c r="F31" i="10" s="1"/>
  <c r="N43" i="8"/>
  <c r="B44" i="8"/>
  <c r="Q29" i="8"/>
  <c r="R29" i="8" s="1"/>
  <c r="S29" i="8"/>
  <c r="C23" i="7"/>
  <c r="S30" i="10"/>
  <c r="Q30" i="10"/>
  <c r="C30" i="8"/>
  <c r="H31" i="8" s="1"/>
  <c r="I39" i="10"/>
  <c r="O38" i="10"/>
  <c r="I41" i="8"/>
  <c r="K40" i="8"/>
  <c r="B44" i="10"/>
  <c r="L43" i="10"/>
  <c r="D30" i="8"/>
  <c r="W30" i="8"/>
  <c r="O30" i="8"/>
  <c r="U30" i="8"/>
  <c r="B23" i="7"/>
  <c r="G24" i="7" s="1"/>
  <c r="K94" i="8" l="1"/>
  <c r="I95" i="8"/>
  <c r="V30" i="8"/>
  <c r="U31" i="8"/>
  <c r="D31" i="8"/>
  <c r="W31" i="8"/>
  <c r="O31" i="8"/>
  <c r="C24" i="7"/>
  <c r="I42" i="8"/>
  <c r="K41" i="8"/>
  <c r="C31" i="10"/>
  <c r="B45" i="10"/>
  <c r="L44" i="10"/>
  <c r="I40" i="10"/>
  <c r="O39" i="10"/>
  <c r="B45" i="8"/>
  <c r="N44" i="8"/>
  <c r="I24" i="7"/>
  <c r="J24" i="7" s="1"/>
  <c r="D24" i="7" s="1"/>
  <c r="E24" i="7" s="1"/>
  <c r="F23" i="7"/>
  <c r="P30" i="8"/>
  <c r="G30" i="8"/>
  <c r="L31" i="8"/>
  <c r="M31" i="8" s="1"/>
  <c r="E31" i="8" s="1"/>
  <c r="F31" i="8" s="1"/>
  <c r="R31" i="10"/>
  <c r="N31" i="10"/>
  <c r="H31" i="10"/>
  <c r="K95" i="8" l="1"/>
  <c r="I96" i="8"/>
  <c r="P31" i="10"/>
  <c r="D31" i="10"/>
  <c r="I43" i="8"/>
  <c r="K42" i="8"/>
  <c r="S30" i="8"/>
  <c r="Q30" i="8"/>
  <c r="R30" i="8" s="1"/>
  <c r="C31" i="8"/>
  <c r="N45" i="8"/>
  <c r="B46" i="8"/>
  <c r="B46" i="10"/>
  <c r="L45" i="10"/>
  <c r="J32" i="10"/>
  <c r="K32" i="10" s="1"/>
  <c r="E32" i="10" s="1"/>
  <c r="F32" i="10" s="1"/>
  <c r="M32" i="10"/>
  <c r="G31" i="10"/>
  <c r="B24" i="7"/>
  <c r="I41" i="10"/>
  <c r="O40" i="10"/>
  <c r="K96" i="8" l="1"/>
  <c r="I97" i="8"/>
  <c r="V31" i="8"/>
  <c r="F24" i="7"/>
  <c r="I25" i="7"/>
  <c r="J25" i="7" s="1"/>
  <c r="D25" i="7" s="1"/>
  <c r="E25" i="7" s="1"/>
  <c r="G25" i="7"/>
  <c r="L32" i="8"/>
  <c r="M32" i="8" s="1"/>
  <c r="E32" i="8" s="1"/>
  <c r="F32" i="8" s="1"/>
  <c r="P31" i="8"/>
  <c r="G31" i="8"/>
  <c r="H32" i="8"/>
  <c r="I44" i="8"/>
  <c r="K43" i="8"/>
  <c r="I42" i="10"/>
  <c r="O41" i="10"/>
  <c r="R32" i="10"/>
  <c r="N32" i="10"/>
  <c r="B47" i="10"/>
  <c r="L46" i="10"/>
  <c r="H32" i="10"/>
  <c r="B47" i="8"/>
  <c r="N46" i="8"/>
  <c r="C32" i="10"/>
  <c r="Q31" i="10"/>
  <c r="S31" i="10"/>
  <c r="K97" i="8" l="1"/>
  <c r="I98" i="8"/>
  <c r="M33" i="10"/>
  <c r="H33" i="10" s="1"/>
  <c r="G32" i="10"/>
  <c r="J33" i="10"/>
  <c r="K33" i="10" s="1"/>
  <c r="E33" i="10" s="1"/>
  <c r="F33" i="10" s="1"/>
  <c r="B48" i="10"/>
  <c r="L47" i="10"/>
  <c r="I43" i="10"/>
  <c r="O42" i="10"/>
  <c r="C25" i="7"/>
  <c r="Q31" i="8"/>
  <c r="R31" i="8" s="1"/>
  <c r="S31" i="8"/>
  <c r="N47" i="8"/>
  <c r="B48" i="8"/>
  <c r="P32" i="10"/>
  <c r="D32" i="10"/>
  <c r="I45" i="8"/>
  <c r="K44" i="8"/>
  <c r="C32" i="8"/>
  <c r="B25" i="7"/>
  <c r="G26" i="7" s="1"/>
  <c r="D32" i="8"/>
  <c r="W32" i="8"/>
  <c r="O32" i="8"/>
  <c r="U32" i="8"/>
  <c r="K98" i="8" l="1"/>
  <c r="I99" i="8"/>
  <c r="V32" i="8"/>
  <c r="C26" i="7"/>
  <c r="P32" i="8"/>
  <c r="G32" i="8"/>
  <c r="L33" i="8"/>
  <c r="M33" i="8" s="1"/>
  <c r="E33" i="8" s="1"/>
  <c r="F33" i="8" s="1"/>
  <c r="S32" i="10"/>
  <c r="Q32" i="10"/>
  <c r="P33" i="10"/>
  <c r="D33" i="10"/>
  <c r="I44" i="10"/>
  <c r="O43" i="10"/>
  <c r="C33" i="10"/>
  <c r="I46" i="8"/>
  <c r="K45" i="8"/>
  <c r="B49" i="8"/>
  <c r="N48" i="8"/>
  <c r="H33" i="8"/>
  <c r="I26" i="7"/>
  <c r="J26" i="7" s="1"/>
  <c r="D26" i="7" s="1"/>
  <c r="E26" i="7" s="1"/>
  <c r="F25" i="7"/>
  <c r="L48" i="10"/>
  <c r="B49" i="10"/>
  <c r="N33" i="10"/>
  <c r="R33" i="10"/>
  <c r="K99" i="8" l="1"/>
  <c r="I100" i="8"/>
  <c r="B50" i="10"/>
  <c r="L49" i="10"/>
  <c r="B26" i="7"/>
  <c r="I45" i="10"/>
  <c r="O44" i="10"/>
  <c r="U33" i="8"/>
  <c r="D33" i="8"/>
  <c r="W33" i="8"/>
  <c r="O33" i="8"/>
  <c r="I47" i="8"/>
  <c r="K46" i="8"/>
  <c r="S32" i="8"/>
  <c r="Q32" i="8"/>
  <c r="R32" i="8" s="1"/>
  <c r="J34" i="10"/>
  <c r="K34" i="10" s="1"/>
  <c r="E34" i="10" s="1"/>
  <c r="F34" i="10" s="1"/>
  <c r="M34" i="10"/>
  <c r="G33" i="10"/>
  <c r="C33" i="8"/>
  <c r="N49" i="8"/>
  <c r="B50" i="8"/>
  <c r="Q33" i="10"/>
  <c r="S33" i="10"/>
  <c r="K100" i="8" l="1"/>
  <c r="I101" i="8"/>
  <c r="I46" i="10"/>
  <c r="O45" i="10"/>
  <c r="L34" i="8"/>
  <c r="M34" i="8" s="1"/>
  <c r="E34" i="8" s="1"/>
  <c r="F34" i="8" s="1"/>
  <c r="P33" i="8"/>
  <c r="G33" i="8"/>
  <c r="C34" i="10"/>
  <c r="I48" i="8"/>
  <c r="K47" i="8"/>
  <c r="V33" i="8"/>
  <c r="F26" i="7"/>
  <c r="I27" i="7"/>
  <c r="J27" i="7" s="1"/>
  <c r="D27" i="7" s="1"/>
  <c r="E27" i="7" s="1"/>
  <c r="G27" i="7"/>
  <c r="H34" i="8"/>
  <c r="B51" i="8"/>
  <c r="N50" i="8"/>
  <c r="R34" i="10"/>
  <c r="N34" i="10"/>
  <c r="H34" i="10"/>
  <c r="L50" i="10"/>
  <c r="B51" i="10"/>
  <c r="K101" i="8" l="1"/>
  <c r="I102" i="8"/>
  <c r="P34" i="10"/>
  <c r="D34" i="10"/>
  <c r="N51" i="8"/>
  <c r="B52" i="8"/>
  <c r="B27" i="7"/>
  <c r="I49" i="8"/>
  <c r="K48" i="8"/>
  <c r="C34" i="8"/>
  <c r="H35" i="8" s="1"/>
  <c r="M35" i="10"/>
  <c r="G34" i="10"/>
  <c r="J35" i="10"/>
  <c r="K35" i="10" s="1"/>
  <c r="E35" i="10" s="1"/>
  <c r="F35" i="10" s="1"/>
  <c r="B52" i="10"/>
  <c r="L51" i="10"/>
  <c r="C27" i="7"/>
  <c r="G28" i="7"/>
  <c r="D34" i="8"/>
  <c r="W34" i="8"/>
  <c r="O34" i="8"/>
  <c r="U34" i="8"/>
  <c r="Q33" i="8"/>
  <c r="R33" i="8" s="1"/>
  <c r="S33" i="8"/>
  <c r="I47" i="10"/>
  <c r="O46" i="10"/>
  <c r="K102" i="8" l="1"/>
  <c r="I103" i="8"/>
  <c r="C28" i="7"/>
  <c r="C35" i="10"/>
  <c r="I48" i="10"/>
  <c r="O47" i="10"/>
  <c r="I50" i="8"/>
  <c r="K49" i="8"/>
  <c r="V34" i="8"/>
  <c r="B53" i="10"/>
  <c r="L52" i="10"/>
  <c r="R35" i="10"/>
  <c r="N35" i="10"/>
  <c r="I28" i="7"/>
  <c r="J28" i="7" s="1"/>
  <c r="D28" i="7" s="1"/>
  <c r="E28" i="7" s="1"/>
  <c r="F27" i="7"/>
  <c r="S34" i="10"/>
  <c r="Q34" i="10"/>
  <c r="U35" i="8"/>
  <c r="D35" i="8"/>
  <c r="W35" i="8"/>
  <c r="O35" i="8"/>
  <c r="P34" i="8"/>
  <c r="G34" i="8"/>
  <c r="L35" i="8"/>
  <c r="M35" i="8" s="1"/>
  <c r="E35" i="8" s="1"/>
  <c r="F35" i="8" s="1"/>
  <c r="B53" i="8"/>
  <c r="N52" i="8"/>
  <c r="H35" i="10"/>
  <c r="I104" i="8" l="1"/>
  <c r="K103" i="8"/>
  <c r="C35" i="8"/>
  <c r="H36" i="8" s="1"/>
  <c r="D36" i="8" s="1"/>
  <c r="P35" i="10"/>
  <c r="D35" i="10"/>
  <c r="I49" i="10"/>
  <c r="O48" i="10"/>
  <c r="N53" i="8"/>
  <c r="B54" i="8"/>
  <c r="S34" i="8"/>
  <c r="Q34" i="8"/>
  <c r="R34" i="8" s="1"/>
  <c r="J36" i="10"/>
  <c r="K36" i="10" s="1"/>
  <c r="E36" i="10" s="1"/>
  <c r="F36" i="10" s="1"/>
  <c r="M36" i="10"/>
  <c r="H36" i="10" s="1"/>
  <c r="G35" i="10"/>
  <c r="I51" i="8"/>
  <c r="K50" i="8"/>
  <c r="B28" i="7"/>
  <c r="B54" i="10"/>
  <c r="L53" i="10"/>
  <c r="I105" i="8" l="1"/>
  <c r="K104" i="8"/>
  <c r="L36" i="8"/>
  <c r="M36" i="8" s="1"/>
  <c r="E36" i="8" s="1"/>
  <c r="F36" i="8" s="1"/>
  <c r="G35" i="8"/>
  <c r="P35" i="8"/>
  <c r="S35" i="8" s="1"/>
  <c r="V35" i="8"/>
  <c r="U36" i="8"/>
  <c r="O36" i="8"/>
  <c r="W36" i="8"/>
  <c r="P36" i="10"/>
  <c r="D36" i="10"/>
  <c r="F28" i="7"/>
  <c r="I29" i="7"/>
  <c r="J29" i="7" s="1"/>
  <c r="D29" i="7" s="1"/>
  <c r="E29" i="7" s="1"/>
  <c r="G29" i="7"/>
  <c r="I52" i="8"/>
  <c r="K51" i="8"/>
  <c r="C36" i="10"/>
  <c r="B55" i="8"/>
  <c r="N54" i="8"/>
  <c r="B55" i="10"/>
  <c r="L54" i="10"/>
  <c r="R36" i="10"/>
  <c r="N36" i="10"/>
  <c r="Q35" i="10"/>
  <c r="S35" i="10"/>
  <c r="I50" i="10"/>
  <c r="O49" i="10"/>
  <c r="I106" i="8" l="1"/>
  <c r="K105" i="8"/>
  <c r="C36" i="8"/>
  <c r="L37" i="8" s="1"/>
  <c r="M37" i="8" s="1"/>
  <c r="E37" i="8" s="1"/>
  <c r="Q35" i="8"/>
  <c r="R35" i="8" s="1"/>
  <c r="M37" i="10"/>
  <c r="G36" i="10"/>
  <c r="J37" i="10"/>
  <c r="K37" i="10" s="1"/>
  <c r="E37" i="10" s="1"/>
  <c r="F37" i="10" s="1"/>
  <c r="B56" i="10"/>
  <c r="L55" i="10"/>
  <c r="C29" i="7"/>
  <c r="S36" i="10"/>
  <c r="Q36" i="10"/>
  <c r="I51" i="10"/>
  <c r="O50" i="10"/>
  <c r="I53" i="8"/>
  <c r="K52" i="8"/>
  <c r="N55" i="8"/>
  <c r="B56" i="8"/>
  <c r="B29" i="7"/>
  <c r="I107" i="8" l="1"/>
  <c r="K106" i="8"/>
  <c r="F37" i="8"/>
  <c r="N57" i="8"/>
  <c r="V36" i="8"/>
  <c r="G36" i="8"/>
  <c r="P36" i="8"/>
  <c r="Q36" i="8" s="1"/>
  <c r="R36" i="8" s="1"/>
  <c r="H37" i="8"/>
  <c r="O37" i="8" s="1"/>
  <c r="C37" i="8"/>
  <c r="P37" i="8" s="1"/>
  <c r="I30" i="7"/>
  <c r="J30" i="7" s="1"/>
  <c r="D30" i="7" s="1"/>
  <c r="E30" i="7" s="1"/>
  <c r="F29" i="7"/>
  <c r="B57" i="8"/>
  <c r="N56" i="8"/>
  <c r="G30" i="7"/>
  <c r="I52" i="10"/>
  <c r="O51" i="10"/>
  <c r="C37" i="10"/>
  <c r="I54" i="8"/>
  <c r="K53" i="8"/>
  <c r="L56" i="10"/>
  <c r="B57" i="10"/>
  <c r="R37" i="10"/>
  <c r="N37" i="10"/>
  <c r="H37" i="10"/>
  <c r="I108" i="8" l="1"/>
  <c r="K107" i="8"/>
  <c r="D37" i="8"/>
  <c r="S36" i="8"/>
  <c r="W37" i="8"/>
  <c r="U37" i="8"/>
  <c r="V37" i="8" s="1"/>
  <c r="G37" i="8"/>
  <c r="L38" i="8"/>
  <c r="M38" i="8" s="1"/>
  <c r="E38" i="8" s="1"/>
  <c r="H38" i="8"/>
  <c r="D38" i="8" s="1"/>
  <c r="I55" i="8"/>
  <c r="K54" i="8"/>
  <c r="B58" i="10"/>
  <c r="L57" i="10"/>
  <c r="J38" i="10"/>
  <c r="K38" i="10" s="1"/>
  <c r="E38" i="10" s="1"/>
  <c r="F38" i="10" s="1"/>
  <c r="M38" i="10"/>
  <c r="H38" i="10" s="1"/>
  <c r="G37" i="10"/>
  <c r="B58" i="8"/>
  <c r="P37" i="10"/>
  <c r="D37" i="10"/>
  <c r="Q37" i="8"/>
  <c r="R37" i="8" s="1"/>
  <c r="S37" i="8"/>
  <c r="I53" i="10"/>
  <c r="O52" i="10"/>
  <c r="C30" i="7"/>
  <c r="B30" i="7"/>
  <c r="G31" i="7" s="1"/>
  <c r="I109" i="8" l="1"/>
  <c r="K108" i="8"/>
  <c r="F38" i="8"/>
  <c r="N58" i="8"/>
  <c r="U38" i="8"/>
  <c r="V38" i="8" s="1"/>
  <c r="W38" i="8"/>
  <c r="O38" i="8"/>
  <c r="C38" i="8"/>
  <c r="H39" i="8" s="1"/>
  <c r="C31" i="7"/>
  <c r="I54" i="10"/>
  <c r="O53" i="10"/>
  <c r="B59" i="8"/>
  <c r="R38" i="10"/>
  <c r="N38" i="10"/>
  <c r="L58" i="10"/>
  <c r="B59" i="10"/>
  <c r="F30" i="7"/>
  <c r="I31" i="7"/>
  <c r="J31" i="7" s="1"/>
  <c r="D31" i="7" s="1"/>
  <c r="E31" i="7" s="1"/>
  <c r="P38" i="10"/>
  <c r="D38" i="10"/>
  <c r="C38" i="10"/>
  <c r="I56" i="8"/>
  <c r="K55" i="8"/>
  <c r="Q37" i="10"/>
  <c r="S37" i="10"/>
  <c r="I110" i="8" l="1"/>
  <c r="K109" i="8"/>
  <c r="G38" i="8"/>
  <c r="L39" i="8"/>
  <c r="M39" i="8" s="1"/>
  <c r="E39" i="8" s="1"/>
  <c r="D39" i="8"/>
  <c r="W39" i="8"/>
  <c r="O39" i="8"/>
  <c r="U39" i="8"/>
  <c r="P38" i="8"/>
  <c r="S38" i="8" s="1"/>
  <c r="M39" i="10"/>
  <c r="G38" i="10"/>
  <c r="J39" i="10"/>
  <c r="K39" i="10" s="1"/>
  <c r="E39" i="10" s="1"/>
  <c r="F39" i="10" s="1"/>
  <c r="B31" i="7"/>
  <c r="S38" i="10"/>
  <c r="Q38" i="10"/>
  <c r="I55" i="10"/>
  <c r="O54" i="10"/>
  <c r="K56" i="8"/>
  <c r="B60" i="10"/>
  <c r="L59" i="10"/>
  <c r="B60" i="8"/>
  <c r="I111" i="8" l="1"/>
  <c r="K110" i="8"/>
  <c r="F39" i="8"/>
  <c r="N59" i="8"/>
  <c r="C39" i="8"/>
  <c r="L40" i="8" s="1"/>
  <c r="M40" i="8" s="1"/>
  <c r="E40" i="8" s="1"/>
  <c r="Q38" i="8"/>
  <c r="R38" i="8" s="1"/>
  <c r="B61" i="10"/>
  <c r="L60" i="10"/>
  <c r="C39" i="10"/>
  <c r="B61" i="8"/>
  <c r="I56" i="10"/>
  <c r="O55" i="10"/>
  <c r="I32" i="7"/>
  <c r="J32" i="7" s="1"/>
  <c r="D32" i="7" s="1"/>
  <c r="E32" i="7" s="1"/>
  <c r="F31" i="7"/>
  <c r="G32" i="7"/>
  <c r="R39" i="10"/>
  <c r="N39" i="10"/>
  <c r="H39" i="10"/>
  <c r="I112" i="8" l="1"/>
  <c r="K111" i="8"/>
  <c r="F40" i="8"/>
  <c r="N60" i="8"/>
  <c r="H40" i="8"/>
  <c r="O40" i="8" s="1"/>
  <c r="P39" i="8"/>
  <c r="S39" i="8" s="1"/>
  <c r="G39" i="8"/>
  <c r="V39" i="8"/>
  <c r="J40" i="10"/>
  <c r="K40" i="10" s="1"/>
  <c r="E40" i="10" s="1"/>
  <c r="F40" i="10" s="1"/>
  <c r="M40" i="10"/>
  <c r="H40" i="10" s="1"/>
  <c r="G39" i="10"/>
  <c r="B32" i="7"/>
  <c r="I57" i="10"/>
  <c r="O56" i="10"/>
  <c r="G33" i="7"/>
  <c r="C32" i="7"/>
  <c r="B62" i="10"/>
  <c r="L61" i="10"/>
  <c r="C40" i="8"/>
  <c r="P39" i="10"/>
  <c r="D39" i="10"/>
  <c r="B62" i="8"/>
  <c r="I113" i="8" l="1"/>
  <c r="K112" i="8"/>
  <c r="W40" i="8"/>
  <c r="U40" i="8"/>
  <c r="D40" i="8"/>
  <c r="H41" i="8"/>
  <c r="O41" i="8" s="1"/>
  <c r="Q39" i="8"/>
  <c r="R39" i="8" s="1"/>
  <c r="Q39" i="10"/>
  <c r="S39" i="10"/>
  <c r="B63" i="8"/>
  <c r="P40" i="8"/>
  <c r="G40" i="8"/>
  <c r="L41" i="8"/>
  <c r="M41" i="8" s="1"/>
  <c r="E41" i="8" s="1"/>
  <c r="R40" i="10"/>
  <c r="N40" i="10"/>
  <c r="I58" i="10"/>
  <c r="O57" i="10"/>
  <c r="P40" i="10"/>
  <c r="D40" i="10"/>
  <c r="C33" i="7"/>
  <c r="B63" i="10"/>
  <c r="L62" i="10"/>
  <c r="F32" i="7"/>
  <c r="I33" i="7"/>
  <c r="J33" i="7" s="1"/>
  <c r="D33" i="7" s="1"/>
  <c r="E33" i="7" s="1"/>
  <c r="C40" i="10"/>
  <c r="I114" i="8" l="1"/>
  <c r="K113" i="8"/>
  <c r="C41" i="8"/>
  <c r="P41" i="8" s="1"/>
  <c r="N61" i="8"/>
  <c r="W41" i="8"/>
  <c r="D41" i="8"/>
  <c r="U41" i="8"/>
  <c r="V40" i="8"/>
  <c r="B64" i="10"/>
  <c r="L63" i="10"/>
  <c r="B33" i="7"/>
  <c r="S40" i="8"/>
  <c r="Q40" i="8"/>
  <c r="R40" i="8" s="1"/>
  <c r="B64" i="8"/>
  <c r="M41" i="10"/>
  <c r="G40" i="10"/>
  <c r="J41" i="10"/>
  <c r="K41" i="10" s="1"/>
  <c r="E41" i="10" s="1"/>
  <c r="F41" i="10" s="1"/>
  <c r="I59" i="10"/>
  <c r="O58" i="10"/>
  <c r="F41" i="8"/>
  <c r="S40" i="10"/>
  <c r="Q40" i="10"/>
  <c r="G41" i="8" l="1"/>
  <c r="H42" i="8"/>
  <c r="O42" i="8" s="1"/>
  <c r="I115" i="8"/>
  <c r="K114" i="8"/>
  <c r="L42" i="8"/>
  <c r="M42" i="8" s="1"/>
  <c r="E42" i="8" s="1"/>
  <c r="C42" i="8" s="1"/>
  <c r="P42" i="8" s="1"/>
  <c r="V41" i="8"/>
  <c r="B65" i="8"/>
  <c r="I34" i="7"/>
  <c r="J34" i="7" s="1"/>
  <c r="D34" i="7" s="1"/>
  <c r="E34" i="7" s="1"/>
  <c r="F33" i="7"/>
  <c r="G34" i="7"/>
  <c r="Q41" i="8"/>
  <c r="R41" i="8" s="1"/>
  <c r="S41" i="8"/>
  <c r="C41" i="10"/>
  <c r="L64" i="10"/>
  <c r="B65" i="10"/>
  <c r="I60" i="10"/>
  <c r="O59" i="10"/>
  <c r="R41" i="10"/>
  <c r="N41" i="10"/>
  <c r="H41" i="10"/>
  <c r="W42" i="8" l="1"/>
  <c r="D42" i="8"/>
  <c r="U42" i="8"/>
  <c r="V42" i="8" s="1"/>
  <c r="I116" i="8"/>
  <c r="K115" i="8"/>
  <c r="F42" i="8"/>
  <c r="N62" i="8"/>
  <c r="L43" i="8"/>
  <c r="M43" i="8" s="1"/>
  <c r="E43" i="8" s="1"/>
  <c r="F43" i="8" s="1"/>
  <c r="G42" i="8"/>
  <c r="H43" i="8"/>
  <c r="D43" i="8" s="1"/>
  <c r="J42" i="10"/>
  <c r="K42" i="10" s="1"/>
  <c r="E42" i="10" s="1"/>
  <c r="F42" i="10" s="1"/>
  <c r="M42" i="10"/>
  <c r="H42" i="10" s="1"/>
  <c r="G41" i="10"/>
  <c r="B34" i="7"/>
  <c r="P41" i="10"/>
  <c r="D41" i="10"/>
  <c r="I61" i="10"/>
  <c r="O60" i="10"/>
  <c r="G35" i="7"/>
  <c r="C34" i="7"/>
  <c r="B66" i="10"/>
  <c r="L65" i="10"/>
  <c r="B66" i="8"/>
  <c r="S42" i="8"/>
  <c r="Q42" i="8"/>
  <c r="R42" i="8" s="1"/>
  <c r="O43" i="8" l="1"/>
  <c r="I117" i="8"/>
  <c r="K116" i="8"/>
  <c r="W43" i="8"/>
  <c r="U43" i="8"/>
  <c r="V43" i="8" s="1"/>
  <c r="C43" i="8"/>
  <c r="N63" i="8"/>
  <c r="C42" i="10"/>
  <c r="G42" i="10" s="1"/>
  <c r="B67" i="8"/>
  <c r="P42" i="10"/>
  <c r="D42" i="10"/>
  <c r="C35" i="7"/>
  <c r="F34" i="7"/>
  <c r="I35" i="7"/>
  <c r="J35" i="7" s="1"/>
  <c r="D35" i="7" s="1"/>
  <c r="E35" i="7" s="1"/>
  <c r="N42" i="10"/>
  <c r="R42" i="10"/>
  <c r="L66" i="10"/>
  <c r="B67" i="10"/>
  <c r="Q41" i="10"/>
  <c r="S41" i="10"/>
  <c r="I62" i="10"/>
  <c r="O61" i="10"/>
  <c r="I118" i="8" l="1"/>
  <c r="K117" i="8"/>
  <c r="G43" i="8"/>
  <c r="H44" i="8"/>
  <c r="P43" i="8"/>
  <c r="L44" i="8"/>
  <c r="M44" i="8" s="1"/>
  <c r="E44" i="8" s="1"/>
  <c r="M43" i="10"/>
  <c r="H43" i="10" s="1"/>
  <c r="P43" i="10" s="1"/>
  <c r="J43" i="10"/>
  <c r="K43" i="10" s="1"/>
  <c r="E43" i="10" s="1"/>
  <c r="F43" i="10" s="1"/>
  <c r="B35" i="7"/>
  <c r="I63" i="10"/>
  <c r="O62" i="10"/>
  <c r="B68" i="10"/>
  <c r="L67" i="10"/>
  <c r="Q42" i="10"/>
  <c r="S42" i="10"/>
  <c r="B68" i="8"/>
  <c r="I119" i="8" l="1"/>
  <c r="K118" i="8"/>
  <c r="R43" i="10"/>
  <c r="Q43" i="8"/>
  <c r="R43" i="8" s="1"/>
  <c r="S43" i="8"/>
  <c r="C44" i="8"/>
  <c r="H45" i="8" s="1"/>
  <c r="N64" i="8"/>
  <c r="F44" i="8"/>
  <c r="D44" i="8"/>
  <c r="U44" i="8"/>
  <c r="O44" i="8"/>
  <c r="W44" i="8"/>
  <c r="D43" i="10"/>
  <c r="N43" i="10"/>
  <c r="C43" i="10"/>
  <c r="G43" i="10" s="1"/>
  <c r="B69" i="8"/>
  <c r="B69" i="10"/>
  <c r="L68" i="10"/>
  <c r="Q43" i="10"/>
  <c r="S43" i="10"/>
  <c r="I64" i="10"/>
  <c r="O63" i="10"/>
  <c r="I36" i="7"/>
  <c r="J36" i="7" s="1"/>
  <c r="D36" i="7" s="1"/>
  <c r="E36" i="7" s="1"/>
  <c r="F35" i="7"/>
  <c r="G36" i="7"/>
  <c r="I120" i="8" l="1"/>
  <c r="K119" i="8"/>
  <c r="V44" i="8"/>
  <c r="P44" i="8"/>
  <c r="G44" i="8"/>
  <c r="L45" i="8"/>
  <c r="M45" i="8" s="1"/>
  <c r="E45" i="8" s="1"/>
  <c r="D45" i="8"/>
  <c r="O45" i="8"/>
  <c r="W45" i="8"/>
  <c r="U45" i="8"/>
  <c r="M44" i="10"/>
  <c r="H44" i="10" s="1"/>
  <c r="J44" i="10"/>
  <c r="K44" i="10" s="1"/>
  <c r="E44" i="10" s="1"/>
  <c r="F44" i="10" s="1"/>
  <c r="B70" i="10"/>
  <c r="C36" i="7"/>
  <c r="I65" i="10"/>
  <c r="O64" i="10"/>
  <c r="B36" i="7"/>
  <c r="B70" i="8"/>
  <c r="I121" i="8" l="1"/>
  <c r="K120" i="8"/>
  <c r="Q44" i="8"/>
  <c r="R44" i="8" s="1"/>
  <c r="S44" i="8"/>
  <c r="C45" i="8"/>
  <c r="N65" i="8"/>
  <c r="F45" i="8"/>
  <c r="N44" i="10"/>
  <c r="C44" i="10"/>
  <c r="G44" i="10" s="1"/>
  <c r="R44" i="10"/>
  <c r="L69" i="10"/>
  <c r="F36" i="7"/>
  <c r="I37" i="7"/>
  <c r="J37" i="7" s="1"/>
  <c r="D37" i="7" s="1"/>
  <c r="E37" i="7" s="1"/>
  <c r="G37" i="7"/>
  <c r="P44" i="10"/>
  <c r="D44" i="10"/>
  <c r="I66" i="10"/>
  <c r="O65" i="10"/>
  <c r="B71" i="10"/>
  <c r="I122" i="8" l="1"/>
  <c r="K122" i="8" s="1"/>
  <c r="K121" i="8"/>
  <c r="V45" i="8"/>
  <c r="L46" i="8"/>
  <c r="M46" i="8" s="1"/>
  <c r="E46" i="8" s="1"/>
  <c r="C46" i="8" s="1"/>
  <c r="P45" i="8"/>
  <c r="G45" i="8"/>
  <c r="H46" i="8"/>
  <c r="M45" i="10"/>
  <c r="H45" i="10" s="1"/>
  <c r="D45" i="10" s="1"/>
  <c r="J45" i="10"/>
  <c r="K45" i="10" s="1"/>
  <c r="E45" i="10" s="1"/>
  <c r="F45" i="10" s="1"/>
  <c r="S44" i="10"/>
  <c r="Q44" i="10"/>
  <c r="B72" i="10"/>
  <c r="I67" i="10"/>
  <c r="O66" i="10"/>
  <c r="C37" i="7"/>
  <c r="G38" i="7"/>
  <c r="B37" i="7"/>
  <c r="L47" i="8" l="1"/>
  <c r="M47" i="8" s="1"/>
  <c r="E47" i="8" s="1"/>
  <c r="P46" i="8"/>
  <c r="G46" i="8"/>
  <c r="R45" i="10"/>
  <c r="Q45" i="8"/>
  <c r="R45" i="8" s="1"/>
  <c r="S45" i="8"/>
  <c r="D46" i="8"/>
  <c r="O46" i="8"/>
  <c r="W46" i="8"/>
  <c r="U46" i="8"/>
  <c r="H47" i="8"/>
  <c r="N66" i="8"/>
  <c r="F46" i="8"/>
  <c r="P45" i="10"/>
  <c r="Q45" i="10" s="1"/>
  <c r="N45" i="10"/>
  <c r="C45" i="10"/>
  <c r="M46" i="10" s="1"/>
  <c r="L70" i="10"/>
  <c r="I38" i="7"/>
  <c r="J38" i="7" s="1"/>
  <c r="D38" i="7" s="1"/>
  <c r="E38" i="7" s="1"/>
  <c r="F37" i="7"/>
  <c r="I68" i="10"/>
  <c r="O67" i="10"/>
  <c r="B73" i="10"/>
  <c r="C38" i="7"/>
  <c r="V46" i="8" l="1"/>
  <c r="S46" i="8"/>
  <c r="Q46" i="8"/>
  <c r="R46" i="8" s="1"/>
  <c r="U47" i="8"/>
  <c r="O47" i="8"/>
  <c r="D47" i="8"/>
  <c r="W47" i="8"/>
  <c r="C47" i="8"/>
  <c r="H48" i="8" s="1"/>
  <c r="N67" i="8"/>
  <c r="F47" i="8"/>
  <c r="J46" i="10"/>
  <c r="K46" i="10" s="1"/>
  <c r="E46" i="10" s="1"/>
  <c r="F46" i="10" s="1"/>
  <c r="G45" i="10"/>
  <c r="S45" i="10"/>
  <c r="B38" i="7"/>
  <c r="R46" i="10"/>
  <c r="N46" i="10"/>
  <c r="H46" i="10"/>
  <c r="B74" i="10"/>
  <c r="I69" i="10"/>
  <c r="O68" i="10"/>
  <c r="W48" i="8" l="1"/>
  <c r="D48" i="8"/>
  <c r="O48" i="8"/>
  <c r="U48" i="8"/>
  <c r="V47" i="8"/>
  <c r="L48" i="8"/>
  <c r="M48" i="8" s="1"/>
  <c r="E48" i="8" s="1"/>
  <c r="P47" i="8"/>
  <c r="G47" i="8"/>
  <c r="C46" i="10"/>
  <c r="G46" i="10" s="1"/>
  <c r="L71" i="10"/>
  <c r="D46" i="10"/>
  <c r="P46" i="10"/>
  <c r="F38" i="7"/>
  <c r="I39" i="7"/>
  <c r="J39" i="7" s="1"/>
  <c r="D39" i="7" s="1"/>
  <c r="E39" i="7" s="1"/>
  <c r="G39" i="7"/>
  <c r="B75" i="10"/>
  <c r="O69" i="10"/>
  <c r="I70" i="10"/>
  <c r="S47" i="8" l="1"/>
  <c r="Q47" i="8"/>
  <c r="R47" i="8" s="1"/>
  <c r="C48" i="8"/>
  <c r="N68" i="8"/>
  <c r="F48" i="8"/>
  <c r="M47" i="10"/>
  <c r="H47" i="10" s="1"/>
  <c r="J47" i="10"/>
  <c r="K47" i="10" s="1"/>
  <c r="E47" i="10" s="1"/>
  <c r="C47" i="10" s="1"/>
  <c r="C39" i="7"/>
  <c r="S46" i="10"/>
  <c r="Q46" i="10"/>
  <c r="I71" i="10"/>
  <c r="O70" i="10"/>
  <c r="B39" i="7"/>
  <c r="B76" i="10"/>
  <c r="V48" i="8" l="1"/>
  <c r="P48" i="8"/>
  <c r="L49" i="8"/>
  <c r="M49" i="8" s="1"/>
  <c r="E49" i="8" s="1"/>
  <c r="G48" i="8"/>
  <c r="H49" i="8"/>
  <c r="R47" i="10"/>
  <c r="N47" i="10"/>
  <c r="L72" i="10"/>
  <c r="F47" i="10"/>
  <c r="J48" i="10"/>
  <c r="K48" i="10" s="1"/>
  <c r="E48" i="10" s="1"/>
  <c r="M48" i="10"/>
  <c r="H48" i="10" s="1"/>
  <c r="G47" i="10"/>
  <c r="P47" i="10"/>
  <c r="D47" i="10"/>
  <c r="I40" i="7"/>
  <c r="J40" i="7" s="1"/>
  <c r="D40" i="7" s="1"/>
  <c r="E40" i="7" s="1"/>
  <c r="F39" i="7"/>
  <c r="I72" i="10"/>
  <c r="O71" i="10"/>
  <c r="G40" i="7"/>
  <c r="B77" i="10"/>
  <c r="S48" i="8" l="1"/>
  <c r="Q48" i="8"/>
  <c r="R48" i="8" s="1"/>
  <c r="C49" i="8"/>
  <c r="H50" i="8" s="1"/>
  <c r="N69" i="8"/>
  <c r="F49" i="8"/>
  <c r="U49" i="8"/>
  <c r="D49" i="8"/>
  <c r="W49" i="8"/>
  <c r="O49" i="8"/>
  <c r="B78" i="10"/>
  <c r="P48" i="10"/>
  <c r="D48" i="10"/>
  <c r="R48" i="10"/>
  <c r="N48" i="10"/>
  <c r="C40" i="7"/>
  <c r="B40" i="7"/>
  <c r="G41" i="7" s="1"/>
  <c r="F48" i="10"/>
  <c r="L73" i="10"/>
  <c r="I73" i="10"/>
  <c r="O72" i="10"/>
  <c r="Q47" i="10"/>
  <c r="S47" i="10"/>
  <c r="C48" i="10"/>
  <c r="V49" i="8" l="1"/>
  <c r="L50" i="8"/>
  <c r="M50" i="8" s="1"/>
  <c r="E50" i="8" s="1"/>
  <c r="P49" i="8"/>
  <c r="G49" i="8"/>
  <c r="D50" i="8"/>
  <c r="U50" i="8"/>
  <c r="O50" i="8"/>
  <c r="W50" i="8"/>
  <c r="C41" i="7"/>
  <c r="O73" i="10"/>
  <c r="I74" i="10"/>
  <c r="F40" i="7"/>
  <c r="I41" i="7"/>
  <c r="J41" i="7" s="1"/>
  <c r="D41" i="7" s="1"/>
  <c r="E41" i="7" s="1"/>
  <c r="B79" i="10"/>
  <c r="S48" i="10"/>
  <c r="Q48" i="10"/>
  <c r="M49" i="10"/>
  <c r="G48" i="10"/>
  <c r="J49" i="10"/>
  <c r="K49" i="10" s="1"/>
  <c r="E49" i="10" s="1"/>
  <c r="S49" i="8" l="1"/>
  <c r="Q49" i="8"/>
  <c r="R49" i="8" s="1"/>
  <c r="C50" i="8"/>
  <c r="N70" i="8"/>
  <c r="F50" i="8"/>
  <c r="I75" i="10"/>
  <c r="O74" i="10"/>
  <c r="N49" i="10"/>
  <c r="R49" i="10"/>
  <c r="H49" i="10"/>
  <c r="B41" i="7"/>
  <c r="F49" i="10"/>
  <c r="L74" i="10"/>
  <c r="C49" i="10"/>
  <c r="B80" i="10"/>
  <c r="V50" i="8" l="1"/>
  <c r="G50" i="8"/>
  <c r="L51" i="8"/>
  <c r="M51" i="8" s="1"/>
  <c r="E51" i="8" s="1"/>
  <c r="N71" i="8" s="1"/>
  <c r="P50" i="8"/>
  <c r="H51" i="8"/>
  <c r="J50" i="10"/>
  <c r="K50" i="10" s="1"/>
  <c r="E50" i="10" s="1"/>
  <c r="M50" i="10"/>
  <c r="H50" i="10" s="1"/>
  <c r="G49" i="10"/>
  <c r="I42" i="7"/>
  <c r="J42" i="7" s="1"/>
  <c r="D42" i="7" s="1"/>
  <c r="E42" i="7" s="1"/>
  <c r="F41" i="7"/>
  <c r="G42" i="7"/>
  <c r="B81" i="10"/>
  <c r="P49" i="10"/>
  <c r="D49" i="10"/>
  <c r="O75" i="10"/>
  <c r="I76" i="10"/>
  <c r="C51" i="8" l="1"/>
  <c r="H52" i="8" s="1"/>
  <c r="F51" i="8"/>
  <c r="O51" i="8"/>
  <c r="U51" i="8"/>
  <c r="D51" i="8"/>
  <c r="W51" i="8"/>
  <c r="Q50" i="8"/>
  <c r="R50" i="8" s="1"/>
  <c r="S50" i="8"/>
  <c r="D50" i="10"/>
  <c r="P50" i="10"/>
  <c r="B82" i="10"/>
  <c r="B42" i="7"/>
  <c r="R50" i="10"/>
  <c r="N50" i="10"/>
  <c r="G43" i="7"/>
  <c r="C42" i="7"/>
  <c r="F50" i="10"/>
  <c r="L75" i="10"/>
  <c r="I77" i="10"/>
  <c r="O76" i="10"/>
  <c r="Q49" i="10"/>
  <c r="S49" i="10"/>
  <c r="C50" i="10"/>
  <c r="V51" i="8" l="1"/>
  <c r="D52" i="8"/>
  <c r="U52" i="8"/>
  <c r="W52" i="8"/>
  <c r="O52" i="8"/>
  <c r="L52" i="8"/>
  <c r="M52" i="8" s="1"/>
  <c r="E52" i="8" s="1"/>
  <c r="N72" i="8" s="1"/>
  <c r="G51" i="8"/>
  <c r="P51" i="8"/>
  <c r="B83" i="10"/>
  <c r="I78" i="10"/>
  <c r="O77" i="10"/>
  <c r="S50" i="10"/>
  <c r="Q50" i="10"/>
  <c r="M51" i="10"/>
  <c r="G50" i="10"/>
  <c r="J51" i="10"/>
  <c r="K51" i="10" s="1"/>
  <c r="E51" i="10" s="1"/>
  <c r="F42" i="7"/>
  <c r="B43" i="7"/>
  <c r="I43" i="7"/>
  <c r="J43" i="7" s="1"/>
  <c r="D43" i="7" s="1"/>
  <c r="E43" i="7" s="1"/>
  <c r="C43" i="7"/>
  <c r="G44" i="7"/>
  <c r="C52" i="8" l="1"/>
  <c r="F52" i="8"/>
  <c r="Q51" i="8"/>
  <c r="R51" i="8" s="1"/>
  <c r="S51" i="8"/>
  <c r="I44" i="7"/>
  <c r="J44" i="7" s="1"/>
  <c r="D44" i="7" s="1"/>
  <c r="E44" i="7" s="1"/>
  <c r="F43" i="7"/>
  <c r="R51" i="10"/>
  <c r="N51" i="10"/>
  <c r="H51" i="10"/>
  <c r="B84" i="10"/>
  <c r="F51" i="10"/>
  <c r="L76" i="10"/>
  <c r="C44" i="7"/>
  <c r="C51" i="10"/>
  <c r="I79" i="10"/>
  <c r="O78" i="10"/>
  <c r="V52" i="8" l="1"/>
  <c r="L53" i="8"/>
  <c r="M53" i="8" s="1"/>
  <c r="E53" i="8" s="1"/>
  <c r="N73" i="8" s="1"/>
  <c r="G52" i="8"/>
  <c r="P52" i="8"/>
  <c r="H53" i="8"/>
  <c r="O79" i="10"/>
  <c r="I80" i="10"/>
  <c r="J52" i="10"/>
  <c r="K52" i="10" s="1"/>
  <c r="E52" i="10" s="1"/>
  <c r="M52" i="10"/>
  <c r="H52" i="10" s="1"/>
  <c r="G51" i="10"/>
  <c r="B85" i="10"/>
  <c r="P51" i="10"/>
  <c r="D51" i="10"/>
  <c r="B44" i="7"/>
  <c r="W53" i="8" l="1"/>
  <c r="D53" i="8"/>
  <c r="O53" i="8"/>
  <c r="U53" i="8"/>
  <c r="C53" i="8"/>
  <c r="H54" i="8" s="1"/>
  <c r="F53" i="8"/>
  <c r="S52" i="8"/>
  <c r="Q52" i="8"/>
  <c r="R52" i="8" s="1"/>
  <c r="D52" i="10"/>
  <c r="P52" i="10"/>
  <c r="R52" i="10"/>
  <c r="N52" i="10"/>
  <c r="F52" i="10"/>
  <c r="L77" i="10"/>
  <c r="I81" i="10"/>
  <c r="O80" i="10"/>
  <c r="F44" i="7"/>
  <c r="I45" i="7"/>
  <c r="J45" i="7" s="1"/>
  <c r="D45" i="7" s="1"/>
  <c r="E45" i="7" s="1"/>
  <c r="G45" i="7"/>
  <c r="Q51" i="10"/>
  <c r="S51" i="10"/>
  <c r="B86" i="10"/>
  <c r="C52" i="10"/>
  <c r="D54" i="8" l="1"/>
  <c r="U54" i="8"/>
  <c r="W54" i="8"/>
  <c r="O54" i="8"/>
  <c r="P53" i="8"/>
  <c r="G53" i="8"/>
  <c r="L54" i="8"/>
  <c r="M54" i="8" s="1"/>
  <c r="E54" i="8" s="1"/>
  <c r="N74" i="8" s="1"/>
  <c r="V53" i="8"/>
  <c r="M53" i="10"/>
  <c r="G52" i="10"/>
  <c r="J53" i="10"/>
  <c r="K53" i="10" s="1"/>
  <c r="E53" i="10" s="1"/>
  <c r="O81" i="10"/>
  <c r="I82" i="10"/>
  <c r="C45" i="7"/>
  <c r="S52" i="10"/>
  <c r="Q52" i="10"/>
  <c r="B87" i="10"/>
  <c r="B45" i="7"/>
  <c r="Q53" i="8" l="1"/>
  <c r="R53" i="8" s="1"/>
  <c r="S53" i="8"/>
  <c r="C54" i="8"/>
  <c r="F54" i="8"/>
  <c r="F53" i="10"/>
  <c r="L78" i="10"/>
  <c r="C53" i="10"/>
  <c r="B46" i="7"/>
  <c r="I46" i="7"/>
  <c r="J46" i="7" s="1"/>
  <c r="D46" i="7" s="1"/>
  <c r="E46" i="7" s="1"/>
  <c r="F45" i="7"/>
  <c r="G46" i="7"/>
  <c r="I83" i="10"/>
  <c r="O82" i="10"/>
  <c r="B88" i="10"/>
  <c r="R53" i="10"/>
  <c r="N53" i="10"/>
  <c r="H53" i="10"/>
  <c r="V54" i="8" l="1"/>
  <c r="P54" i="8"/>
  <c r="G54" i="8"/>
  <c r="L55" i="8"/>
  <c r="M55" i="8" s="1"/>
  <c r="E55" i="8" s="1"/>
  <c r="N75" i="8" s="1"/>
  <c r="H55" i="8"/>
  <c r="J54" i="10"/>
  <c r="K54" i="10" s="1"/>
  <c r="E54" i="10" s="1"/>
  <c r="C54" i="10" s="1"/>
  <c r="M54" i="10"/>
  <c r="H54" i="10" s="1"/>
  <c r="G53" i="10"/>
  <c r="O83" i="10"/>
  <c r="I84" i="10"/>
  <c r="F46" i="7"/>
  <c r="I47" i="7"/>
  <c r="J47" i="7" s="1"/>
  <c r="D47" i="7" s="1"/>
  <c r="E47" i="7" s="1"/>
  <c r="G47" i="7"/>
  <c r="C46" i="7"/>
  <c r="P53" i="10"/>
  <c r="D53" i="10"/>
  <c r="B89" i="10"/>
  <c r="C55" i="8" l="1"/>
  <c r="H56" i="8" s="1"/>
  <c r="F55" i="8"/>
  <c r="W55" i="8"/>
  <c r="O55" i="8"/>
  <c r="U55" i="8"/>
  <c r="D55" i="8"/>
  <c r="S54" i="8"/>
  <c r="Q54" i="8"/>
  <c r="R54" i="8" s="1"/>
  <c r="B47" i="7"/>
  <c r="G48" i="7" s="1"/>
  <c r="C47" i="7"/>
  <c r="D54" i="10"/>
  <c r="P54" i="10"/>
  <c r="R54" i="10"/>
  <c r="N54" i="10"/>
  <c r="Q53" i="10"/>
  <c r="S53" i="10"/>
  <c r="I85" i="10"/>
  <c r="O84" i="10"/>
  <c r="F54" i="10"/>
  <c r="L79" i="10"/>
  <c r="B90" i="10"/>
  <c r="M55" i="10"/>
  <c r="G54" i="10"/>
  <c r="J55" i="10"/>
  <c r="K55" i="10" s="1"/>
  <c r="E55" i="10" s="1"/>
  <c r="V55" i="8" l="1"/>
  <c r="D56" i="8"/>
  <c r="W56" i="8"/>
  <c r="U56" i="8"/>
  <c r="O56" i="8"/>
  <c r="P55" i="8"/>
  <c r="L56" i="8"/>
  <c r="M56" i="8" s="1"/>
  <c r="E56" i="8" s="1"/>
  <c r="N76" i="8" s="1"/>
  <c r="G55" i="8"/>
  <c r="C48" i="7"/>
  <c r="F55" i="10"/>
  <c r="L80" i="10"/>
  <c r="C55" i="10"/>
  <c r="I86" i="10"/>
  <c r="O85" i="10"/>
  <c r="S54" i="10"/>
  <c r="Q54" i="10"/>
  <c r="B91" i="10"/>
  <c r="I48" i="7"/>
  <c r="J48" i="7" s="1"/>
  <c r="D48" i="7" s="1"/>
  <c r="E48" i="7" s="1"/>
  <c r="F47" i="7"/>
  <c r="R55" i="10"/>
  <c r="N55" i="10"/>
  <c r="H55" i="10"/>
  <c r="Q55" i="8" l="1"/>
  <c r="R55" i="8" s="1"/>
  <c r="S55" i="8"/>
  <c r="C56" i="8"/>
  <c r="F56" i="8"/>
  <c r="P55" i="10"/>
  <c r="D55" i="10"/>
  <c r="I87" i="10"/>
  <c r="O86" i="10"/>
  <c r="J56" i="10"/>
  <c r="K56" i="10" s="1"/>
  <c r="E56" i="10" s="1"/>
  <c r="C56" i="10" s="1"/>
  <c r="M56" i="10"/>
  <c r="H56" i="10" s="1"/>
  <c r="G55" i="10"/>
  <c r="B48" i="7"/>
  <c r="B92" i="10"/>
  <c r="V56" i="8" l="1"/>
  <c r="L57" i="8"/>
  <c r="M57" i="8" s="1"/>
  <c r="E57" i="8" s="1"/>
  <c r="N77" i="8" s="1"/>
  <c r="P56" i="8"/>
  <c r="G56" i="8"/>
  <c r="H57" i="8"/>
  <c r="P56" i="10"/>
  <c r="D56" i="10"/>
  <c r="M57" i="10"/>
  <c r="H57" i="10" s="1"/>
  <c r="G56" i="10"/>
  <c r="J57" i="10"/>
  <c r="K57" i="10" s="1"/>
  <c r="E57" i="10" s="1"/>
  <c r="F48" i="7"/>
  <c r="I49" i="7"/>
  <c r="J49" i="7" s="1"/>
  <c r="D49" i="7" s="1"/>
  <c r="E49" i="7" s="1"/>
  <c r="G49" i="7"/>
  <c r="O87" i="10"/>
  <c r="I88" i="10"/>
  <c r="B93" i="10"/>
  <c r="R56" i="10"/>
  <c r="N56" i="10"/>
  <c r="F56" i="10"/>
  <c r="L81" i="10"/>
  <c r="Q55" i="10"/>
  <c r="S55" i="10"/>
  <c r="Q56" i="8" l="1"/>
  <c r="R56" i="8" s="1"/>
  <c r="S56" i="8"/>
  <c r="F57" i="8"/>
  <c r="O57" i="8"/>
  <c r="W57" i="8"/>
  <c r="D57" i="8"/>
  <c r="U57" i="8"/>
  <c r="C57" i="8"/>
  <c r="C49" i="7"/>
  <c r="N57" i="10"/>
  <c r="R57" i="10"/>
  <c r="F57" i="10"/>
  <c r="L82" i="10"/>
  <c r="I89" i="10"/>
  <c r="O88" i="10"/>
  <c r="B49" i="7"/>
  <c r="C57" i="10"/>
  <c r="S56" i="10"/>
  <c r="Q56" i="10"/>
  <c r="B94" i="10"/>
  <c r="P57" i="10"/>
  <c r="D57" i="10"/>
  <c r="V57" i="8" l="1"/>
  <c r="G57" i="8"/>
  <c r="P57" i="8"/>
  <c r="L58" i="8"/>
  <c r="M58" i="8" s="1"/>
  <c r="E58" i="8" s="1"/>
  <c r="H58" i="8"/>
  <c r="Q57" i="10"/>
  <c r="S57" i="10"/>
  <c r="B95" i="10"/>
  <c r="I50" i="7"/>
  <c r="J50" i="7" s="1"/>
  <c r="D50" i="7" s="1"/>
  <c r="E50" i="7" s="1"/>
  <c r="F49" i="7"/>
  <c r="G50" i="7"/>
  <c r="O89" i="10"/>
  <c r="I90" i="10"/>
  <c r="J58" i="10"/>
  <c r="K58" i="10" s="1"/>
  <c r="E58" i="10" s="1"/>
  <c r="M58" i="10"/>
  <c r="G57" i="10"/>
  <c r="C58" i="8" l="1"/>
  <c r="G58" i="8" s="1"/>
  <c r="N78" i="8"/>
  <c r="F58" i="8"/>
  <c r="S57" i="8"/>
  <c r="Q57" i="8"/>
  <c r="R57" i="8" s="1"/>
  <c r="O58" i="8"/>
  <c r="W58" i="8"/>
  <c r="D58" i="8"/>
  <c r="U58" i="8"/>
  <c r="F58" i="10"/>
  <c r="L83" i="10"/>
  <c r="C58" i="10"/>
  <c r="R58" i="10"/>
  <c r="N58" i="10"/>
  <c r="H58" i="10"/>
  <c r="I91" i="10"/>
  <c r="O90" i="10"/>
  <c r="G51" i="7"/>
  <c r="C50" i="7"/>
  <c r="B96" i="10"/>
  <c r="B50" i="7"/>
  <c r="V58" i="8" l="1"/>
  <c r="H59" i="8"/>
  <c r="U59" i="8" s="1"/>
  <c r="L59" i="8"/>
  <c r="M59" i="8" s="1"/>
  <c r="E59" i="8" s="1"/>
  <c r="C59" i="8" s="1"/>
  <c r="P58" i="8"/>
  <c r="Q58" i="8" s="1"/>
  <c r="R58" i="8" s="1"/>
  <c r="D58" i="10"/>
  <c r="P58" i="10"/>
  <c r="C51" i="7"/>
  <c r="M59" i="10"/>
  <c r="H59" i="10" s="1"/>
  <c r="G58" i="10"/>
  <c r="J59" i="10"/>
  <c r="K59" i="10" s="1"/>
  <c r="E59" i="10" s="1"/>
  <c r="B97" i="10"/>
  <c r="F50" i="7"/>
  <c r="I51" i="7"/>
  <c r="J51" i="7" s="1"/>
  <c r="D51" i="7" s="1"/>
  <c r="E51" i="7" s="1"/>
  <c r="O91" i="10"/>
  <c r="I92" i="10"/>
  <c r="D59" i="8" l="1"/>
  <c r="W59" i="8"/>
  <c r="O59" i="8"/>
  <c r="F59" i="8"/>
  <c r="N79" i="8"/>
  <c r="G59" i="8"/>
  <c r="P59" i="8"/>
  <c r="Q59" i="8" s="1"/>
  <c r="R59" i="8" s="1"/>
  <c r="H60" i="8"/>
  <c r="D60" i="8" s="1"/>
  <c r="S58" i="8"/>
  <c r="L60" i="8"/>
  <c r="M60" i="8" s="1"/>
  <c r="E60" i="8" s="1"/>
  <c r="C60" i="8" s="1"/>
  <c r="V59" i="8"/>
  <c r="P59" i="10"/>
  <c r="D59" i="10"/>
  <c r="F59" i="10"/>
  <c r="L84" i="10"/>
  <c r="S58" i="10"/>
  <c r="Q58" i="10"/>
  <c r="B51" i="7"/>
  <c r="I93" i="10"/>
  <c r="O92" i="10"/>
  <c r="C59" i="10"/>
  <c r="B98" i="10"/>
  <c r="R59" i="10"/>
  <c r="N59" i="10"/>
  <c r="S59" i="8" l="1"/>
  <c r="U60" i="8"/>
  <c r="V60" i="8" s="1"/>
  <c r="O60" i="8"/>
  <c r="W60" i="8"/>
  <c r="N80" i="8"/>
  <c r="P60" i="8"/>
  <c r="Q60" i="8" s="1"/>
  <c r="R60" i="8" s="1"/>
  <c r="H61" i="8"/>
  <c r="O61" i="8" s="1"/>
  <c r="L61" i="8"/>
  <c r="M61" i="8" s="1"/>
  <c r="E61" i="8" s="1"/>
  <c r="N81" i="8" s="1"/>
  <c r="G60" i="8"/>
  <c r="F60" i="8"/>
  <c r="I94" i="10"/>
  <c r="O93" i="10"/>
  <c r="I52" i="7"/>
  <c r="J52" i="7" s="1"/>
  <c r="D52" i="7" s="1"/>
  <c r="E52" i="7" s="1"/>
  <c r="F51" i="7"/>
  <c r="G52" i="7"/>
  <c r="B99" i="10"/>
  <c r="J60" i="10"/>
  <c r="K60" i="10" s="1"/>
  <c r="E60" i="10" s="1"/>
  <c r="M60" i="10"/>
  <c r="G59" i="10"/>
  <c r="Q59" i="10"/>
  <c r="S59" i="10"/>
  <c r="S60" i="8" l="1"/>
  <c r="D61" i="8"/>
  <c r="W61" i="8"/>
  <c r="U61" i="8"/>
  <c r="V61" i="8" s="1"/>
  <c r="C61" i="8"/>
  <c r="H62" i="8" s="1"/>
  <c r="D62" i="8" s="1"/>
  <c r="F61" i="8"/>
  <c r="R60" i="10"/>
  <c r="N60" i="10"/>
  <c r="H60" i="10"/>
  <c r="B100" i="10"/>
  <c r="F60" i="10"/>
  <c r="L85" i="10"/>
  <c r="B52" i="7"/>
  <c r="C60" i="10"/>
  <c r="G53" i="7"/>
  <c r="C52" i="7"/>
  <c r="I95" i="10"/>
  <c r="O94" i="10"/>
  <c r="P61" i="8" l="1"/>
  <c r="Q61" i="8" s="1"/>
  <c r="R61" i="8" s="1"/>
  <c r="W62" i="8"/>
  <c r="G61" i="8"/>
  <c r="O62" i="8"/>
  <c r="U62" i="8"/>
  <c r="L62" i="8"/>
  <c r="M62" i="8" s="1"/>
  <c r="E62" i="8" s="1"/>
  <c r="C62" i="8" s="1"/>
  <c r="M61" i="10"/>
  <c r="H61" i="10" s="1"/>
  <c r="G60" i="10"/>
  <c r="J61" i="10"/>
  <c r="K61" i="10" s="1"/>
  <c r="E61" i="10" s="1"/>
  <c r="F52" i="7"/>
  <c r="I53" i="7"/>
  <c r="J53" i="7" s="1"/>
  <c r="D53" i="7" s="1"/>
  <c r="E53" i="7" s="1"/>
  <c r="B101" i="10"/>
  <c r="D60" i="10"/>
  <c r="P60" i="10"/>
  <c r="C53" i="7"/>
  <c r="O95" i="10"/>
  <c r="I96" i="10"/>
  <c r="S61" i="8" l="1"/>
  <c r="F62" i="8"/>
  <c r="G62" i="8"/>
  <c r="H63" i="8"/>
  <c r="U63" i="8" s="1"/>
  <c r="P62" i="8"/>
  <c r="S62" i="8" s="1"/>
  <c r="L63" i="8"/>
  <c r="M63" i="8" s="1"/>
  <c r="E63" i="8" s="1"/>
  <c r="N83" i="8" s="1"/>
  <c r="N82" i="8"/>
  <c r="V62" i="8"/>
  <c r="P61" i="10"/>
  <c r="D61" i="10"/>
  <c r="F61" i="10"/>
  <c r="L86" i="10"/>
  <c r="I97" i="10"/>
  <c r="O96" i="10"/>
  <c r="B53" i="7"/>
  <c r="C61" i="10"/>
  <c r="S60" i="10"/>
  <c r="Q60" i="10"/>
  <c r="B102" i="10"/>
  <c r="R61" i="10"/>
  <c r="N61" i="10"/>
  <c r="Q62" i="8" l="1"/>
  <c r="R62" i="8" s="1"/>
  <c r="W63" i="8"/>
  <c r="O63" i="8"/>
  <c r="D63" i="8"/>
  <c r="C63" i="8"/>
  <c r="L64" i="8" s="1"/>
  <c r="M64" i="8" s="1"/>
  <c r="E64" i="8" s="1"/>
  <c r="F63" i="8"/>
  <c r="O97" i="10"/>
  <c r="I98" i="10"/>
  <c r="B103" i="10"/>
  <c r="I54" i="7"/>
  <c r="J54" i="7" s="1"/>
  <c r="D54" i="7" s="1"/>
  <c r="E54" i="7" s="1"/>
  <c r="F53" i="7"/>
  <c r="G54" i="7"/>
  <c r="J62" i="10"/>
  <c r="K62" i="10" s="1"/>
  <c r="E62" i="10" s="1"/>
  <c r="M62" i="10"/>
  <c r="G61" i="10"/>
  <c r="Q61" i="10"/>
  <c r="S61" i="10"/>
  <c r="V63" i="8" l="1"/>
  <c r="G63" i="8"/>
  <c r="P63" i="8"/>
  <c r="S63" i="8" s="1"/>
  <c r="H64" i="8"/>
  <c r="U64" i="8" s="1"/>
  <c r="C64" i="8"/>
  <c r="P64" i="8" s="1"/>
  <c r="N84" i="8"/>
  <c r="F64" i="8"/>
  <c r="R62" i="10"/>
  <c r="N62" i="10"/>
  <c r="H62" i="10"/>
  <c r="F62" i="10"/>
  <c r="L87" i="10"/>
  <c r="B54" i="7"/>
  <c r="B104" i="10"/>
  <c r="C62" i="10"/>
  <c r="G55" i="7"/>
  <c r="C54" i="7"/>
  <c r="I99" i="10"/>
  <c r="O98" i="10"/>
  <c r="W64" i="8" l="1"/>
  <c r="Q63" i="8"/>
  <c r="R63" i="8" s="1"/>
  <c r="H65" i="8"/>
  <c r="U65" i="8" s="1"/>
  <c r="O64" i="8"/>
  <c r="D64" i="8"/>
  <c r="G64" i="8"/>
  <c r="L65" i="8"/>
  <c r="M65" i="8" s="1"/>
  <c r="E65" i="8" s="1"/>
  <c r="N85" i="8" s="1"/>
  <c r="Q64" i="8"/>
  <c r="R64" i="8" s="1"/>
  <c r="S64" i="8"/>
  <c r="O99" i="10"/>
  <c r="I100" i="10"/>
  <c r="C55" i="7"/>
  <c r="M63" i="10"/>
  <c r="H63" i="10" s="1"/>
  <c r="G62" i="10"/>
  <c r="J63" i="10"/>
  <c r="K63" i="10" s="1"/>
  <c r="E63" i="10" s="1"/>
  <c r="C63" i="10" s="1"/>
  <c r="B105" i="10"/>
  <c r="D62" i="10"/>
  <c r="P62" i="10"/>
  <c r="F54" i="7"/>
  <c r="I55" i="7"/>
  <c r="J55" i="7" s="1"/>
  <c r="D55" i="7" s="1"/>
  <c r="E55" i="7" s="1"/>
  <c r="V64" i="8" l="1"/>
  <c r="D65" i="8"/>
  <c r="O65" i="8"/>
  <c r="W65" i="8"/>
  <c r="F65" i="8"/>
  <c r="C65" i="8"/>
  <c r="H66" i="8" s="1"/>
  <c r="W66" i="8" s="1"/>
  <c r="V65" i="8"/>
  <c r="J64" i="10"/>
  <c r="K64" i="10" s="1"/>
  <c r="E64" i="10" s="1"/>
  <c r="M64" i="10"/>
  <c r="H64" i="10" s="1"/>
  <c r="G63" i="10"/>
  <c r="P63" i="10"/>
  <c r="D63" i="10"/>
  <c r="B55" i="7"/>
  <c r="B106" i="10"/>
  <c r="I101" i="10"/>
  <c r="O100" i="10"/>
  <c r="S62" i="10"/>
  <c r="Q62" i="10"/>
  <c r="R63" i="10"/>
  <c r="N63" i="10"/>
  <c r="F63" i="10"/>
  <c r="L88" i="10"/>
  <c r="O66" i="8" l="1"/>
  <c r="L66" i="8"/>
  <c r="M66" i="8" s="1"/>
  <c r="E66" i="8" s="1"/>
  <c r="F66" i="8" s="1"/>
  <c r="G65" i="8"/>
  <c r="D66" i="8"/>
  <c r="U66" i="8"/>
  <c r="P65" i="8"/>
  <c r="Q65" i="8" s="1"/>
  <c r="R65" i="8" s="1"/>
  <c r="I56" i="7"/>
  <c r="J56" i="7" s="1"/>
  <c r="D56" i="7" s="1"/>
  <c r="E56" i="7" s="1"/>
  <c r="F55" i="7"/>
  <c r="G56" i="7"/>
  <c r="I102" i="10"/>
  <c r="O101" i="10"/>
  <c r="P64" i="10"/>
  <c r="D64" i="10"/>
  <c r="R64" i="10"/>
  <c r="N64" i="10"/>
  <c r="F64" i="10"/>
  <c r="L89" i="10"/>
  <c r="B107" i="10"/>
  <c r="Q63" i="10"/>
  <c r="S63" i="10"/>
  <c r="C64" i="10"/>
  <c r="N86" i="8" l="1"/>
  <c r="C66" i="8"/>
  <c r="G66" i="8" s="1"/>
  <c r="S65" i="8"/>
  <c r="V66" i="8"/>
  <c r="C56" i="7"/>
  <c r="M65" i="10"/>
  <c r="G64" i="10"/>
  <c r="J65" i="10"/>
  <c r="K65" i="10" s="1"/>
  <c r="E65" i="10" s="1"/>
  <c r="I103" i="10"/>
  <c r="O102" i="10"/>
  <c r="B108" i="10"/>
  <c r="S64" i="10"/>
  <c r="Q64" i="10"/>
  <c r="B56" i="7"/>
  <c r="G57" i="7" s="1"/>
  <c r="P66" i="8" l="1"/>
  <c r="S66" i="8" s="1"/>
  <c r="H67" i="8"/>
  <c r="W67" i="8" s="1"/>
  <c r="L67" i="8"/>
  <c r="M67" i="8" s="1"/>
  <c r="E67" i="8" s="1"/>
  <c r="N87" i="8" s="1"/>
  <c r="C57" i="7"/>
  <c r="F65" i="10"/>
  <c r="L90" i="10"/>
  <c r="C65" i="10"/>
  <c r="B109" i="10"/>
  <c r="I104" i="10"/>
  <c r="O103" i="10"/>
  <c r="F56" i="7"/>
  <c r="I57" i="7"/>
  <c r="J57" i="7" s="1"/>
  <c r="D57" i="7" s="1"/>
  <c r="E57" i="7" s="1"/>
  <c r="N65" i="10"/>
  <c r="R65" i="10"/>
  <c r="H65" i="10"/>
  <c r="Q66" i="8" l="1"/>
  <c r="R66" i="8" s="1"/>
  <c r="O67" i="8"/>
  <c r="U67" i="8"/>
  <c r="D67" i="8"/>
  <c r="C67" i="8"/>
  <c r="P67" i="8" s="1"/>
  <c r="S67" i="8" s="1"/>
  <c r="F67" i="8"/>
  <c r="P65" i="10"/>
  <c r="D65" i="10"/>
  <c r="B57" i="7"/>
  <c r="I105" i="10"/>
  <c r="O104" i="10"/>
  <c r="J66" i="10"/>
  <c r="K66" i="10" s="1"/>
  <c r="E66" i="10" s="1"/>
  <c r="M66" i="10"/>
  <c r="H66" i="10" s="1"/>
  <c r="G65" i="10"/>
  <c r="B110" i="10"/>
  <c r="V67" i="8" l="1"/>
  <c r="H68" i="8"/>
  <c r="U68" i="8" s="1"/>
  <c r="Q67" i="8"/>
  <c r="R67" i="8" s="1"/>
  <c r="L68" i="8"/>
  <c r="M68" i="8" s="1"/>
  <c r="E68" i="8" s="1"/>
  <c r="N88" i="8" s="1"/>
  <c r="G67" i="8"/>
  <c r="F66" i="10"/>
  <c r="L91" i="10"/>
  <c r="I58" i="7"/>
  <c r="J58" i="7" s="1"/>
  <c r="D58" i="7" s="1"/>
  <c r="E58" i="7" s="1"/>
  <c r="F57" i="7"/>
  <c r="G58" i="7"/>
  <c r="C66" i="10"/>
  <c r="D66" i="10"/>
  <c r="P66" i="10"/>
  <c r="B111" i="10"/>
  <c r="R66" i="10"/>
  <c r="N66" i="10"/>
  <c r="I106" i="10"/>
  <c r="O105" i="10"/>
  <c r="Q65" i="10"/>
  <c r="S65" i="10"/>
  <c r="W68" i="8" l="1"/>
  <c r="O68" i="8"/>
  <c r="V68" i="8"/>
  <c r="D68" i="8"/>
  <c r="C68" i="8"/>
  <c r="L69" i="8" s="1"/>
  <c r="M69" i="8" s="1"/>
  <c r="E69" i="8" s="1"/>
  <c r="N89" i="8" s="1"/>
  <c r="F68" i="8"/>
  <c r="S66" i="10"/>
  <c r="Q66" i="10"/>
  <c r="B112" i="10"/>
  <c r="B58" i="7"/>
  <c r="I107" i="10"/>
  <c r="O106" i="10"/>
  <c r="C58" i="7"/>
  <c r="M67" i="10"/>
  <c r="G66" i="10"/>
  <c r="J67" i="10"/>
  <c r="K67" i="10" s="1"/>
  <c r="E67" i="10" s="1"/>
  <c r="H69" i="8" l="1"/>
  <c r="O69" i="8" s="1"/>
  <c r="G68" i="8"/>
  <c r="C69" i="8"/>
  <c r="P69" i="8" s="1"/>
  <c r="P68" i="8"/>
  <c r="F69" i="8"/>
  <c r="F67" i="10"/>
  <c r="L92" i="10"/>
  <c r="F58" i="7"/>
  <c r="I59" i="7"/>
  <c r="J59" i="7" s="1"/>
  <c r="D59" i="7" s="1"/>
  <c r="E59" i="7" s="1"/>
  <c r="C67" i="10"/>
  <c r="I108" i="10"/>
  <c r="O107" i="10"/>
  <c r="B113" i="10"/>
  <c r="R67" i="10"/>
  <c r="N67" i="10"/>
  <c r="H67" i="10"/>
  <c r="G59" i="7"/>
  <c r="G69" i="8" l="1"/>
  <c r="U69" i="8"/>
  <c r="D69" i="8"/>
  <c r="L70" i="8"/>
  <c r="M70" i="8" s="1"/>
  <c r="E70" i="8" s="1"/>
  <c r="C70" i="8" s="1"/>
  <c r="G70" i="8" s="1"/>
  <c r="W69" i="8"/>
  <c r="H70" i="8"/>
  <c r="U70" i="8" s="1"/>
  <c r="Q68" i="8"/>
  <c r="S68" i="8"/>
  <c r="S69" i="8"/>
  <c r="Q69" i="8"/>
  <c r="R69" i="8" s="1"/>
  <c r="P67" i="10"/>
  <c r="D67" i="10"/>
  <c r="I109" i="10"/>
  <c r="O108" i="10"/>
  <c r="B59" i="7"/>
  <c r="B114" i="10"/>
  <c r="J68" i="10"/>
  <c r="K68" i="10" s="1"/>
  <c r="E68" i="10" s="1"/>
  <c r="M68" i="10"/>
  <c r="G67" i="10"/>
  <c r="C59" i="7"/>
  <c r="G60" i="7"/>
  <c r="N90" i="8" l="1"/>
  <c r="F70" i="8"/>
  <c r="D70" i="8"/>
  <c r="O70" i="8"/>
  <c r="W70" i="8"/>
  <c r="R68" i="8"/>
  <c r="V69" i="8"/>
  <c r="P70" i="8"/>
  <c r="Q70" i="8" s="1"/>
  <c r="R70" i="8" s="1"/>
  <c r="L71" i="8"/>
  <c r="M71" i="8" s="1"/>
  <c r="E71" i="8" s="1"/>
  <c r="H71" i="8"/>
  <c r="U71" i="8" s="1"/>
  <c r="V70" i="8"/>
  <c r="F68" i="10"/>
  <c r="L93" i="10"/>
  <c r="I60" i="7"/>
  <c r="J60" i="7" s="1"/>
  <c r="D60" i="7" s="1"/>
  <c r="E60" i="7" s="1"/>
  <c r="F59" i="7"/>
  <c r="C68" i="10"/>
  <c r="Q67" i="10"/>
  <c r="S67" i="10"/>
  <c r="C60" i="7"/>
  <c r="I110" i="10"/>
  <c r="O109" i="10"/>
  <c r="R68" i="10"/>
  <c r="N68" i="10"/>
  <c r="B115" i="10"/>
  <c r="H68" i="10"/>
  <c r="S70" i="8" l="1"/>
  <c r="O71" i="8"/>
  <c r="D71" i="8"/>
  <c r="F71" i="8"/>
  <c r="N91" i="8"/>
  <c r="W71" i="8"/>
  <c r="C71" i="8"/>
  <c r="V71" i="8"/>
  <c r="B116" i="10"/>
  <c r="I111" i="10"/>
  <c r="O110" i="10"/>
  <c r="B60" i="7"/>
  <c r="D68" i="10"/>
  <c r="P68" i="10"/>
  <c r="M69" i="10"/>
  <c r="G68" i="10"/>
  <c r="J69" i="10"/>
  <c r="K69" i="10" s="1"/>
  <c r="E69" i="10" s="1"/>
  <c r="G71" i="8" l="1"/>
  <c r="P71" i="8"/>
  <c r="Q71" i="8" s="1"/>
  <c r="R71" i="8" s="1"/>
  <c r="L72" i="8"/>
  <c r="M72" i="8" s="1"/>
  <c r="E72" i="8" s="1"/>
  <c r="H72" i="8"/>
  <c r="S68" i="10"/>
  <c r="Q68" i="10"/>
  <c r="R69" i="10"/>
  <c r="N69" i="10"/>
  <c r="F69" i="10"/>
  <c r="L94" i="10"/>
  <c r="H69" i="10"/>
  <c r="I112" i="10"/>
  <c r="O111" i="10"/>
  <c r="C69" i="10"/>
  <c r="F60" i="7"/>
  <c r="I61" i="7"/>
  <c r="J61" i="7" s="1"/>
  <c r="D61" i="7" s="1"/>
  <c r="E61" i="7" s="1"/>
  <c r="G61" i="7"/>
  <c r="B117" i="10"/>
  <c r="F72" i="8" l="1"/>
  <c r="N92" i="8"/>
  <c r="S71" i="8"/>
  <c r="C72" i="8"/>
  <c r="H73" i="8" s="1"/>
  <c r="O72" i="8"/>
  <c r="D72" i="8"/>
  <c r="W72" i="8"/>
  <c r="U72" i="8"/>
  <c r="V72" i="8" s="1"/>
  <c r="B61" i="7"/>
  <c r="B118" i="10"/>
  <c r="M70" i="10"/>
  <c r="H70" i="10" s="1"/>
  <c r="J70" i="10"/>
  <c r="K70" i="10" s="1"/>
  <c r="E70" i="10" s="1"/>
  <c r="G69" i="10"/>
  <c r="I113" i="10"/>
  <c r="O112" i="10"/>
  <c r="C61" i="7"/>
  <c r="G62" i="7"/>
  <c r="D69" i="10"/>
  <c r="P69" i="10"/>
  <c r="U73" i="8" l="1"/>
  <c r="W73" i="8"/>
  <c r="G72" i="8"/>
  <c r="L73" i="8"/>
  <c r="M73" i="8" s="1"/>
  <c r="E73" i="8" s="1"/>
  <c r="P72" i="8"/>
  <c r="O73" i="8"/>
  <c r="D73" i="8"/>
  <c r="P70" i="10"/>
  <c r="D70" i="10"/>
  <c r="F70" i="10"/>
  <c r="L95" i="10"/>
  <c r="B119" i="10"/>
  <c r="C62" i="7"/>
  <c r="R70" i="10"/>
  <c r="N70" i="10"/>
  <c r="Q69" i="10"/>
  <c r="S69" i="10"/>
  <c r="I114" i="10"/>
  <c r="O113" i="10"/>
  <c r="C70" i="10"/>
  <c r="I62" i="7"/>
  <c r="J62" i="7" s="1"/>
  <c r="D62" i="7" s="1"/>
  <c r="E62" i="7" s="1"/>
  <c r="F61" i="7"/>
  <c r="F73" i="8" l="1"/>
  <c r="N93" i="8"/>
  <c r="C73" i="8"/>
  <c r="Q72" i="8"/>
  <c r="S72" i="8"/>
  <c r="B62" i="7"/>
  <c r="J71" i="10"/>
  <c r="K71" i="10" s="1"/>
  <c r="E71" i="10" s="1"/>
  <c r="M71" i="10"/>
  <c r="G70" i="10"/>
  <c r="B120" i="10"/>
  <c r="I115" i="10"/>
  <c r="O114" i="10"/>
  <c r="S70" i="10"/>
  <c r="Q70" i="10"/>
  <c r="R72" i="8" l="1"/>
  <c r="V73" i="8"/>
  <c r="G73" i="8"/>
  <c r="P73" i="8"/>
  <c r="L74" i="8"/>
  <c r="M74" i="8" s="1"/>
  <c r="E74" i="8" s="1"/>
  <c r="H74" i="8"/>
  <c r="F71" i="10"/>
  <c r="L96" i="10"/>
  <c r="C71" i="10"/>
  <c r="I116" i="10"/>
  <c r="O115" i="10"/>
  <c r="R71" i="10"/>
  <c r="N71" i="10"/>
  <c r="H71" i="10"/>
  <c r="F62" i="7"/>
  <c r="I63" i="7"/>
  <c r="J63" i="7" s="1"/>
  <c r="D63" i="7" s="1"/>
  <c r="E63" i="7" s="1"/>
  <c r="G63" i="7"/>
  <c r="O74" i="8" l="1"/>
  <c r="D74" i="8"/>
  <c r="U74" i="8"/>
  <c r="W74" i="8"/>
  <c r="F74" i="8"/>
  <c r="N94" i="8"/>
  <c r="C74" i="8"/>
  <c r="H75" i="8" s="1"/>
  <c r="Q73" i="8"/>
  <c r="R73" i="8" s="1"/>
  <c r="S73" i="8"/>
  <c r="M72" i="10"/>
  <c r="H72" i="10" s="1"/>
  <c r="G71" i="10"/>
  <c r="J72" i="10"/>
  <c r="K72" i="10" s="1"/>
  <c r="E72" i="10" s="1"/>
  <c r="C72" i="10" s="1"/>
  <c r="B63" i="7"/>
  <c r="C63" i="7"/>
  <c r="P71" i="10"/>
  <c r="D71" i="10"/>
  <c r="I117" i="10"/>
  <c r="O116" i="10"/>
  <c r="G74" i="8" l="1"/>
  <c r="L75" i="8"/>
  <c r="M75" i="8" s="1"/>
  <c r="E75" i="8" s="1"/>
  <c r="P74" i="8"/>
  <c r="V74" i="8"/>
  <c r="O75" i="8"/>
  <c r="D75" i="8"/>
  <c r="W75" i="8"/>
  <c r="U75" i="8"/>
  <c r="J73" i="10"/>
  <c r="K73" i="10" s="1"/>
  <c r="E73" i="10" s="1"/>
  <c r="C73" i="10" s="1"/>
  <c r="M73" i="10"/>
  <c r="H73" i="10" s="1"/>
  <c r="G72" i="10"/>
  <c r="I118" i="10"/>
  <c r="O117" i="10"/>
  <c r="Q71" i="10"/>
  <c r="S71" i="10"/>
  <c r="B64" i="7"/>
  <c r="I64" i="7"/>
  <c r="J64" i="7" s="1"/>
  <c r="D64" i="7" s="1"/>
  <c r="E64" i="7" s="1"/>
  <c r="F63" i="7"/>
  <c r="F72" i="10"/>
  <c r="L97" i="10"/>
  <c r="P72" i="10"/>
  <c r="D72" i="10"/>
  <c r="G64" i="7"/>
  <c r="N72" i="10"/>
  <c r="R72" i="10"/>
  <c r="Q74" i="8" l="1"/>
  <c r="R74" i="8" s="1"/>
  <c r="S74" i="8"/>
  <c r="F75" i="8"/>
  <c r="N95" i="8"/>
  <c r="C75" i="8"/>
  <c r="M74" i="10"/>
  <c r="H74" i="10" s="1"/>
  <c r="G73" i="10"/>
  <c r="J74" i="10"/>
  <c r="K74" i="10" s="1"/>
  <c r="E74" i="10" s="1"/>
  <c r="S72" i="10"/>
  <c r="Q72" i="10"/>
  <c r="F64" i="7"/>
  <c r="I65" i="7"/>
  <c r="J65" i="7" s="1"/>
  <c r="D65" i="7" s="1"/>
  <c r="E65" i="7" s="1"/>
  <c r="I119" i="10"/>
  <c r="O118" i="10"/>
  <c r="G65" i="7"/>
  <c r="C64" i="7"/>
  <c r="R73" i="10"/>
  <c r="N73" i="10"/>
  <c r="D73" i="10"/>
  <c r="P73" i="10"/>
  <c r="F73" i="10"/>
  <c r="L98" i="10"/>
  <c r="V75" i="8" l="1"/>
  <c r="G75" i="8"/>
  <c r="P75" i="8"/>
  <c r="L76" i="8"/>
  <c r="M76" i="8" s="1"/>
  <c r="E76" i="8" s="1"/>
  <c r="C76" i="8" s="1"/>
  <c r="H76" i="8"/>
  <c r="F74" i="10"/>
  <c r="L99" i="10"/>
  <c r="Q73" i="10"/>
  <c r="S73" i="10"/>
  <c r="C65" i="7"/>
  <c r="I120" i="10"/>
  <c r="O120" i="10" s="1"/>
  <c r="O119" i="10"/>
  <c r="R74" i="10"/>
  <c r="N74" i="10"/>
  <c r="P74" i="10"/>
  <c r="D74" i="10"/>
  <c r="B65" i="7"/>
  <c r="C74" i="10"/>
  <c r="G76" i="8" l="1"/>
  <c r="L77" i="8"/>
  <c r="M77" i="8" s="1"/>
  <c r="E77" i="8" s="1"/>
  <c r="P76" i="8"/>
  <c r="Q75" i="8"/>
  <c r="R75" i="8" s="1"/>
  <c r="S75" i="8"/>
  <c r="O76" i="8"/>
  <c r="D76" i="8"/>
  <c r="H77" i="8"/>
  <c r="U76" i="8"/>
  <c r="W76" i="8"/>
  <c r="F76" i="8"/>
  <c r="N96" i="8"/>
  <c r="B66" i="7"/>
  <c r="I66" i="7"/>
  <c r="J66" i="7" s="1"/>
  <c r="D66" i="7" s="1"/>
  <c r="E66" i="7" s="1"/>
  <c r="F65" i="7"/>
  <c r="S74" i="10"/>
  <c r="Q74" i="10"/>
  <c r="G66" i="7"/>
  <c r="J75" i="10"/>
  <c r="K75" i="10" s="1"/>
  <c r="E75" i="10" s="1"/>
  <c r="C75" i="10" s="1"/>
  <c r="M75" i="10"/>
  <c r="G74" i="10"/>
  <c r="V76" i="8" l="1"/>
  <c r="Q76" i="8"/>
  <c r="R76" i="8" s="1"/>
  <c r="S76" i="8"/>
  <c r="F77" i="8"/>
  <c r="N97" i="8"/>
  <c r="C77" i="8"/>
  <c r="H78" i="8" s="1"/>
  <c r="O77" i="8"/>
  <c r="D77" i="8"/>
  <c r="U77" i="8"/>
  <c r="W77" i="8"/>
  <c r="J76" i="10"/>
  <c r="K76" i="10" s="1"/>
  <c r="E76" i="10" s="1"/>
  <c r="M76" i="10"/>
  <c r="G75" i="10"/>
  <c r="G67" i="7"/>
  <c r="C67" i="7" s="1"/>
  <c r="C66" i="7"/>
  <c r="R75" i="10"/>
  <c r="N75" i="10"/>
  <c r="H75" i="10"/>
  <c r="F75" i="10"/>
  <c r="L100" i="10"/>
  <c r="F66" i="7"/>
  <c r="I67" i="7"/>
  <c r="J67" i="7" s="1"/>
  <c r="D67" i="7" s="1"/>
  <c r="E67" i="7" s="1"/>
  <c r="V77" i="8" l="1"/>
  <c r="O78" i="8"/>
  <c r="D78" i="8"/>
  <c r="W78" i="8"/>
  <c r="U78" i="8"/>
  <c r="G77" i="8"/>
  <c r="P77" i="8"/>
  <c r="L78" i="8"/>
  <c r="M78" i="8" s="1"/>
  <c r="E78" i="8" s="1"/>
  <c r="C78" i="8" s="1"/>
  <c r="R76" i="10"/>
  <c r="N76" i="10"/>
  <c r="H76" i="10"/>
  <c r="P75" i="10"/>
  <c r="D75" i="10"/>
  <c r="F76" i="10"/>
  <c r="L101" i="10"/>
  <c r="B67" i="7"/>
  <c r="F67" i="7" s="1"/>
  <c r="C76" i="10"/>
  <c r="G78" i="8" l="1"/>
  <c r="L79" i="8"/>
  <c r="M79" i="8" s="1"/>
  <c r="E79" i="8" s="1"/>
  <c r="P78" i="8"/>
  <c r="H79" i="8"/>
  <c r="Q77" i="8"/>
  <c r="R77" i="8" s="1"/>
  <c r="S77" i="8"/>
  <c r="F78" i="8"/>
  <c r="N98" i="8"/>
  <c r="P76" i="10"/>
  <c r="D76" i="10"/>
  <c r="J77" i="10"/>
  <c r="K77" i="10" s="1"/>
  <c r="E77" i="10" s="1"/>
  <c r="M77" i="10"/>
  <c r="H77" i="10" s="1"/>
  <c r="G76" i="10"/>
  <c r="Q75" i="10"/>
  <c r="S75" i="10"/>
  <c r="V78" i="8" l="1"/>
  <c r="Q78" i="8"/>
  <c r="R78" i="8" s="1"/>
  <c r="S78" i="8"/>
  <c r="F79" i="8"/>
  <c r="N99" i="8"/>
  <c r="C79" i="8"/>
  <c r="O79" i="8"/>
  <c r="D79" i="8"/>
  <c r="W79" i="8"/>
  <c r="U79" i="8"/>
  <c r="P77" i="10"/>
  <c r="D77" i="10"/>
  <c r="F77" i="10"/>
  <c r="L102" i="10"/>
  <c r="C77" i="10"/>
  <c r="R77" i="10"/>
  <c r="N77" i="10"/>
  <c r="S76" i="10"/>
  <c r="Q76" i="10"/>
  <c r="V79" i="8" l="1"/>
  <c r="G79" i="8"/>
  <c r="P79" i="8"/>
  <c r="L80" i="8"/>
  <c r="M80" i="8" s="1"/>
  <c r="E80" i="8" s="1"/>
  <c r="H80" i="8"/>
  <c r="J78" i="10"/>
  <c r="K78" i="10" s="1"/>
  <c r="E78" i="10" s="1"/>
  <c r="G77" i="10"/>
  <c r="M78" i="10"/>
  <c r="Q77" i="10"/>
  <c r="S77" i="10"/>
  <c r="F80" i="8" l="1"/>
  <c r="N100" i="8"/>
  <c r="Q79" i="8"/>
  <c r="R79" i="8" s="1"/>
  <c r="S79" i="8"/>
  <c r="C80" i="8"/>
  <c r="H81" i="8" s="1"/>
  <c r="O80" i="8"/>
  <c r="D80" i="8"/>
  <c r="W80" i="8"/>
  <c r="U80" i="8"/>
  <c r="F78" i="10"/>
  <c r="L103" i="10"/>
  <c r="C78" i="10"/>
  <c r="R78" i="10"/>
  <c r="N78" i="10"/>
  <c r="H78" i="10"/>
  <c r="V80" i="8" l="1"/>
  <c r="O81" i="8"/>
  <c r="D81" i="8"/>
  <c r="U81" i="8"/>
  <c r="W81" i="8"/>
  <c r="G80" i="8"/>
  <c r="L81" i="8"/>
  <c r="M81" i="8" s="1"/>
  <c r="E81" i="8" s="1"/>
  <c r="C81" i="8" s="1"/>
  <c r="P80" i="8"/>
  <c r="J79" i="10"/>
  <c r="K79" i="10" s="1"/>
  <c r="E79" i="10" s="1"/>
  <c r="M79" i="10"/>
  <c r="H79" i="10" s="1"/>
  <c r="G78" i="10"/>
  <c r="P78" i="10"/>
  <c r="D78" i="10"/>
  <c r="G81" i="8" l="1"/>
  <c r="P81" i="8"/>
  <c r="L82" i="8"/>
  <c r="M82" i="8" s="1"/>
  <c r="E82" i="8" s="1"/>
  <c r="H82" i="8"/>
  <c r="F81" i="8"/>
  <c r="N101" i="8"/>
  <c r="Q80" i="8"/>
  <c r="R80" i="8" s="1"/>
  <c r="S80" i="8"/>
  <c r="R79" i="10"/>
  <c r="N79" i="10"/>
  <c r="F79" i="10"/>
  <c r="L104" i="10"/>
  <c r="C79" i="10"/>
  <c r="P79" i="10"/>
  <c r="D79" i="10"/>
  <c r="S78" i="10"/>
  <c r="Q78" i="10"/>
  <c r="F82" i="8" l="1"/>
  <c r="N102" i="8"/>
  <c r="Q81" i="8"/>
  <c r="R81" i="8" s="1"/>
  <c r="S81" i="8"/>
  <c r="V81" i="8"/>
  <c r="C82" i="8"/>
  <c r="O82" i="8"/>
  <c r="D82" i="8"/>
  <c r="U82" i="8"/>
  <c r="W82" i="8"/>
  <c r="Q79" i="10"/>
  <c r="S79" i="10"/>
  <c r="J80" i="10"/>
  <c r="K80" i="10" s="1"/>
  <c r="E80" i="10" s="1"/>
  <c r="G79" i="10"/>
  <c r="M80" i="10"/>
  <c r="V82" i="8" l="1"/>
  <c r="G82" i="8"/>
  <c r="L83" i="8"/>
  <c r="M83" i="8" s="1"/>
  <c r="E83" i="8" s="1"/>
  <c r="P82" i="8"/>
  <c r="H83" i="8"/>
  <c r="F80" i="10"/>
  <c r="L105" i="10"/>
  <c r="C80" i="10"/>
  <c r="R80" i="10"/>
  <c r="N80" i="10"/>
  <c r="H80" i="10"/>
  <c r="F83" i="8" l="1"/>
  <c r="N103" i="8"/>
  <c r="Q82" i="8"/>
  <c r="R82" i="8" s="1"/>
  <c r="S82" i="8"/>
  <c r="C83" i="8"/>
  <c r="H84" i="8" s="1"/>
  <c r="O83" i="8"/>
  <c r="D83" i="8"/>
  <c r="W83" i="8"/>
  <c r="U83" i="8"/>
  <c r="J81" i="10"/>
  <c r="K81" i="10" s="1"/>
  <c r="E81" i="10" s="1"/>
  <c r="C81" i="10" s="1"/>
  <c r="M81" i="10"/>
  <c r="H81" i="10" s="1"/>
  <c r="G80" i="10"/>
  <c r="P80" i="10"/>
  <c r="D80" i="10"/>
  <c r="V83" i="8" l="1"/>
  <c r="O84" i="8"/>
  <c r="D84" i="8"/>
  <c r="W84" i="8"/>
  <c r="U84" i="8"/>
  <c r="G83" i="8"/>
  <c r="P83" i="8"/>
  <c r="L84" i="8"/>
  <c r="M84" i="8" s="1"/>
  <c r="E84" i="8" s="1"/>
  <c r="C84" i="8" s="1"/>
  <c r="P81" i="10"/>
  <c r="D81" i="10"/>
  <c r="J82" i="10"/>
  <c r="K82" i="10" s="1"/>
  <c r="E82" i="10" s="1"/>
  <c r="C82" i="10" s="1"/>
  <c r="M82" i="10"/>
  <c r="G81" i="10"/>
  <c r="S80" i="10"/>
  <c r="Q80" i="10"/>
  <c r="R81" i="10"/>
  <c r="N81" i="10"/>
  <c r="F81" i="10"/>
  <c r="L106" i="10"/>
  <c r="Q83" i="8" l="1"/>
  <c r="R83" i="8" s="1"/>
  <c r="S83" i="8"/>
  <c r="G84" i="8"/>
  <c r="L85" i="8"/>
  <c r="M85" i="8" s="1"/>
  <c r="E85" i="8" s="1"/>
  <c r="C85" i="8" s="1"/>
  <c r="P84" i="8"/>
  <c r="H85" i="8"/>
  <c r="F84" i="8"/>
  <c r="N104" i="8"/>
  <c r="J83" i="10"/>
  <c r="K83" i="10" s="1"/>
  <c r="E83" i="10" s="1"/>
  <c r="C83" i="10" s="1"/>
  <c r="M83" i="10"/>
  <c r="G82" i="10"/>
  <c r="R82" i="10"/>
  <c r="N82" i="10"/>
  <c r="Q81" i="10"/>
  <c r="S81" i="10"/>
  <c r="F82" i="10"/>
  <c r="L107" i="10"/>
  <c r="H82" i="10"/>
  <c r="V84" i="8" l="1"/>
  <c r="G85" i="8"/>
  <c r="P85" i="8"/>
  <c r="L86" i="8"/>
  <c r="M86" i="8" s="1"/>
  <c r="E86" i="8" s="1"/>
  <c r="Q84" i="8"/>
  <c r="R84" i="8" s="1"/>
  <c r="S84" i="8"/>
  <c r="O85" i="8"/>
  <c r="D85" i="8"/>
  <c r="H86" i="8"/>
  <c r="W85" i="8"/>
  <c r="U85" i="8"/>
  <c r="F85" i="8"/>
  <c r="N105" i="8"/>
  <c r="J84" i="10"/>
  <c r="K84" i="10" s="1"/>
  <c r="E84" i="10" s="1"/>
  <c r="M84" i="10"/>
  <c r="G83" i="10"/>
  <c r="P82" i="10"/>
  <c r="D82" i="10"/>
  <c r="H83" i="10"/>
  <c r="R83" i="10"/>
  <c r="N83" i="10"/>
  <c r="F83" i="10"/>
  <c r="L108" i="10"/>
  <c r="V85" i="8" l="1"/>
  <c r="Q85" i="8"/>
  <c r="R85" i="8" s="1"/>
  <c r="S85" i="8"/>
  <c r="F86" i="8"/>
  <c r="N106" i="8"/>
  <c r="C86" i="8"/>
  <c r="H87" i="8" s="1"/>
  <c r="O86" i="8"/>
  <c r="D86" i="8"/>
  <c r="W86" i="8"/>
  <c r="U86" i="8"/>
  <c r="R84" i="10"/>
  <c r="N84" i="10"/>
  <c r="F84" i="10"/>
  <c r="L109" i="10"/>
  <c r="H84" i="10"/>
  <c r="P83" i="10"/>
  <c r="D83" i="10"/>
  <c r="S82" i="10"/>
  <c r="Q82" i="10"/>
  <c r="C84" i="10"/>
  <c r="V86" i="8" l="1"/>
  <c r="O87" i="8"/>
  <c r="D87" i="8"/>
  <c r="W87" i="8"/>
  <c r="U87" i="8"/>
  <c r="G86" i="8"/>
  <c r="L87" i="8"/>
  <c r="M87" i="8" s="1"/>
  <c r="E87" i="8" s="1"/>
  <c r="C87" i="8" s="1"/>
  <c r="P86" i="8"/>
  <c r="Q83" i="10"/>
  <c r="S83" i="10"/>
  <c r="J85" i="10"/>
  <c r="K85" i="10" s="1"/>
  <c r="E85" i="10" s="1"/>
  <c r="M85" i="10"/>
  <c r="H85" i="10" s="1"/>
  <c r="G84" i="10"/>
  <c r="P84" i="10"/>
  <c r="D84" i="10"/>
  <c r="G87" i="8" l="1"/>
  <c r="L88" i="8"/>
  <c r="M88" i="8" s="1"/>
  <c r="E88" i="8" s="1"/>
  <c r="P87" i="8"/>
  <c r="H88" i="8"/>
  <c r="N107" i="8"/>
  <c r="F87" i="8"/>
  <c r="Q86" i="8"/>
  <c r="R86" i="8" s="1"/>
  <c r="S86" i="8"/>
  <c r="F85" i="10"/>
  <c r="L110" i="10"/>
  <c r="P85" i="10"/>
  <c r="D85" i="10"/>
  <c r="C85" i="10"/>
  <c r="S84" i="10"/>
  <c r="Q84" i="10"/>
  <c r="R85" i="10"/>
  <c r="N85" i="10"/>
  <c r="V87" i="8" l="1"/>
  <c r="Q87" i="8"/>
  <c r="R87" i="8" s="1"/>
  <c r="S87" i="8"/>
  <c r="N108" i="8"/>
  <c r="F88" i="8"/>
  <c r="C88" i="8"/>
  <c r="H89" i="8" s="1"/>
  <c r="O88" i="8"/>
  <c r="D88" i="8"/>
  <c r="U88" i="8"/>
  <c r="W88" i="8"/>
  <c r="Q85" i="10"/>
  <c r="S85" i="10"/>
  <c r="J86" i="10"/>
  <c r="K86" i="10" s="1"/>
  <c r="E86" i="10" s="1"/>
  <c r="G85" i="10"/>
  <c r="M86" i="10"/>
  <c r="V88" i="8" l="1"/>
  <c r="O89" i="8"/>
  <c r="D89" i="8"/>
  <c r="W89" i="8"/>
  <c r="U89" i="8"/>
  <c r="G88" i="8"/>
  <c r="P88" i="8"/>
  <c r="L89" i="8"/>
  <c r="M89" i="8" s="1"/>
  <c r="E89" i="8" s="1"/>
  <c r="C89" i="8" s="1"/>
  <c r="F86" i="10"/>
  <c r="L111" i="10"/>
  <c r="C86" i="10"/>
  <c r="R86" i="10"/>
  <c r="N86" i="10"/>
  <c r="H86" i="10"/>
  <c r="G89" i="8" l="1"/>
  <c r="P89" i="8"/>
  <c r="L90" i="8"/>
  <c r="M90" i="8" s="1"/>
  <c r="E90" i="8" s="1"/>
  <c r="H90" i="8"/>
  <c r="Q88" i="8"/>
  <c r="R88" i="8" s="1"/>
  <c r="S88" i="8"/>
  <c r="N109" i="8"/>
  <c r="F89" i="8"/>
  <c r="P86" i="10"/>
  <c r="D86" i="10"/>
  <c r="J87" i="10"/>
  <c r="K87" i="10" s="1"/>
  <c r="E87" i="10" s="1"/>
  <c r="C87" i="10" s="1"/>
  <c r="M87" i="10"/>
  <c r="H87" i="10" s="1"/>
  <c r="G86" i="10"/>
  <c r="V89" i="8" l="1"/>
  <c r="F90" i="8"/>
  <c r="N110" i="8"/>
  <c r="Q89" i="8"/>
  <c r="R89" i="8" s="1"/>
  <c r="S89" i="8"/>
  <c r="C90" i="8"/>
  <c r="H91" i="8" s="1"/>
  <c r="W91" i="8" s="1"/>
  <c r="O90" i="8"/>
  <c r="D90" i="8"/>
  <c r="W90" i="8"/>
  <c r="U90" i="8"/>
  <c r="J88" i="10"/>
  <c r="K88" i="10" s="1"/>
  <c r="E88" i="10" s="1"/>
  <c r="G87" i="10"/>
  <c r="M88" i="10"/>
  <c r="P87" i="10"/>
  <c r="D87" i="10"/>
  <c r="R87" i="10"/>
  <c r="N87" i="10"/>
  <c r="F87" i="10"/>
  <c r="L112" i="10"/>
  <c r="S86" i="10"/>
  <c r="Q86" i="10"/>
  <c r="V90" i="8" l="1"/>
  <c r="O91" i="8"/>
  <c r="D91" i="8"/>
  <c r="U91" i="8"/>
  <c r="G90" i="8"/>
  <c r="L91" i="8"/>
  <c r="M91" i="8" s="1"/>
  <c r="E91" i="8" s="1"/>
  <c r="P90" i="8"/>
  <c r="R88" i="10"/>
  <c r="N88" i="10"/>
  <c r="F88" i="10"/>
  <c r="L113" i="10"/>
  <c r="Q87" i="10"/>
  <c r="S87" i="10"/>
  <c r="H88" i="10"/>
  <c r="C88" i="10"/>
  <c r="N111" i="8" l="1"/>
  <c r="F91" i="8"/>
  <c r="Q90" i="8"/>
  <c r="R90" i="8" s="1"/>
  <c r="S90" i="8"/>
  <c r="C91" i="8"/>
  <c r="J89" i="10"/>
  <c r="K89" i="10" s="1"/>
  <c r="E89" i="10" s="1"/>
  <c r="M89" i="10"/>
  <c r="H89" i="10" s="1"/>
  <c r="G88" i="10"/>
  <c r="P88" i="10"/>
  <c r="D88" i="10"/>
  <c r="G91" i="8" l="1"/>
  <c r="L92" i="8"/>
  <c r="M92" i="8" s="1"/>
  <c r="E92" i="8" s="1"/>
  <c r="P91" i="8"/>
  <c r="H92" i="8"/>
  <c r="V91" i="8"/>
  <c r="R89" i="10"/>
  <c r="N89" i="10"/>
  <c r="F89" i="10"/>
  <c r="L114" i="10"/>
  <c r="S88" i="10"/>
  <c r="Q88" i="10"/>
  <c r="C89" i="10"/>
  <c r="P89" i="10"/>
  <c r="D89" i="10"/>
  <c r="Q91" i="8" l="1"/>
  <c r="R91" i="8" s="1"/>
  <c r="S91" i="8"/>
  <c r="N112" i="8"/>
  <c r="F92" i="8"/>
  <c r="C92" i="8"/>
  <c r="O92" i="8"/>
  <c r="D92" i="8"/>
  <c r="U92" i="8"/>
  <c r="W92" i="8"/>
  <c r="Q89" i="10"/>
  <c r="S89" i="10"/>
  <c r="J90" i="10"/>
  <c r="K90" i="10" s="1"/>
  <c r="E90" i="10" s="1"/>
  <c r="M90" i="10"/>
  <c r="G89" i="10"/>
  <c r="V92" i="8" l="1"/>
  <c r="G92" i="8"/>
  <c r="P92" i="8"/>
  <c r="L93" i="8"/>
  <c r="M93" i="8" s="1"/>
  <c r="E93" i="8" s="1"/>
  <c r="H93" i="8"/>
  <c r="F90" i="10"/>
  <c r="L115" i="10"/>
  <c r="C90" i="10"/>
  <c r="R90" i="10"/>
  <c r="N90" i="10"/>
  <c r="H90" i="10"/>
  <c r="N113" i="8" l="1"/>
  <c r="F93" i="8"/>
  <c r="Q92" i="8"/>
  <c r="R92" i="8" s="1"/>
  <c r="S92" i="8"/>
  <c r="C93" i="8"/>
  <c r="H94" i="8" s="1"/>
  <c r="O93" i="8"/>
  <c r="D93" i="8"/>
  <c r="W93" i="8"/>
  <c r="U93" i="8"/>
  <c r="J91" i="10"/>
  <c r="K91" i="10" s="1"/>
  <c r="E91" i="10" s="1"/>
  <c r="M91" i="10"/>
  <c r="H91" i="10" s="1"/>
  <c r="G90" i="10"/>
  <c r="P90" i="10"/>
  <c r="D90" i="10"/>
  <c r="V93" i="8" l="1"/>
  <c r="O94" i="8"/>
  <c r="D94" i="8"/>
  <c r="U94" i="8"/>
  <c r="W94" i="8"/>
  <c r="G93" i="8"/>
  <c r="P93" i="8"/>
  <c r="L94" i="8"/>
  <c r="M94" i="8" s="1"/>
  <c r="E94" i="8" s="1"/>
  <c r="C94" i="8" s="1"/>
  <c r="F91" i="10"/>
  <c r="L116" i="10"/>
  <c r="P91" i="10"/>
  <c r="D91" i="10"/>
  <c r="C91" i="10"/>
  <c r="S90" i="10"/>
  <c r="Q90" i="10"/>
  <c r="R91" i="10"/>
  <c r="N91" i="10"/>
  <c r="G94" i="8" l="1"/>
  <c r="P94" i="8"/>
  <c r="L95" i="8"/>
  <c r="M95" i="8" s="1"/>
  <c r="E95" i="8" s="1"/>
  <c r="H95" i="8"/>
  <c r="Q93" i="8"/>
  <c r="R93" i="8" s="1"/>
  <c r="S93" i="8"/>
  <c r="F94" i="8"/>
  <c r="N114" i="8"/>
  <c r="J92" i="10"/>
  <c r="K92" i="10" s="1"/>
  <c r="E92" i="10" s="1"/>
  <c r="M92" i="10"/>
  <c r="G91" i="10"/>
  <c r="Q91" i="10"/>
  <c r="S91" i="10"/>
  <c r="Q94" i="8" l="1"/>
  <c r="R94" i="8" s="1"/>
  <c r="S94" i="8"/>
  <c r="F95" i="8"/>
  <c r="N115" i="8"/>
  <c r="V94" i="8"/>
  <c r="C95" i="8"/>
  <c r="H96" i="8" s="1"/>
  <c r="O95" i="8"/>
  <c r="D95" i="8"/>
  <c r="U95" i="8"/>
  <c r="W95" i="8"/>
  <c r="F92" i="10"/>
  <c r="L117" i="10"/>
  <c r="C92" i="10"/>
  <c r="R92" i="10"/>
  <c r="N92" i="10"/>
  <c r="H92" i="10"/>
  <c r="V95" i="8" l="1"/>
  <c r="G95" i="8"/>
  <c r="P95" i="8"/>
  <c r="L96" i="8"/>
  <c r="M96" i="8" s="1"/>
  <c r="E96" i="8" s="1"/>
  <c r="O96" i="8"/>
  <c r="D96" i="8"/>
  <c r="W96" i="8"/>
  <c r="U96" i="8"/>
  <c r="J93" i="10"/>
  <c r="K93" i="10" s="1"/>
  <c r="E93" i="10" s="1"/>
  <c r="C93" i="10" s="1"/>
  <c r="M93" i="10"/>
  <c r="H93" i="10" s="1"/>
  <c r="G92" i="10"/>
  <c r="P92" i="10"/>
  <c r="D92" i="10"/>
  <c r="Q95" i="8" l="1"/>
  <c r="R95" i="8" s="1"/>
  <c r="S95" i="8"/>
  <c r="F96" i="8"/>
  <c r="N116" i="8"/>
  <c r="C96" i="8"/>
  <c r="P93" i="10"/>
  <c r="D93" i="10"/>
  <c r="J94" i="10"/>
  <c r="K94" i="10" s="1"/>
  <c r="E94" i="10" s="1"/>
  <c r="C94" i="10" s="1"/>
  <c r="G93" i="10"/>
  <c r="M94" i="10"/>
  <c r="S92" i="10"/>
  <c r="Q92" i="10"/>
  <c r="R93" i="10"/>
  <c r="N93" i="10"/>
  <c r="F93" i="10"/>
  <c r="L118" i="10"/>
  <c r="V96" i="8" l="1"/>
  <c r="G96" i="8"/>
  <c r="P96" i="8"/>
  <c r="L97" i="8"/>
  <c r="M97" i="8" s="1"/>
  <c r="E97" i="8" s="1"/>
  <c r="H97" i="8"/>
  <c r="J95" i="10"/>
  <c r="K95" i="10" s="1"/>
  <c r="E95" i="10" s="1"/>
  <c r="C95" i="10" s="1"/>
  <c r="M95" i="10"/>
  <c r="G94" i="10"/>
  <c r="R94" i="10"/>
  <c r="N94" i="10"/>
  <c r="Q93" i="10"/>
  <c r="S93" i="10"/>
  <c r="F94" i="10"/>
  <c r="L119" i="10"/>
  <c r="H94" i="10"/>
  <c r="H95" i="10" s="1"/>
  <c r="F97" i="8" l="1"/>
  <c r="N117" i="8"/>
  <c r="Q96" i="8"/>
  <c r="R96" i="8" s="1"/>
  <c r="S96" i="8"/>
  <c r="C97" i="8"/>
  <c r="H98" i="8" s="1"/>
  <c r="O97" i="8"/>
  <c r="D97" i="8"/>
  <c r="W97" i="8"/>
  <c r="U97" i="8"/>
  <c r="J96" i="10"/>
  <c r="K96" i="10" s="1"/>
  <c r="E96" i="10" s="1"/>
  <c r="F96" i="10" s="1"/>
  <c r="G95" i="10"/>
  <c r="M96" i="10"/>
  <c r="P94" i="10"/>
  <c r="D94" i="10"/>
  <c r="R95" i="10"/>
  <c r="N95" i="10"/>
  <c r="F95" i="10"/>
  <c r="L120" i="10"/>
  <c r="V97" i="8" l="1"/>
  <c r="O98" i="8"/>
  <c r="D98" i="8"/>
  <c r="W98" i="8"/>
  <c r="U98" i="8"/>
  <c r="G97" i="8"/>
  <c r="P97" i="8"/>
  <c r="L98" i="8"/>
  <c r="M98" i="8" s="1"/>
  <c r="E98" i="8" s="1"/>
  <c r="C98" i="8" s="1"/>
  <c r="H96" i="10"/>
  <c r="P95" i="10"/>
  <c r="D95" i="10"/>
  <c r="S94" i="10"/>
  <c r="Q94" i="10"/>
  <c r="C96" i="10"/>
  <c r="R96" i="10"/>
  <c r="N96" i="10"/>
  <c r="G98" i="8" l="1"/>
  <c r="P98" i="8"/>
  <c r="L99" i="8"/>
  <c r="M99" i="8" s="1"/>
  <c r="E99" i="8" s="1"/>
  <c r="H99" i="8"/>
  <c r="Q97" i="8"/>
  <c r="R97" i="8" s="1"/>
  <c r="S97" i="8"/>
  <c r="F98" i="8"/>
  <c r="N118" i="8"/>
  <c r="Q95" i="10"/>
  <c r="S95" i="10"/>
  <c r="J97" i="10"/>
  <c r="K97" i="10" s="1"/>
  <c r="E97" i="10" s="1"/>
  <c r="F97" i="10" s="1"/>
  <c r="M97" i="10"/>
  <c r="H97" i="10" s="1"/>
  <c r="G96" i="10"/>
  <c r="P96" i="10"/>
  <c r="D96" i="10"/>
  <c r="V98" i="8" l="1"/>
  <c r="F99" i="8"/>
  <c r="N119" i="8"/>
  <c r="Q98" i="8"/>
  <c r="R98" i="8" s="1"/>
  <c r="S98" i="8"/>
  <c r="C99" i="8"/>
  <c r="H100" i="8" s="1"/>
  <c r="O99" i="8"/>
  <c r="D99" i="8"/>
  <c r="W99" i="8"/>
  <c r="U99" i="8"/>
  <c r="C97" i="10"/>
  <c r="S96" i="10"/>
  <c r="Q96" i="10"/>
  <c r="P97" i="10"/>
  <c r="D97" i="10"/>
  <c r="R97" i="10"/>
  <c r="N97" i="10"/>
  <c r="V99" i="8" l="1"/>
  <c r="O100" i="8"/>
  <c r="D100" i="8"/>
  <c r="W100" i="8"/>
  <c r="U100" i="8"/>
  <c r="G99" i="8"/>
  <c r="P99" i="8"/>
  <c r="L100" i="8"/>
  <c r="M100" i="8" s="1"/>
  <c r="E100" i="8" s="1"/>
  <c r="C100" i="8" s="1"/>
  <c r="Q97" i="10"/>
  <c r="S97" i="10"/>
  <c r="J98" i="10"/>
  <c r="K98" i="10" s="1"/>
  <c r="E98" i="10" s="1"/>
  <c r="F98" i="10" s="1"/>
  <c r="M98" i="10"/>
  <c r="G97" i="10"/>
  <c r="G100" i="8" l="1"/>
  <c r="P100" i="8"/>
  <c r="L101" i="8"/>
  <c r="M101" i="8" s="1"/>
  <c r="E101" i="8" s="1"/>
  <c r="H101" i="8"/>
  <c r="Q99" i="8"/>
  <c r="R99" i="8" s="1"/>
  <c r="S99" i="8"/>
  <c r="F100" i="8"/>
  <c r="N120" i="8"/>
  <c r="C98" i="10"/>
  <c r="R98" i="10"/>
  <c r="N98" i="10"/>
  <c r="H98" i="10"/>
  <c r="V100" i="8" l="1"/>
  <c r="F101" i="8"/>
  <c r="N121" i="8"/>
  <c r="Q100" i="8"/>
  <c r="R100" i="8" s="1"/>
  <c r="S100" i="8"/>
  <c r="C101" i="8"/>
  <c r="H102" i="8" s="1"/>
  <c r="O101" i="8"/>
  <c r="D101" i="8"/>
  <c r="U101" i="8"/>
  <c r="W101" i="8"/>
  <c r="P98" i="10"/>
  <c r="D98" i="10"/>
  <c r="J99" i="10"/>
  <c r="K99" i="10" s="1"/>
  <c r="E99" i="10" s="1"/>
  <c r="F99" i="10" s="1"/>
  <c r="M99" i="10"/>
  <c r="H99" i="10" s="1"/>
  <c r="G98" i="10"/>
  <c r="V101" i="8" l="1"/>
  <c r="O102" i="8"/>
  <c r="D102" i="8"/>
  <c r="W102" i="8"/>
  <c r="U102" i="8"/>
  <c r="G101" i="8"/>
  <c r="P101" i="8"/>
  <c r="L102" i="8"/>
  <c r="M102" i="8" s="1"/>
  <c r="E102" i="8" s="1"/>
  <c r="C102" i="8" s="1"/>
  <c r="H103" i="8" s="1"/>
  <c r="P99" i="10"/>
  <c r="D99" i="10"/>
  <c r="C99" i="10"/>
  <c r="R99" i="10"/>
  <c r="N99" i="10"/>
  <c r="S98" i="10"/>
  <c r="Q98" i="10"/>
  <c r="F102" i="8" l="1"/>
  <c r="N122" i="8"/>
  <c r="Q101" i="8"/>
  <c r="R101" i="8" s="1"/>
  <c r="S101" i="8"/>
  <c r="D103" i="8"/>
  <c r="O103" i="8"/>
  <c r="U103" i="8"/>
  <c r="W103" i="8"/>
  <c r="G102" i="8"/>
  <c r="P102" i="8"/>
  <c r="L103" i="8"/>
  <c r="M103" i="8" s="1"/>
  <c r="E103" i="8" s="1"/>
  <c r="F103" i="8" s="1"/>
  <c r="J100" i="10"/>
  <c r="K100" i="10" s="1"/>
  <c r="E100" i="10" s="1"/>
  <c r="F100" i="10" s="1"/>
  <c r="M100" i="10"/>
  <c r="G99" i="10"/>
  <c r="Q99" i="10"/>
  <c r="S99" i="10"/>
  <c r="V102" i="8" l="1"/>
  <c r="Q102" i="8"/>
  <c r="R102" i="8" s="1"/>
  <c r="S102" i="8"/>
  <c r="C103" i="8"/>
  <c r="R100" i="10"/>
  <c r="N100" i="10"/>
  <c r="H100" i="10"/>
  <c r="C100" i="10"/>
  <c r="V103" i="8" l="1"/>
  <c r="P103" i="8"/>
  <c r="L104" i="8"/>
  <c r="M104" i="8" s="1"/>
  <c r="E104" i="8" s="1"/>
  <c r="F104" i="8" s="1"/>
  <c r="G103" i="8"/>
  <c r="H104" i="8"/>
  <c r="J101" i="10"/>
  <c r="K101" i="10" s="1"/>
  <c r="E101" i="10" s="1"/>
  <c r="F101" i="10" s="1"/>
  <c r="M101" i="10"/>
  <c r="H101" i="10" s="1"/>
  <c r="G100" i="10"/>
  <c r="P100" i="10"/>
  <c r="D100" i="10"/>
  <c r="C104" i="8" l="1"/>
  <c r="P104" i="8" s="1"/>
  <c r="D104" i="8"/>
  <c r="O104" i="8"/>
  <c r="U104" i="8"/>
  <c r="W104" i="8"/>
  <c r="Q103" i="8"/>
  <c r="R103" i="8" s="1"/>
  <c r="S103" i="8"/>
  <c r="S100" i="10"/>
  <c r="Q100" i="10"/>
  <c r="C101" i="10"/>
  <c r="P101" i="10"/>
  <c r="D101" i="10"/>
  <c r="R101" i="10"/>
  <c r="N101" i="10"/>
  <c r="G104" i="8" l="1"/>
  <c r="L105" i="8"/>
  <c r="M105" i="8" s="1"/>
  <c r="E105" i="8" s="1"/>
  <c r="F105" i="8" s="1"/>
  <c r="H105" i="8"/>
  <c r="U105" i="8" s="1"/>
  <c r="V104" i="8"/>
  <c r="Q104" i="8"/>
  <c r="R104" i="8" s="1"/>
  <c r="S104" i="8"/>
  <c r="J102" i="10"/>
  <c r="K102" i="10" s="1"/>
  <c r="E102" i="10" s="1"/>
  <c r="F102" i="10" s="1"/>
  <c r="G101" i="10"/>
  <c r="M102" i="10"/>
  <c r="Q101" i="10"/>
  <c r="S101" i="10"/>
  <c r="W105" i="8" l="1"/>
  <c r="O105" i="8"/>
  <c r="D105" i="8"/>
  <c r="V105" i="8"/>
  <c r="C105" i="8"/>
  <c r="H106" i="8" s="1"/>
  <c r="U106" i="8" s="1"/>
  <c r="R102" i="10"/>
  <c r="N102" i="10"/>
  <c r="H102" i="10"/>
  <c r="C102" i="10"/>
  <c r="L106" i="8" l="1"/>
  <c r="M106" i="8" s="1"/>
  <c r="E106" i="8" s="1"/>
  <c r="F106" i="8" s="1"/>
  <c r="W106" i="8"/>
  <c r="G105" i="8"/>
  <c r="O106" i="8"/>
  <c r="P105" i="8"/>
  <c r="Q105" i="8" s="1"/>
  <c r="R105" i="8" s="1"/>
  <c r="D106" i="8"/>
  <c r="M103" i="10"/>
  <c r="H103" i="10" s="1"/>
  <c r="G102" i="10"/>
  <c r="J103" i="10"/>
  <c r="K103" i="10" s="1"/>
  <c r="E103" i="10" s="1"/>
  <c r="F103" i="10" s="1"/>
  <c r="D102" i="10"/>
  <c r="P102" i="10"/>
  <c r="C106" i="8" l="1"/>
  <c r="H107" i="8" s="1"/>
  <c r="S105" i="8"/>
  <c r="V106" i="8"/>
  <c r="S102" i="10"/>
  <c r="Q102" i="10"/>
  <c r="C103" i="10"/>
  <c r="P103" i="10"/>
  <c r="D103" i="10"/>
  <c r="R103" i="10"/>
  <c r="N103" i="10"/>
  <c r="P106" i="8" l="1"/>
  <c r="Q106" i="8" s="1"/>
  <c r="R106" i="8" s="1"/>
  <c r="G106" i="8"/>
  <c r="L107" i="8"/>
  <c r="M107" i="8" s="1"/>
  <c r="E107" i="8" s="1"/>
  <c r="F107" i="8" s="1"/>
  <c r="D107" i="8"/>
  <c r="O107" i="8"/>
  <c r="W107" i="8"/>
  <c r="U107" i="8"/>
  <c r="Q103" i="10"/>
  <c r="S103" i="10"/>
  <c r="J104" i="10"/>
  <c r="K104" i="10" s="1"/>
  <c r="E104" i="10" s="1"/>
  <c r="F104" i="10" s="1"/>
  <c r="M104" i="10"/>
  <c r="G103" i="10"/>
  <c r="S106" i="8" l="1"/>
  <c r="C107" i="8"/>
  <c r="H108" i="8" s="1"/>
  <c r="D108" i="8" s="1"/>
  <c r="V107" i="8"/>
  <c r="R104" i="10"/>
  <c r="N104" i="10"/>
  <c r="H104" i="10"/>
  <c r="C104" i="10"/>
  <c r="G107" i="8" l="1"/>
  <c r="P107" i="8"/>
  <c r="Q107" i="8" s="1"/>
  <c r="R107" i="8" s="1"/>
  <c r="U108" i="8"/>
  <c r="L108" i="8"/>
  <c r="M108" i="8" s="1"/>
  <c r="E108" i="8" s="1"/>
  <c r="F108" i="8" s="1"/>
  <c r="O108" i="8"/>
  <c r="W108" i="8"/>
  <c r="M105" i="10"/>
  <c r="H105" i="10" s="1"/>
  <c r="G104" i="10"/>
  <c r="J105" i="10"/>
  <c r="K105" i="10" s="1"/>
  <c r="E105" i="10" s="1"/>
  <c r="F105" i="10" s="1"/>
  <c r="P104" i="10"/>
  <c r="D104" i="10"/>
  <c r="S107" i="8" l="1"/>
  <c r="C108" i="8"/>
  <c r="L109" i="8" s="1"/>
  <c r="M109" i="8" s="1"/>
  <c r="E109" i="8" s="1"/>
  <c r="F109" i="8" s="1"/>
  <c r="V108" i="8"/>
  <c r="C105" i="10"/>
  <c r="S104" i="10"/>
  <c r="Q104" i="10"/>
  <c r="P105" i="10"/>
  <c r="D105" i="10"/>
  <c r="N105" i="10"/>
  <c r="R105" i="10"/>
  <c r="G108" i="8" l="1"/>
  <c r="H109" i="8"/>
  <c r="D109" i="8" s="1"/>
  <c r="P108" i="8"/>
  <c r="Q108" i="8" s="1"/>
  <c r="R108" i="8" s="1"/>
  <c r="C109" i="8"/>
  <c r="Q105" i="10"/>
  <c r="S105" i="10"/>
  <c r="J106" i="10"/>
  <c r="K106" i="10" s="1"/>
  <c r="E106" i="10" s="1"/>
  <c r="F106" i="10" s="1"/>
  <c r="M106" i="10"/>
  <c r="G105" i="10"/>
  <c r="U109" i="8" l="1"/>
  <c r="V109" i="8" s="1"/>
  <c r="W109" i="8"/>
  <c r="O109" i="8"/>
  <c r="S108" i="8"/>
  <c r="P109" i="8"/>
  <c r="L110" i="8"/>
  <c r="M110" i="8" s="1"/>
  <c r="E110" i="8" s="1"/>
  <c r="F110" i="8" s="1"/>
  <c r="G109" i="8"/>
  <c r="H110" i="8"/>
  <c r="C106" i="10"/>
  <c r="R106" i="10"/>
  <c r="N106" i="10"/>
  <c r="H106" i="10"/>
  <c r="C110" i="8" l="1"/>
  <c r="H111" i="8" s="1"/>
  <c r="D110" i="8"/>
  <c r="O110" i="8"/>
  <c r="W110" i="8"/>
  <c r="U110" i="8"/>
  <c r="Q109" i="8"/>
  <c r="R109" i="8" s="1"/>
  <c r="S109" i="8"/>
  <c r="D106" i="10"/>
  <c r="P106" i="10"/>
  <c r="M107" i="10"/>
  <c r="G106" i="10"/>
  <c r="J107" i="10"/>
  <c r="K107" i="10" s="1"/>
  <c r="E107" i="10" s="1"/>
  <c r="F107" i="10" s="1"/>
  <c r="V110" i="8" l="1"/>
  <c r="D111" i="8"/>
  <c r="O111" i="8"/>
  <c r="U111" i="8"/>
  <c r="W111" i="8"/>
  <c r="P110" i="8"/>
  <c r="L111" i="8"/>
  <c r="M111" i="8" s="1"/>
  <c r="E111" i="8" s="1"/>
  <c r="F111" i="8" s="1"/>
  <c r="G110" i="8"/>
  <c r="R107" i="10"/>
  <c r="N107" i="10"/>
  <c r="S106" i="10"/>
  <c r="Q106" i="10"/>
  <c r="C107" i="10"/>
  <c r="H107" i="10"/>
  <c r="Q110" i="8" l="1"/>
  <c r="R110" i="8" s="1"/>
  <c r="S110" i="8"/>
  <c r="C111" i="8"/>
  <c r="J108" i="10"/>
  <c r="K108" i="10" s="1"/>
  <c r="E108" i="10" s="1"/>
  <c r="F108" i="10" s="1"/>
  <c r="M108" i="10"/>
  <c r="H108" i="10" s="1"/>
  <c r="G107" i="10"/>
  <c r="P107" i="10"/>
  <c r="D107" i="10"/>
  <c r="V111" i="8" l="1"/>
  <c r="P111" i="8"/>
  <c r="L112" i="8"/>
  <c r="M112" i="8" s="1"/>
  <c r="E112" i="8" s="1"/>
  <c r="F112" i="8" s="1"/>
  <c r="G111" i="8"/>
  <c r="H112" i="8"/>
  <c r="Q107" i="10"/>
  <c r="S107" i="10"/>
  <c r="D108" i="10"/>
  <c r="P108" i="10"/>
  <c r="R108" i="10"/>
  <c r="N108" i="10"/>
  <c r="C108" i="10"/>
  <c r="C112" i="8" l="1"/>
  <c r="P112" i="8" s="1"/>
  <c r="D112" i="8"/>
  <c r="O112" i="8"/>
  <c r="W112" i="8"/>
  <c r="U112" i="8"/>
  <c r="Q111" i="8"/>
  <c r="R111" i="8" s="1"/>
  <c r="S111" i="8"/>
  <c r="M109" i="10"/>
  <c r="G108" i="10"/>
  <c r="J109" i="10"/>
  <c r="K109" i="10" s="1"/>
  <c r="E109" i="10" s="1"/>
  <c r="F109" i="10" s="1"/>
  <c r="S108" i="10"/>
  <c r="Q108" i="10"/>
  <c r="H113" i="8" l="1"/>
  <c r="D113" i="8" s="1"/>
  <c r="G112" i="8"/>
  <c r="L113" i="8"/>
  <c r="M113" i="8" s="1"/>
  <c r="E113" i="8" s="1"/>
  <c r="F113" i="8" s="1"/>
  <c r="V112" i="8"/>
  <c r="Q112" i="8"/>
  <c r="R112" i="8" s="1"/>
  <c r="S112" i="8"/>
  <c r="C109" i="10"/>
  <c r="R109" i="10"/>
  <c r="N109" i="10"/>
  <c r="H109" i="10"/>
  <c r="W113" i="8" l="1"/>
  <c r="O113" i="8"/>
  <c r="U113" i="8"/>
  <c r="V113" i="8" s="1"/>
  <c r="C113" i="8"/>
  <c r="P113" i="8" s="1"/>
  <c r="Q113" i="8" s="1"/>
  <c r="R113" i="8" s="1"/>
  <c r="P109" i="10"/>
  <c r="D109" i="10"/>
  <c r="J110" i="10"/>
  <c r="K110" i="10" s="1"/>
  <c r="E110" i="10" s="1"/>
  <c r="F110" i="10" s="1"/>
  <c r="M110" i="10"/>
  <c r="H110" i="10" s="1"/>
  <c r="G109" i="10"/>
  <c r="L114" i="8" l="1"/>
  <c r="M114" i="8" s="1"/>
  <c r="E114" i="8" s="1"/>
  <c r="F114" i="8" s="1"/>
  <c r="S113" i="8"/>
  <c r="G113" i="8"/>
  <c r="H114" i="8"/>
  <c r="D110" i="10"/>
  <c r="P110" i="10"/>
  <c r="C110" i="10"/>
  <c r="R110" i="10"/>
  <c r="N110" i="10"/>
  <c r="Q109" i="10"/>
  <c r="S109" i="10"/>
  <c r="C114" i="8" l="1"/>
  <c r="P114" i="8" s="1"/>
  <c r="D114" i="8"/>
  <c r="U114" i="8"/>
  <c r="V114" i="8" s="1"/>
  <c r="O114" i="8"/>
  <c r="W114" i="8"/>
  <c r="M111" i="10"/>
  <c r="G110" i="10"/>
  <c r="J111" i="10"/>
  <c r="K111" i="10" s="1"/>
  <c r="E111" i="10" s="1"/>
  <c r="F111" i="10" s="1"/>
  <c r="S110" i="10"/>
  <c r="Q110" i="10"/>
  <c r="G114" i="8" l="1"/>
  <c r="L115" i="8"/>
  <c r="M115" i="8" s="1"/>
  <c r="E115" i="8" s="1"/>
  <c r="F115" i="8" s="1"/>
  <c r="H115" i="8"/>
  <c r="W115" i="8" s="1"/>
  <c r="Q114" i="8"/>
  <c r="R114" i="8" s="1"/>
  <c r="S114" i="8"/>
  <c r="C111" i="10"/>
  <c r="R111" i="10"/>
  <c r="N111" i="10"/>
  <c r="H111" i="10"/>
  <c r="D115" i="8" l="1"/>
  <c r="O115" i="8"/>
  <c r="U115" i="8"/>
  <c r="V115" i="8" s="1"/>
  <c r="C115" i="8"/>
  <c r="H116" i="8" s="1"/>
  <c r="U116" i="8" s="1"/>
  <c r="P111" i="10"/>
  <c r="D111" i="10"/>
  <c r="J112" i="10"/>
  <c r="K112" i="10" s="1"/>
  <c r="E112" i="10" s="1"/>
  <c r="F112" i="10" s="1"/>
  <c r="M112" i="10"/>
  <c r="H112" i="10" s="1"/>
  <c r="G111" i="10"/>
  <c r="L116" i="8" l="1"/>
  <c r="M116" i="8" s="1"/>
  <c r="E116" i="8" s="1"/>
  <c r="F116" i="8" s="1"/>
  <c r="P115" i="8"/>
  <c r="Q115" i="8" s="1"/>
  <c r="R115" i="8" s="1"/>
  <c r="W116" i="8"/>
  <c r="G115" i="8"/>
  <c r="D116" i="8"/>
  <c r="O116" i="8"/>
  <c r="P112" i="10"/>
  <c r="D112" i="10"/>
  <c r="C112" i="10"/>
  <c r="R112" i="10"/>
  <c r="N112" i="10"/>
  <c r="Q111" i="10"/>
  <c r="S111" i="10"/>
  <c r="C116" i="8" l="1"/>
  <c r="G116" i="8" s="1"/>
  <c r="S115" i="8"/>
  <c r="V116" i="8"/>
  <c r="M113" i="10"/>
  <c r="G112" i="10"/>
  <c r="J113" i="10"/>
  <c r="K113" i="10" s="1"/>
  <c r="E113" i="10" s="1"/>
  <c r="F113" i="10" s="1"/>
  <c r="S112" i="10"/>
  <c r="Q112" i="10"/>
  <c r="L117" i="8" l="1"/>
  <c r="M117" i="8" s="1"/>
  <c r="E117" i="8" s="1"/>
  <c r="F117" i="8" s="1"/>
  <c r="P116" i="8"/>
  <c r="S116" i="8" s="1"/>
  <c r="H117" i="8"/>
  <c r="U117" i="8" s="1"/>
  <c r="C113" i="10"/>
  <c r="N113" i="10"/>
  <c r="R113" i="10"/>
  <c r="H113" i="10"/>
  <c r="Q116" i="8" l="1"/>
  <c r="R116" i="8" s="1"/>
  <c r="C117" i="8"/>
  <c r="G117" i="8" s="1"/>
  <c r="D117" i="8"/>
  <c r="W117" i="8"/>
  <c r="O117" i="8"/>
  <c r="P113" i="10"/>
  <c r="D113" i="10"/>
  <c r="J114" i="10"/>
  <c r="K114" i="10" s="1"/>
  <c r="E114" i="10" s="1"/>
  <c r="F114" i="10" s="1"/>
  <c r="M114" i="10"/>
  <c r="H114" i="10" s="1"/>
  <c r="G113" i="10"/>
  <c r="H118" i="8" l="1"/>
  <c r="O118" i="8" s="1"/>
  <c r="L118" i="8"/>
  <c r="M118" i="8" s="1"/>
  <c r="E118" i="8" s="1"/>
  <c r="F118" i="8" s="1"/>
  <c r="P117" i="8"/>
  <c r="Q117" i="8" s="1"/>
  <c r="R117" i="8" s="1"/>
  <c r="V117" i="8"/>
  <c r="D114" i="10"/>
  <c r="P114" i="10"/>
  <c r="C114" i="10"/>
  <c r="R114" i="10"/>
  <c r="N114" i="10"/>
  <c r="Q113" i="10"/>
  <c r="S113" i="10"/>
  <c r="W118" i="8" l="1"/>
  <c r="D118" i="8"/>
  <c r="U118" i="8"/>
  <c r="V118" i="8" s="1"/>
  <c r="C118" i="8"/>
  <c r="L119" i="8" s="1"/>
  <c r="M119" i="8" s="1"/>
  <c r="E119" i="8" s="1"/>
  <c r="F119" i="8" s="1"/>
  <c r="S117" i="8"/>
  <c r="M115" i="10"/>
  <c r="G114" i="10"/>
  <c r="J115" i="10"/>
  <c r="K115" i="10" s="1"/>
  <c r="E115" i="10" s="1"/>
  <c r="F115" i="10" s="1"/>
  <c r="S114" i="10"/>
  <c r="Q114" i="10"/>
  <c r="H119" i="8" l="1"/>
  <c r="W119" i="8" s="1"/>
  <c r="G118" i="8"/>
  <c r="P118" i="8"/>
  <c r="Q118" i="8" s="1"/>
  <c r="R118" i="8" s="1"/>
  <c r="C119" i="8"/>
  <c r="C115" i="10"/>
  <c r="R115" i="10"/>
  <c r="N115" i="10"/>
  <c r="H115" i="10"/>
  <c r="D119" i="8" l="1"/>
  <c r="O119" i="8"/>
  <c r="U119" i="8"/>
  <c r="V119" i="8" s="1"/>
  <c r="S118" i="8"/>
  <c r="P119" i="8"/>
  <c r="G119" i="8"/>
  <c r="L120" i="8"/>
  <c r="M120" i="8" s="1"/>
  <c r="E120" i="8" s="1"/>
  <c r="F120" i="8" s="1"/>
  <c r="H120" i="8"/>
  <c r="P115" i="10"/>
  <c r="D115" i="10"/>
  <c r="J116" i="10"/>
  <c r="K116" i="10" s="1"/>
  <c r="E116" i="10" s="1"/>
  <c r="F116" i="10" s="1"/>
  <c r="M116" i="10"/>
  <c r="G115" i="10"/>
  <c r="C120" i="8" l="1"/>
  <c r="H121" i="8" s="1"/>
  <c r="D120" i="8"/>
  <c r="U120" i="8"/>
  <c r="O120" i="8"/>
  <c r="W120" i="8"/>
  <c r="Q119" i="8"/>
  <c r="R119" i="8" s="1"/>
  <c r="S119" i="8"/>
  <c r="R116" i="10"/>
  <c r="N116" i="10"/>
  <c r="C116" i="10"/>
  <c r="H116" i="10"/>
  <c r="Q115" i="10"/>
  <c r="S115" i="10"/>
  <c r="W121" i="8" l="1"/>
  <c r="D121" i="8"/>
  <c r="U121" i="8"/>
  <c r="O121" i="8"/>
  <c r="V120" i="8"/>
  <c r="P120" i="8"/>
  <c r="L121" i="8"/>
  <c r="M121" i="8" s="1"/>
  <c r="E121" i="8" s="1"/>
  <c r="F121" i="8" s="1"/>
  <c r="G120" i="8"/>
  <c r="D116" i="10"/>
  <c r="P116" i="10"/>
  <c r="M117" i="10"/>
  <c r="G116" i="10"/>
  <c r="J117" i="10"/>
  <c r="K117" i="10" s="1"/>
  <c r="E117" i="10" s="1"/>
  <c r="F117" i="10" s="1"/>
  <c r="Q120" i="8" l="1"/>
  <c r="R120" i="8" s="1"/>
  <c r="S120" i="8"/>
  <c r="C121" i="8"/>
  <c r="R117" i="10"/>
  <c r="N117" i="10"/>
  <c r="S116" i="10"/>
  <c r="Q116" i="10"/>
  <c r="C117" i="10"/>
  <c r="H117" i="10"/>
  <c r="V121" i="8" l="1"/>
  <c r="L122" i="8"/>
  <c r="M122" i="8" s="1"/>
  <c r="E122" i="8" s="1"/>
  <c r="F122" i="8" s="1"/>
  <c r="G121" i="8"/>
  <c r="P121" i="8"/>
  <c r="H122" i="8"/>
  <c r="J118" i="10"/>
  <c r="K118" i="10" s="1"/>
  <c r="E118" i="10" s="1"/>
  <c r="F118" i="10" s="1"/>
  <c r="M118" i="10"/>
  <c r="G117" i="10"/>
  <c r="P117" i="10"/>
  <c r="D117" i="10"/>
  <c r="O122" i="8" l="1"/>
  <c r="D122" i="8"/>
  <c r="U122" i="8"/>
  <c r="W122" i="8"/>
  <c r="C122" i="8"/>
  <c r="Q121" i="8"/>
  <c r="R121" i="8" s="1"/>
  <c r="S121" i="8"/>
  <c r="R118" i="10"/>
  <c r="N118" i="10"/>
  <c r="H118" i="10"/>
  <c r="Q117" i="10"/>
  <c r="S117" i="10"/>
  <c r="C118" i="10"/>
  <c r="V122" i="8" l="1"/>
  <c r="P122" i="8"/>
  <c r="G122" i="8"/>
  <c r="M119" i="10"/>
  <c r="H119" i="10" s="1"/>
  <c r="G118" i="10"/>
  <c r="J119" i="10"/>
  <c r="K119" i="10" s="1"/>
  <c r="E119" i="10" s="1"/>
  <c r="F119" i="10" s="1"/>
  <c r="D118" i="10"/>
  <c r="P118" i="10"/>
  <c r="Q122" i="8" l="1"/>
  <c r="R122" i="8" s="1"/>
  <c r="S122" i="8"/>
  <c r="S118" i="10"/>
  <c r="Q118" i="10"/>
  <c r="C119" i="10"/>
  <c r="P119" i="10"/>
  <c r="D119" i="10"/>
  <c r="R119" i="10"/>
  <c r="N119" i="10"/>
  <c r="Q119" i="10" l="1"/>
  <c r="S119" i="10"/>
  <c r="J120" i="10"/>
  <c r="K120" i="10" s="1"/>
  <c r="E120" i="10" s="1"/>
  <c r="F120" i="10" s="1"/>
  <c r="M120" i="10"/>
  <c r="G119" i="10"/>
  <c r="R120" i="10" l="1"/>
  <c r="N120" i="10"/>
  <c r="H120" i="10"/>
  <c r="C120" i="10"/>
  <c r="G120" i="10" s="1"/>
  <c r="P120" i="10" l="1"/>
  <c r="D120" i="10"/>
  <c r="S120" i="10" l="1"/>
  <c r="Q120" i="10"/>
</calcChain>
</file>

<file path=xl/sharedStrings.xml><?xml version="1.0" encoding="utf-8"?>
<sst xmlns="http://schemas.openxmlformats.org/spreadsheetml/2006/main" count="546" uniqueCount="387">
  <si>
    <t>Wind Speed Information</t>
  </si>
  <si>
    <t>Forest CO2 Summary</t>
  </si>
  <si>
    <t>m/s</t>
  </si>
  <si>
    <t>CO2 Values</t>
  </si>
  <si>
    <t>Carbon from coal to make electricity (kg/kWh)</t>
  </si>
  <si>
    <t>http://www.iti.gov.nt.ca/publications/2013/energy/2012_WIND_ENERGY_RESOURCES_V2.pdf</t>
  </si>
  <si>
    <t>See bottom half of spreadsheet for derivation</t>
  </si>
  <si>
    <t>http://www.forestecologynetwork.org/climate_change/sequestration_facts.html</t>
  </si>
  <si>
    <t>(tonnes/m^2)</t>
  </si>
  <si>
    <t xml:space="preserve">     Edit History</t>
  </si>
  <si>
    <t>Name</t>
  </si>
  <si>
    <t>tonnes/km^2</t>
  </si>
  <si>
    <t>http://oilprice.com/Energy/Energy-General/Keystone-XLs-Miniscule-CO2-Impact-and-the-Bigger-Picture.html</t>
  </si>
  <si>
    <t>http://www.scientificamerican.com/article.cfm?id=tar-sands-and-keystone-xl-pipeline-impact-on-global-warming</t>
  </si>
  <si>
    <t>CO2 from burning oil (tonnes per barrel oil)</t>
  </si>
  <si>
    <t>http://www.epa.gov/cleanenergy/energy-resources/refs.html</t>
  </si>
  <si>
    <t>Dave's Alberta CO2 Average (kg/kWh) (see sheet Alberta Electricity)</t>
  </si>
  <si>
    <t>mph</t>
  </si>
  <si>
    <t>Can wind turbines or PV cells on reclaimed tar sands land offset the CO2 created by mining and using the oil sands oil?</t>
  </si>
  <si>
    <t xml:space="preserve">Written by Prof. Alexander H Slocum, Massachusetts Institute of Technology </t>
  </si>
  <si>
    <t>Date Started: June 2013</t>
  </si>
  <si>
    <t>If edited please enter info on "edit history" worksheet</t>
  </si>
  <si>
    <t>Enter data in BOLD, calculated output in RED</t>
  </si>
  <si>
    <t>Motivation</t>
  </si>
  <si>
    <t>Previous value Carbon from coal to make electricity (kg/kWh)</t>
  </si>
  <si>
    <t xml:space="preserve">  Development Plan Solar</t>
  </si>
  <si>
    <t>Wind Development Plan</t>
  </si>
  <si>
    <t>How much carbon dioxide (CO2) is produced per kilowatt-hour when generating electricity with fossil fuels?</t>
  </si>
  <si>
    <t>millions barrels oil per year recovered from tar sands</t>
  </si>
  <si>
    <t>Alberta Electricity Profile</t>
  </si>
  <si>
    <t>Generation in 2012</t>
  </si>
  <si>
    <t>Additional Solar Graphs</t>
  </si>
  <si>
    <t>Date</t>
  </si>
  <si>
    <t>CO2 Offset with different investments and $0.05/kWh reinvestment</t>
  </si>
  <si>
    <t>Calculation of the solar PV energy ouput of a photovoltaic system</t>
  </si>
  <si>
    <t>Gigawatt hour (GWh)**</t>
  </si>
  <si>
    <t>Direct CO2 EmissionRate (kg/kWh)</t>
  </si>
  <si>
    <t>$ per barrell of oil to be invested on wind farm on site</t>
  </si>
  <si>
    <t xml:space="preserve">You can calculate the amount of CO2 produced per kWh for specific fuels and specific types of generators by multiplying the CO2 emissions factor for the fuel (in pounds of CO2 per million Btu) </t>
  </si>
  <si>
    <t>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</si>
  <si>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</si>
  <si>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</si>
  <si>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Lbs of CO2 per Million Btu</t>
  </si>
  <si>
    <t>source  http://en.wikipedia.org/wiki/Oil_sands</t>
  </si>
  <si>
    <t>CO2 Offset with different investments and $0.07/kWh reinvestment</t>
  </si>
  <si>
    <t>Year</t>
  </si>
  <si>
    <t>Yelow cell = Enter your own data</t>
  </si>
  <si>
    <t>$15/bbl Investment</t>
  </si>
  <si>
    <t>Daily Hours of Daylight and Twilight</t>
  </si>
  <si>
    <t>Source: https://weatherspark.com/averages/28151/Fort-McMurray-Alberta-Canada</t>
  </si>
  <si>
    <t>White cell = Calculated value (do not change the value)</t>
  </si>
  <si>
    <t>Source:  http://www.cenovus.com/operations/docs/foster-creek/phase-j/appendix-3-2C.pdf</t>
  </si>
  <si>
    <t>Heat Rate (Btu per kWh) </t>
  </si>
  <si>
    <t>Lbs CO2 per kWh</t>
  </si>
  <si>
    <t>Coal</t>
  </si>
  <si>
    <t>X%</t>
  </si>
  <si>
    <t>If price per barrel is 100, X% = 20/100 = 20%</t>
  </si>
  <si>
    <t>Annual amount to be spent (Billions)</t>
  </si>
  <si>
    <t>Direct CO2 Emissions Total (kg CO2)</t>
  </si>
  <si>
    <t xml:space="preserve">Maps From </t>
  </si>
  <si>
    <t>$/kWhr for reinvestment in purchasing more wind turbines</t>
  </si>
  <si>
    <t>Wind energy: if all the money were spent on wind energy:</t>
  </si>
  <si>
    <t>Assumed cost of wind ($/W) in this location (include transmission)</t>
  </si>
  <si>
    <t>Yelow cell = enter your own data</t>
  </si>
  <si>
    <t>Modification</t>
  </si>
  <si>
    <t>Alex Slocum</t>
  </si>
  <si>
    <t>White cell = calculated value (do not change the value)</t>
  </si>
  <si>
    <t>Global formula :</t>
  </si>
  <si>
    <t>Nameplate (peak power) size of wind turbine (MW)</t>
  </si>
  <si>
    <t xml:space="preserve">cost per wind turbine installed </t>
  </si>
  <si>
    <t>http://www.energy.alberta.ca/Org/pdfs/Alberta_Energy_Overview.pdf</t>
  </si>
  <si>
    <t>    Coal</t>
  </si>
  <si>
    <t>  Bituminous</t>
  </si>
  <si>
    <t>Alberta Oil Sands</t>
  </si>
  <si>
    <t xml:space="preserve">   Technical Assumptions: </t>
  </si>
  <si>
    <t xml:space="preserve">    Technical Assumptions:</t>
  </si>
  <si>
    <t xml:space="preserve">  Life expectancy of a Wind Turbine (yrs)</t>
  </si>
  <si>
    <t>  Sub-bituminous</t>
  </si>
  <si>
    <t>  Lignite</t>
  </si>
  <si>
    <t>Natural gas</t>
  </si>
  <si>
    <t>Distillate Oil (No. 2)</t>
  </si>
  <si>
    <t>Residual Oil (No. 6)</t>
  </si>
  <si>
    <t>number of wind turbines per year to be installed</t>
  </si>
  <si>
    <t>Number of automobiles manufactured equivalent to 1 wind turbine</t>
  </si>
  <si>
    <t>E = A * r * H * PR</t>
  </si>
  <si>
    <t>2013.06.27</t>
  </si>
  <si>
    <t>added development plan worksheet</t>
  </si>
  <si>
    <t>2013.09.13</t>
  </si>
  <si>
    <t>format columns review numbers</t>
  </si>
  <si>
    <t>Santiago Paiva</t>
  </si>
  <si>
    <t>2014.03.13</t>
  </si>
  <si>
    <t xml:space="preserve">Alberta tar sands land area (km^2) to 140,200 </t>
  </si>
  <si>
    <t>Wind Turbine Peak Power to 7 MW</t>
  </si>
  <si>
    <t>Wind Turbine Capacity Factor to 40.35%</t>
  </si>
  <si>
    <t>PV cell efficiency to 15%</t>
  </si>
  <si>
    <t>Insolation values for Fort McMurray Area: 1388.89 in January and 6250 in June</t>
  </si>
  <si>
    <t>CO2 from producing tar sands (tons per barrel of oil) to 0.071</t>
  </si>
  <si>
    <t>Oil produced (million barrels per year) to 693.5</t>
  </si>
  <si>
    <t>2014.03.17</t>
  </si>
  <si>
    <t>Wind Turbine Peak Power back to 5 MW</t>
  </si>
  <si>
    <t>Added solar insolation graph in the Solar tab</t>
  </si>
  <si>
    <t>Added peak power for solar cells 1.3 kW in Alberta in Summary tab</t>
  </si>
  <si>
    <t>Added land area per solar pannel (The general dimension is 1600mm x 1020mm = 0.0016 km^2) in Summary Tab</t>
  </si>
  <si>
    <t>E = Energy   (kWh/year)</t>
  </si>
  <si>
    <t>Added number of solar pannels to be built for land area in Summary tab</t>
  </si>
  <si>
    <t>Added Wind Graphs &amp; Solar graphs sheets</t>
  </si>
  <si>
    <t>2014.03.21</t>
  </si>
  <si>
    <t>cost per solar "cell" of 38k too high… does not make sense….. Base it all on cost per Watt as I did originally.  INSTALLED (cell plus cabling plus inverter….) is about $4/watt (and coming down)</t>
  </si>
  <si>
    <t>David Taylor</t>
  </si>
  <si>
    <t>2014.03.22</t>
  </si>
  <si>
    <t>Added Data for Alberta Electricty profile</t>
  </si>
  <si>
    <t>2014.03.23</t>
  </si>
  <si>
    <t>Hided development plan (wind) tab and kept Dave's DT Adjusted Dev Plan (wind) tab</t>
  </si>
  <si>
    <t>Updated Wind Graphs tab with new percentage values</t>
  </si>
  <si>
    <t>Added life expectancy of solar pv cell (around 25 years) in development plan (solar) tab</t>
  </si>
  <si>
    <t>Removed solar cell price of 38K to $4/Watt</t>
  </si>
  <si>
    <t>Modified peak power of solar panel to 1.41 kW (Edmonton value)</t>
  </si>
  <si>
    <t>Modified land area per solar panel to 8.3 acres per MW</t>
  </si>
  <si>
    <t>Updated Solar Graphs tab with new percentages values</t>
  </si>
  <si>
    <t>2014.03.24</t>
  </si>
  <si>
    <t>Updated Wind Graphs tab</t>
  </si>
  <si>
    <t>Updated Solar Graphs tab</t>
  </si>
  <si>
    <t>2014.03.25</t>
  </si>
  <si>
    <t>Added average 24/7 solar insolation April (Wh/m^2/day) in Summary tab</t>
  </si>
  <si>
    <t>Added nominal power of the solar cell in Summary tab</t>
  </si>
  <si>
    <t>2014.03.27</t>
  </si>
  <si>
    <t>Removed nomial powerin Summary tab</t>
  </si>
  <si>
    <t>Changed percent land area covered by PV cells to 15% (formerly 10%)</t>
  </si>
  <si>
    <t>2014.03.31</t>
  </si>
  <si>
    <t>Used Offsets to make life expectancy math dynamic</t>
  </si>
  <si>
    <t>2014.04.01</t>
  </si>
  <si>
    <t>Major revision of wind tab. Decomissioning now works dynamically!</t>
  </si>
  <si>
    <t>Decomissioning in Solar now works too!</t>
  </si>
  <si>
    <t>Calculated % of electricity supply in wind</t>
  </si>
  <si>
    <t>2014.04.05</t>
  </si>
  <si>
    <t>Changed name of "peak power of solar cell (MW)" to "Nominal Power" in Summary tab</t>
  </si>
  <si>
    <t>Added "average 24/7 solar insolation April (kWh/m^2/year)" in Summary tab</t>
  </si>
  <si>
    <t>Added "PV Output" tab to calculate "Nominal Power" in Summary tab</t>
  </si>
  <si>
    <t>Added some formatting to some tabs to look better!</t>
  </si>
  <si>
    <t>2014.04.06</t>
  </si>
  <si>
    <t>Added different graphs in "Wind Graphs" tab</t>
  </si>
  <si>
    <t>Deleted "Land Area Per Solar Panel" in Summary Tab</t>
  </si>
  <si>
    <t>Added calculation for number of panels to build in the "Summary" tab</t>
  </si>
  <si>
    <t>Added graph of daily sun hours in the "Solar" tab</t>
  </si>
  <si>
    <t>Modifed Solar Graphs in "Solar Graphs" tab</t>
  </si>
  <si>
    <t>2014.04.07</t>
  </si>
  <si>
    <t>Added % addition to Canada's electricity generation to both wind and solar</t>
  </si>
  <si>
    <t>Fixed solar column J to be 365 days/year</t>
  </si>
  <si>
    <t>Fixed inconsistency between solar summary and solar development plan, by moving to a $ -&gt; panels -&gt; MW -&gt; savings logic. ATTN! Still need to figure out what W it is for the cost of $4/W...</t>
  </si>
  <si>
    <t>Went through the spreadsheet for solar in detail and made the conversion to panels (by citing cost/m^2 of solar, but then defining panel size and rated power per panel</t>
  </si>
  <si>
    <t>2014.04.08</t>
  </si>
  <si>
    <t>Fixed percentage values in the "Wind Graphs", values are now accurate</t>
  </si>
  <si>
    <t>    Natural Gas</t>
  </si>
  <si>
    <t>year</t>
  </si>
  <si>
    <t>    Hydro</t>
  </si>
  <si>
    <t xml:space="preserve">   Life expectancy of a solar cell (yrs)</t>
  </si>
  <si>
    <t>https://www.irena.org/DocumentDownloads/Publications/RE_Technologies_Cost_Analysis-WIND_POWER.pdf</t>
  </si>
  <si>
    <t>Alberta Oil sands land area (km^2)</t>
  </si>
  <si>
    <t>http://www.seia.org/policy/environment/pv-recycling</t>
  </si>
  <si>
    <t>Last updated: March 11, 2014</t>
  </si>
  <si>
    <t>By Source Type (US Country Avg.s from EPA)</t>
  </si>
  <si>
    <t>lbs/MWh</t>
  </si>
  <si>
    <t>kg/kWh</t>
  </si>
  <si>
    <t>http://www.epa.gov/cleanenergy/energy-and-you/affect/air-emissions.html</t>
  </si>
  <si>
    <t>Nat Gas</t>
  </si>
  <si>
    <t>    Wind</t>
  </si>
  <si>
    <t>    Biomass</t>
  </si>
  <si>
    <t>total number of installed wind turbines</t>
  </si>
  <si>
    <t>cumulative ratio carbon saved/carbon burned</t>
  </si>
  <si>
    <t>number of wind turbines purchased</t>
  </si>
  <si>
    <t>Millions of autos equivelant</t>
  </si>
  <si>
    <t>% of total wind turbines to be built</t>
  </si>
  <si>
    <t>cumulative carbon saved</t>
  </si>
  <si>
    <t>cumulative carbon burned (MT)</t>
  </si>
  <si>
    <t>value of wind produced in previous year reinvested (million $)</t>
  </si>
  <si>
    <t>Billions to be spent on wind turbine acquisition next year</t>
  </si>
  <si>
    <t>    Others*</t>
  </si>
  <si>
    <t>Oil</t>
  </si>
  <si>
    <t>Biomass</t>
  </si>
  <si>
    <t>debatable, but EPA site gives no #</t>
  </si>
  <si>
    <t>Conversion Factors</t>
  </si>
  <si>
    <t>1lbs=?kgs</t>
  </si>
  <si>
    <t>kWh/an</t>
  </si>
  <si>
    <t>    Total</t>
  </si>
  <si>
    <t xml:space="preserve">   Millions barrels oil per year recovered from oil sands</t>
  </si>
  <si>
    <t>Source</t>
  </si>
  <si>
    <t>http://www.energy.alberta.ca/Electricity/682.asp</t>
  </si>
  <si>
    <t>See Carbon sheet</t>
  </si>
  <si>
    <t>Therefore Province Wide Average CO2/kWh</t>
  </si>
  <si>
    <t>http://www.energy.alberta.ca/oilsands/791.asp</t>
  </si>
  <si>
    <t>Carbon in the forest (billions of tonnes)</t>
  </si>
  <si>
    <t>Capacity</t>
  </si>
  <si>
    <t>Generating Capacity</t>
  </si>
  <si>
    <t>Megawatt (MW)</t>
  </si>
  <si>
    <t>    Gas</t>
  </si>
  <si>
    <t>    Waste Heat* </t>
  </si>
  <si>
    <t>    Fuel Oil</t>
  </si>
  <si>
    <t>    Subtotal</t>
  </si>
  <si>
    <t>Interconnections Capacity</t>
  </si>
  <si>
    <t xml:space="preserve">   $ per barrell of oil to be invested on solar farm on site</t>
  </si>
  <si>
    <t>A = Total solar panel Area  (m²)</t>
  </si>
  <si>
    <t>m²</t>
  </si>
  <si>
    <t>r = solar panel yield (%)</t>
  </si>
  <si>
    <t>H = Annual average irradiation on tilted panels (shadings not included)*</t>
  </si>
  <si>
    <t xml:space="preserve">   $ per barrell of oil to be invested on wind farm on site</t>
  </si>
  <si>
    <t>    British Columbia</t>
  </si>
  <si>
    <t>    Saskatchewan</t>
  </si>
  <si>
    <t>CO2 Saved from Electricity by Wind Power Installed on Oil Sands Land</t>
  </si>
  <si>
    <t>Turbine size, peak power (MW)</t>
  </si>
  <si>
    <t>http://www.power-technology.com/features/featurethe-worlds-biggest-wind-turbines-4154395/</t>
  </si>
  <si>
    <t>kWh/m².an</t>
  </si>
  <si>
    <t>PR = Performance ratio, coefficient for losses  (range between 0.9 and 0.5, default value =  0.75)</t>
  </si>
  <si>
    <t xml:space="preserve">   $/kWhr for reinvestment in purchasing more solar cells</t>
  </si>
  <si>
    <t xml:space="preserve">   Solar energy: if all the money were spent on solar energy:</t>
  </si>
  <si>
    <t>Avg 24/7/365 Power</t>
  </si>
  <si>
    <t>Capacity factor</t>
  </si>
  <si>
    <t>http://cleantechnica.com/2012/07/27/wind-turbine-net-capacity-factor-50-the-new-normal/</t>
  </si>
  <si>
    <t xml:space="preserve">  Annual amount to be spent </t>
  </si>
  <si>
    <t>Land area per turbine (km^2)</t>
  </si>
  <si>
    <t>Percent land area for wind turbines</t>
  </si>
  <si>
    <t>Area of wind farm (km^2)</t>
  </si>
  <si>
    <t>Grand Total</t>
  </si>
  <si>
    <t>Assumed installed cost of solar ($/W) based on peak performance of panel</t>
  </si>
  <si>
    <t xml:space="preserve"> (Square Miles)</t>
  </si>
  <si>
    <t xml:space="preserve">  $/kWhr for reinvestment in purchasing more wind turbines</t>
  </si>
  <si>
    <t xml:space="preserve">   Wind energy: if all the money were spent on wind energy:</t>
  </si>
  <si>
    <t xml:space="preserve">Cost per wind turbine installed </t>
  </si>
  <si>
    <t>Square Size (Miles x Miles)</t>
  </si>
  <si>
    <t>GW</t>
  </si>
  <si>
    <t>Number of turbines to be built for land area</t>
  </si>
  <si>
    <t>Average power generated (GW)</t>
  </si>
  <si>
    <t>Average annual energy produced (TWhr)</t>
  </si>
  <si>
    <t>Losses details (depend of site, technology, and sizing of the system)</t>
  </si>
  <si>
    <t>CO2/MW saved by not burning coal to produce energy generated by wind (tonnes/year/MW)</t>
  </si>
  <si>
    <t>Number of wind turbines per year to be installed</t>
  </si>
  <si>
    <t>CO2 saved by not burning coal to produce energy generated by wind (magatonnes/year)</t>
  </si>
  <si>
    <t xml:space="preserve">Canada Generation Capaticy </t>
  </si>
  <si>
    <t>http://en.wikipedia.org/wiki/Electricity_sector_in_Canada#Nameplate_capacity</t>
  </si>
  <si>
    <t>Type</t>
  </si>
  <si>
    <t>-</t>
  </si>
  <si>
    <t>Solar Panel power (peak W)</t>
  </si>
  <si>
    <t>Inverter losses (6% to 15 %)</t>
  </si>
  <si>
    <t>Température losses (5% to 15%)</t>
  </si>
  <si>
    <t>DC cables losses (1 to 3 %)</t>
  </si>
  <si>
    <t>AC cables losses (1 to 3 %)</t>
  </si>
  <si>
    <t>Shadings  0 % to 40% (depends of site)</t>
  </si>
  <si>
    <t>Losses weak irradiation 3% yo 7%</t>
  </si>
  <si>
    <t>Losses due to dust, snow... (2%)</t>
  </si>
  <si>
    <t>Other Losses</t>
  </si>
  <si>
    <t>Canada</t>
  </si>
  <si>
    <t>NL</t>
  </si>
  <si>
    <t>PE</t>
  </si>
  <si>
    <t>NS</t>
  </si>
  <si>
    <t>NB</t>
  </si>
  <si>
    <t>QC</t>
  </si>
  <si>
    <t>ON</t>
  </si>
  <si>
    <t>MB</t>
  </si>
  <si>
    <t>SK</t>
  </si>
  <si>
    <t>AB</t>
  </si>
  <si>
    <t>BC</t>
  </si>
  <si>
    <t>YT</t>
  </si>
  <si>
    <t>NT</t>
  </si>
  <si>
    <t>NU</t>
  </si>
  <si>
    <t>These cells check the self consistency of the spreadsheet</t>
  </si>
  <si>
    <t>MW</t>
  </si>
  <si>
    <t>Total number of installed wind turbines</t>
  </si>
  <si>
    <t>Cumulative ratio carbon saved/carbon burned</t>
  </si>
  <si>
    <t>Number of wind turbines purchased</t>
  </si>
  <si>
    <t>Cumulative carbon saved (MT)</t>
  </si>
  <si>
    <t xml:space="preserve"> Cumulative Carbon from oil sands (vs. conventional) (MT)</t>
  </si>
  <si>
    <t>Cumulative Carbon from oil end use (MT)</t>
  </si>
  <si>
    <t>Cumulative carbon burned (MT)</t>
  </si>
  <si>
    <t>Value of wind produced in previous year reinvested $</t>
  </si>
  <si>
    <t>$ to be spent on wind turbine acquisition next year</t>
  </si>
  <si>
    <t xml:space="preserve">Decomissioned Turbines </t>
  </si>
  <si>
    <t>Marginal carbon offset ratio</t>
  </si>
  <si>
    <t>Total Installed Capacity (MW)</t>
  </si>
  <si>
    <t>Power Generated (MW)</t>
  </si>
  <si>
    <t>Percentage of System in Wind</t>
  </si>
  <si>
    <t>Percentage addition to Canada's electricity generation</t>
  </si>
  <si>
    <t>carbon burned this year (MT)</t>
  </si>
  <si>
    <t>carbon saved this year (MT)</t>
  </si>
  <si>
    <t>MT/GW</t>
  </si>
  <si>
    <t>Savings (T/turbune)</t>
  </si>
  <si>
    <t>Solar Panel effective 24/7 power (W)</t>
  </si>
  <si>
    <t xml:space="preserve">Cost per solar panel installed </t>
  </si>
  <si>
    <t>Number of solar panels per year to be installed</t>
  </si>
  <si>
    <t>Number of automobiles manufactured equivalent to 1 solar cell</t>
  </si>
  <si>
    <t>Hydro</t>
  </si>
  <si>
    <t>CO2 from Oil sands production and oil use</t>
  </si>
  <si>
    <t>Wind</t>
  </si>
  <si>
    <t>Tidal</t>
  </si>
  <si>
    <t>Solar</t>
  </si>
  <si>
    <t>Thermal</t>
  </si>
  <si>
    <t>Conventional Steam</t>
  </si>
  <si>
    <t>Nuclear</t>
  </si>
  <si>
    <t>0[a]</t>
  </si>
  <si>
    <t>Total number of installed solar panels</t>
  </si>
  <si>
    <t>Number of solar panels purchased</t>
  </si>
  <si>
    <t>% of total solar panels to be built</t>
  </si>
  <si>
    <t>Cumulative carbon saved</t>
  </si>
  <si>
    <t>675[b]</t>
  </si>
  <si>
    <t>Value of solar energy produced in previous year reinvested (million $)</t>
  </si>
  <si>
    <t xml:space="preserve">Decomissioned Panels </t>
  </si>
  <si>
    <t>Generation Potential (MW)</t>
  </si>
  <si>
    <t>Combustion turbine</t>
  </si>
  <si>
    <t>Internal combustion</t>
  </si>
  <si>
    <t>Total installed capacity</t>
  </si>
  <si>
    <t>Oil produced (million barrels per year)</t>
  </si>
  <si>
    <t>% addition to canada</t>
  </si>
  <si>
    <t>Carbon burned this year</t>
  </si>
  <si>
    <t>Carbon saved this year</t>
  </si>
  <si>
    <t>Watts/ cell</t>
  </si>
  <si>
    <t>Savings per panel (T)</t>
  </si>
  <si>
    <t>http://oilsands.alberta.ca/resource.html</t>
  </si>
  <si>
    <t>CO2 to produce the oil (megatonnes/year)</t>
  </si>
  <si>
    <t>CO2 from oil use (megatonnes/year)</t>
  </si>
  <si>
    <t>CO2 Saved from Electricity by Solar PV Cells Installed on Oil Sands Land</t>
  </si>
  <si>
    <t xml:space="preserve">   Total average annual power of the system - Nominal Power (GW)</t>
  </si>
  <si>
    <t xml:space="preserve">   Average Nominal Power (GWh/Year)</t>
  </si>
  <si>
    <t xml:space="preserve">   Average Nominal Power (GWh/Day)</t>
  </si>
  <si>
    <t xml:space="preserve">   Average Nominal Power (GW) per daylight hour</t>
  </si>
  <si>
    <t>Note per daylight hour</t>
  </si>
  <si>
    <t xml:space="preserve">   Average Nominal Power (GW) per day</t>
  </si>
  <si>
    <t>Note per day (so would assume storage, or for opurposes of powering heaters</t>
  </si>
  <si>
    <t xml:space="preserve">   Average Number of Daily hours with 100% Full Sun Level </t>
  </si>
  <si>
    <t>June</t>
  </si>
  <si>
    <t>https://weatherspark.com/averages/28151/Fort-McMurray-Alberta-Canada</t>
  </si>
  <si>
    <t>January</t>
  </si>
  <si>
    <t>Solar insolation at which panel power is rated (W/m^2)</t>
  </si>
  <si>
    <t>Solar panel peak output (W)</t>
  </si>
  <si>
    <t>Solar panel 24/7 average power for panels installed in Alberta (W)</t>
  </si>
  <si>
    <t>(MW)</t>
  </si>
  <si>
    <t>Area of solar panel (m^2)</t>
  </si>
  <si>
    <t>Percent land area assumed covered by PV fields</t>
  </si>
  <si>
    <t>Area of PV farm (km^2)</t>
  </si>
  <si>
    <t>Square size (km x km)</t>
  </si>
  <si>
    <t>Ideal power potential calculations</t>
  </si>
  <si>
    <t>Area to be covered by solar panels (m^2)</t>
  </si>
  <si>
    <t>Number of solar pannels to be installed for land area</t>
  </si>
  <si>
    <t>Density of coverage on land designated for PV fields</t>
  </si>
  <si>
    <t>PV efficiency</t>
  </si>
  <si>
    <t>http://www.forbes.com/sites/peterdetwiler/2013/07/16/as-solar-panel-efficiencies-keep-improving-its-time-to-adopt-some-new-metrics/</t>
  </si>
  <si>
    <t>PR = Performance ratio, coefficient for losses</t>
  </si>
  <si>
    <t>Net PV cell efficiency</t>
  </si>
  <si>
    <t>Average 24/7 solar insolation (W/m^2)</t>
  </si>
  <si>
    <t>Average 24/7 solar insolation (kWh/m^2/year)</t>
  </si>
  <si>
    <t>http://www.cenovus.com/operations/docs/foster-creek/phase-j/appendix-3-2C.pdf</t>
  </si>
  <si>
    <t>Average power (assumes 24/7 operation made possible with storage technology) (GW)</t>
  </si>
  <si>
    <t>This was the old value</t>
  </si>
  <si>
    <t>Average</t>
  </si>
  <si>
    <t>CO2 saved by not burning coal to produce energy generated by solar (magatonnes/year)</t>
  </si>
  <si>
    <t xml:space="preserve">This is an estimated conversion </t>
  </si>
  <si>
    <t>Average Solar Energy Insoluation (MJ/m^2/day)</t>
  </si>
  <si>
    <t>Average Solar Energy Insoluation (kWh/m^2/year)</t>
  </si>
  <si>
    <t>Wind Graphs</t>
  </si>
  <si>
    <r>
      <t xml:space="preserve">Email: </t>
    </r>
    <r>
      <rPr>
        <u/>
        <sz val="11"/>
        <color rgb="FF000000"/>
        <rFont val="Calibri"/>
        <family val="2"/>
      </rPr>
      <t>slocum@mit.edu</t>
    </r>
  </si>
  <si>
    <t>2015.03.20</t>
  </si>
  <si>
    <t>Fixed Exel layout formatting</t>
  </si>
  <si>
    <t>Added 5$/bbl graphs for Wind and for Solar</t>
  </si>
  <si>
    <t xml:space="preserve">  Summary </t>
  </si>
  <si>
    <t>Carbon in northern forest (tonnes/acre)</t>
  </si>
  <si>
    <t>2015.07.03</t>
  </si>
  <si>
    <t>Added Carbon Footprint Tab</t>
  </si>
  <si>
    <t>$7.5/bbl Investment</t>
  </si>
  <si>
    <t>$11.25/bbl Investment</t>
  </si>
  <si>
    <t>$18.75/bbl Investment</t>
  </si>
  <si>
    <t>$22.5/bbl Investment</t>
  </si>
  <si>
    <t>$3.75/bbl Investment</t>
  </si>
  <si>
    <t>CO2 from producing oil sands (tons per barrel of oil)</t>
  </si>
  <si>
    <t>Millions to be spent on solar cells acquisition next year</t>
  </si>
  <si>
    <t xml:space="preserve">   Annual amount to be spent (Millions)</t>
  </si>
  <si>
    <t>Updated Wind Graphs and Solar Graphs</t>
  </si>
  <si>
    <t xml:space="preserve">  Millions barrels oil per year recovered from oil sands</t>
  </si>
  <si>
    <t>Total CO2 per year from oil sands (megatonnes/year)</t>
  </si>
  <si>
    <t>Sweden's carbon tax ($140M/MT)</t>
  </si>
  <si>
    <t>Alberta's 2016 Carbon tax ($20M/MT)</t>
  </si>
  <si>
    <t>Alberta's 2017 Carbon Tax ($30M/MT)</t>
  </si>
  <si>
    <t>Proposed Investment</t>
  </si>
  <si>
    <t>% of 2016 tax</t>
  </si>
  <si>
    <t>% of 2017 tax</t>
  </si>
  <si>
    <t>% of 2016 Tax</t>
  </si>
  <si>
    <t>Investment $/bbl</t>
  </si>
  <si>
    <t xml:space="preserve">Annual Amount to be invested </t>
  </si>
  <si>
    <t>2015.07.24</t>
  </si>
  <si>
    <t>Updated CarbonFootprint section</t>
  </si>
  <si>
    <t>These are the numbers we had before and they dio NOT give with the plots in the workbook tab "Solar", so I instead used the more conservative values from the plot</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</si>
</sst>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164" formatCode="0.0"/>
    <numFmt numFmtId="165" formatCode="_(&quot;$&quot;* #,##0.00_);_(&quot;$&quot;* \(#,##0.00\);_(&quot;$&quot;* &quot;-&quot;??_);_(@_)"/>
    <numFmt numFmtId="166" formatCode="_(&quot;$&quot;* #,##0_);_(&quot;$&quot;* \(#,##0\);_(&quot;$&quot;* &quot;-&quot;??_);_(@_)"/>
    <numFmt numFmtId="167" formatCode="0.0%"/>
    <numFmt numFmtId="168" formatCode="_(* #,##0_);_(* \(#,##0\);_(* &quot;-&quot;??_);_(@_)"/>
    <numFmt numFmtId="169" formatCode="&quot;$&quot;#,##0.00"/>
    <numFmt numFmtId="170" formatCode="_(* #,##0.00_);_(* \(#,##0.00\);_(* &quot;-&quot;??_);_(@_)"/>
    <numFmt numFmtId="171" formatCode="0.0000000"/>
    <numFmt numFmtId="172" formatCode="0.00000"/>
    <numFmt numFmtId="173" formatCode="_-* #,##0_-;\-* #,##0_-;_-* &quot;-&quot;??_-;_-@"/>
    <numFmt numFmtId="174" formatCode="_-* #,##0.00_-;\-* #,##0.00_-;_-* &quot;-&quot;??_-;_-@"/>
    <numFmt numFmtId="175" formatCode="_(* #,##0.00000000000000000_);_(* \(#,##0.00000000000000000\);_(* &quot;-&quot;??_);_(@_)"/>
  </numFmts>
  <fonts count="40">
    <font>
      <sz val="10"/>
      <name val="Arial"/>
    </font>
    <font>
      <sz val="11"/>
      <color rgb="FF000000"/>
      <name val="Calibri"/>
    </font>
    <font>
      <b/>
      <sz val="16"/>
      <color rgb="FFFFFFFF"/>
      <name val="Arial"/>
    </font>
    <font>
      <b/>
      <sz val="11"/>
      <color rgb="FF000000"/>
      <name val="Calibri"/>
    </font>
    <font>
      <b/>
      <sz val="11"/>
      <color rgb="FFFF0000"/>
      <name val="Calibri"/>
    </font>
    <font>
      <u/>
      <sz val="11"/>
      <color rgb="FF0000FF"/>
      <name val="Calibri"/>
    </font>
    <font>
      <sz val="11"/>
      <color rgb="FF7F7F7F"/>
      <name val="Calibri"/>
    </font>
    <font>
      <u/>
      <sz val="11"/>
      <color rgb="FF0000FF"/>
      <name val="Calibri"/>
    </font>
    <font>
      <sz val="11"/>
      <color rgb="FFFF0000"/>
      <name val="Calibri"/>
    </font>
    <font>
      <b/>
      <sz val="11"/>
      <color rgb="FFFFFFFF"/>
      <name val="Calibri"/>
    </font>
    <font>
      <b/>
      <sz val="10"/>
      <name val="Arial"/>
    </font>
    <font>
      <sz val="10"/>
      <color rgb="FF00FF00"/>
      <name val="Arial"/>
    </font>
    <font>
      <b/>
      <sz val="11"/>
      <color rgb="FFFFFFFF"/>
      <name val="Arial"/>
    </font>
    <font>
      <sz val="11"/>
      <color rgb="FFFFFFFF"/>
      <name val="Calibri"/>
    </font>
    <font>
      <b/>
      <sz val="11"/>
      <color rgb="FF001E3C"/>
      <name val="Verdana"/>
    </font>
    <font>
      <b/>
      <sz val="10"/>
      <color rgb="FFFFFFFF"/>
      <name val="Arial"/>
    </font>
    <font>
      <b/>
      <sz val="12"/>
      <name val="Arial"/>
    </font>
    <font>
      <b/>
      <sz val="11"/>
      <name val="Calibri"/>
    </font>
    <font>
      <u/>
      <sz val="11"/>
      <color rgb="FF0000FF"/>
      <name val="Calibri"/>
    </font>
    <font>
      <sz val="11"/>
      <name val="Calibri"/>
    </font>
    <font>
      <b/>
      <sz val="10"/>
      <color rgb="FFFF0000"/>
      <name val="Arial"/>
    </font>
    <font>
      <u/>
      <sz val="11"/>
      <color rgb="FF0000FF"/>
      <name val="Calibri"/>
    </font>
    <font>
      <u/>
      <sz val="11"/>
      <color rgb="FF0000FF"/>
      <name val="Calibri"/>
    </font>
    <font>
      <b/>
      <i/>
      <sz val="11"/>
      <color rgb="FF000000"/>
      <name val="Calibri"/>
    </font>
    <font>
      <u/>
      <sz val="11"/>
      <color rgb="FF0000FF"/>
      <name val="Calibri"/>
    </font>
    <font>
      <i/>
      <sz val="11"/>
      <color rgb="FF000000"/>
      <name val="Calibri"/>
    </font>
    <font>
      <sz val="9"/>
      <color rgb="FF4F4F4F"/>
      <name val="Arial"/>
    </font>
    <font>
      <u/>
      <sz val="11"/>
      <color rgb="FF0000FF"/>
      <name val="Calibri"/>
    </font>
    <font>
      <u/>
      <sz val="11"/>
      <color rgb="FF0000FF"/>
      <name val="Calibri"/>
    </font>
    <font>
      <b/>
      <sz val="11"/>
      <color rgb="FF000000"/>
      <name val="Calibri"/>
      <family val="2"/>
    </font>
    <font>
      <b/>
      <sz val="16"/>
      <color rgb="FFFFFFFF"/>
      <name val="Arial"/>
      <family val="2"/>
    </font>
    <font>
      <u/>
      <sz val="11"/>
      <color rgb="FF000000"/>
      <name val="Calibri"/>
      <family val="2"/>
    </font>
    <font>
      <sz val="11"/>
      <color rgb="FF000000"/>
      <name val="Calibri"/>
      <family val="2"/>
    </font>
    <font>
      <b/>
      <sz val="11"/>
      <color rgb="FFFF0000"/>
      <name val="Calibri"/>
      <family val="2"/>
    </font>
    <font>
      <sz val="10"/>
      <name val="Arial"/>
    </font>
    <font>
      <b/>
      <sz val="10"/>
      <name val="Arial"/>
      <family val="2"/>
    </font>
    <font>
      <sz val="11"/>
      <color rgb="FFFF0000"/>
      <name val="Calibri"/>
      <family val="2"/>
    </font>
    <font>
      <sz val="10"/>
      <name val="Arial"/>
      <family val="2"/>
    </font>
    <font>
      <b/>
      <sz val="10"/>
      <color rgb="FFFF0000"/>
      <name val="Arial"/>
      <family val="2"/>
    </font>
    <font>
      <b/>
      <sz val="11"/>
      <name val="Calibri"/>
      <family val="2"/>
    </font>
  </fonts>
  <fills count="16">
    <fill>
      <patternFill patternType="none"/>
    </fill>
    <fill>
      <patternFill patternType="gray125"/>
    </fill>
    <fill>
      <patternFill patternType="solid">
        <fgColor rgb="FFBFBFBF"/>
        <bgColor rgb="FFBFBFBF"/>
      </patternFill>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
      <patternFill patternType="solid">
        <fgColor rgb="FF92D050"/>
        <bgColor rgb="FF92D050"/>
      </patternFill>
    </fill>
    <fill>
      <patternFill patternType="solid">
        <fgColor rgb="FFFF6600"/>
        <bgColor rgb="FFFF6600"/>
      </patternFill>
    </fill>
    <fill>
      <patternFill patternType="solid">
        <fgColor theme="1"/>
        <bgColor rgb="FF000000"/>
      </patternFill>
    </fill>
    <fill>
      <patternFill patternType="solid">
        <fgColor theme="0"/>
        <bgColor rgb="FF000000"/>
      </patternFill>
    </fill>
    <fill>
      <patternFill patternType="solid">
        <fgColor theme="0"/>
        <bgColor rgb="FFBFBFBF"/>
      </patternFill>
    </fill>
    <fill>
      <patternFill patternType="solid">
        <fgColor theme="0"/>
        <bgColor indexed="64"/>
      </patternFill>
    </fill>
    <fill>
      <patternFill patternType="solid">
        <fgColor theme="0"/>
        <bgColor rgb="FFFF6600"/>
      </patternFill>
    </fill>
    <fill>
      <patternFill patternType="solid">
        <fgColor theme="0"/>
        <bgColor rgb="FFFFFFFF"/>
      </patternFill>
    </fill>
    <fill>
      <patternFill patternType="solid">
        <fgColor theme="1"/>
        <bgColor indexed="64"/>
      </patternFill>
    </fill>
    <fill>
      <patternFill patternType="solid">
        <fgColor theme="0"/>
        <bgColor rgb="FFC0C0C0"/>
      </patternFill>
    </fill>
  </fills>
  <borders count="49">
    <border>
      <left/>
      <right/>
      <top/>
      <bottom/>
      <diagonal/>
    </border>
    <border>
      <left/>
      <right/>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right/>
      <top/>
      <bottom style="medium">
        <color rgb="FF000000"/>
      </bottom>
      <diagonal/>
    </border>
    <border>
      <left/>
      <right style="medium">
        <color rgb="FF000000"/>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top/>
      <bottom/>
      <diagonal/>
    </border>
    <border>
      <left style="thin">
        <color rgb="FF000000"/>
      </left>
      <right/>
      <top style="thin">
        <color rgb="FF000000"/>
      </top>
      <bottom style="thin">
        <color rgb="FF000000"/>
      </bottom>
      <diagonal/>
    </border>
    <border>
      <left style="medium">
        <color rgb="FF000000"/>
      </left>
      <right/>
      <top/>
      <bottom style="medium">
        <color rgb="FF000000"/>
      </bottom>
      <diagonal/>
    </border>
    <border>
      <left style="medium">
        <color rgb="FF000000"/>
      </left>
      <right/>
      <top style="medium">
        <color rgb="FF000000"/>
      </top>
      <bottom style="thin">
        <color rgb="FF000000"/>
      </bottom>
      <diagonal/>
    </border>
    <border>
      <left/>
      <right style="medium">
        <color rgb="FF000000"/>
      </right>
      <top/>
      <bottom style="medium">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right/>
      <top style="medium">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right style="thin">
        <color rgb="FF000000"/>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rgb="FF000000"/>
      </right>
      <top/>
      <bottom style="thin">
        <color indexed="64"/>
      </bottom>
      <diagonal/>
    </border>
    <border>
      <left style="medium">
        <color rgb="FF000000"/>
      </left>
      <right style="medium">
        <color rgb="FF000000"/>
      </right>
      <top/>
      <bottom style="thin">
        <color indexed="64"/>
      </bottom>
      <diagonal/>
    </border>
  </borders>
  <cellStyleXfs count="3">
    <xf numFmtId="0" fontId="0" fillId="0" borderId="0"/>
    <xf numFmtId="44" fontId="34" fillId="0" borderId="0" applyFont="0" applyFill="0" applyBorder="0" applyAlignment="0" applyProtection="0"/>
    <xf numFmtId="9" fontId="34" fillId="0" borderId="0" applyFont="0" applyFill="0" applyBorder="0" applyAlignment="0" applyProtection="0"/>
  </cellStyleXfs>
  <cellXfs count="401">
    <xf numFmtId="0" fontId="0" fillId="0" borderId="0" xfId="0"/>
    <xf numFmtId="0" fontId="3" fillId="0" borderId="2" xfId="0" applyFont="1" applyBorder="1"/>
    <xf numFmtId="0" fontId="1" fillId="4" borderId="1" xfId="0" applyFont="1" applyFill="1" applyBorder="1"/>
    <xf numFmtId="0" fontId="1" fillId="4" borderId="3" xfId="0" applyFont="1" applyFill="1" applyBorder="1"/>
    <xf numFmtId="164" fontId="3" fillId="0" borderId="2" xfId="0" applyNumberFormat="1" applyFont="1" applyBorder="1"/>
    <xf numFmtId="0" fontId="4" fillId="4" borderId="3" xfId="0" applyFont="1" applyFill="1" applyBorder="1"/>
    <xf numFmtId="0" fontId="5" fillId="4" borderId="1" xfId="0" applyFont="1" applyFill="1" applyBorder="1"/>
    <xf numFmtId="0" fontId="3" fillId="4" borderId="4" xfId="0" applyFont="1" applyFill="1" applyBorder="1"/>
    <xf numFmtId="0" fontId="1" fillId="4" borderId="5" xfId="0" applyFont="1" applyFill="1" applyBorder="1" applyAlignment="1">
      <alignment horizontal="right"/>
    </xf>
    <xf numFmtId="0" fontId="4" fillId="4" borderId="5" xfId="0" applyFont="1" applyFill="1" applyBorder="1"/>
    <xf numFmtId="0" fontId="1" fillId="4" borderId="6" xfId="0" applyFont="1" applyFill="1" applyBorder="1" applyAlignment="1">
      <alignment horizontal="right"/>
    </xf>
    <xf numFmtId="0" fontId="1" fillId="4" borderId="5" xfId="0" applyFont="1" applyFill="1" applyBorder="1"/>
    <xf numFmtId="164" fontId="4" fillId="4" borderId="6" xfId="0" applyNumberFormat="1" applyFont="1" applyFill="1" applyBorder="1"/>
    <xf numFmtId="0" fontId="1" fillId="4" borderId="5" xfId="0" applyFont="1" applyFill="1" applyBorder="1"/>
    <xf numFmtId="0" fontId="7" fillId="0" borderId="1" xfId="0" applyFont="1" applyBorder="1"/>
    <xf numFmtId="0" fontId="1" fillId="0" borderId="1" xfId="0" applyFont="1" applyBorder="1"/>
    <xf numFmtId="0" fontId="3" fillId="0" borderId="1" xfId="0" applyFont="1" applyBorder="1"/>
    <xf numFmtId="0" fontId="8" fillId="4" borderId="5" xfId="0" applyFont="1" applyFill="1" applyBorder="1"/>
    <xf numFmtId="0" fontId="9" fillId="3" borderId="7" xfId="0" applyFont="1" applyFill="1" applyBorder="1"/>
    <xf numFmtId="0" fontId="1" fillId="4" borderId="6" xfId="0" applyFont="1" applyFill="1" applyBorder="1"/>
    <xf numFmtId="0" fontId="3" fillId="0" borderId="8" xfId="0" applyFont="1" applyBorder="1"/>
    <xf numFmtId="0" fontId="1" fillId="4" borderId="6" xfId="0" applyFont="1" applyFill="1" applyBorder="1"/>
    <xf numFmtId="164" fontId="3" fillId="0" borderId="8" xfId="0" applyNumberFormat="1" applyFont="1" applyBorder="1"/>
    <xf numFmtId="0" fontId="1" fillId="0" borderId="9" xfId="0" applyFont="1" applyBorder="1" applyAlignment="1">
      <alignment wrapText="1"/>
    </xf>
    <xf numFmtId="0" fontId="3" fillId="0" borderId="9" xfId="0" applyFont="1" applyBorder="1"/>
    <xf numFmtId="0" fontId="1" fillId="0" borderId="9" xfId="0" applyFont="1" applyBorder="1"/>
    <xf numFmtId="0" fontId="10" fillId="4" borderId="10" xfId="0" applyFont="1" applyFill="1" applyBorder="1"/>
    <xf numFmtId="0" fontId="0" fillId="0" borderId="1" xfId="0" applyFont="1" applyBorder="1"/>
    <xf numFmtId="0" fontId="2" fillId="3" borderId="1" xfId="0" applyFont="1" applyFill="1" applyBorder="1"/>
    <xf numFmtId="0" fontId="11" fillId="3" borderId="1" xfId="0" applyFont="1" applyFill="1" applyBorder="1"/>
    <xf numFmtId="0" fontId="4" fillId="0" borderId="9" xfId="0" applyFont="1" applyBorder="1"/>
    <xf numFmtId="0" fontId="4" fillId="0" borderId="9" xfId="0" applyFont="1" applyBorder="1"/>
    <xf numFmtId="0" fontId="1" fillId="0" borderId="12" xfId="0" applyFont="1" applyBorder="1"/>
    <xf numFmtId="0" fontId="3" fillId="4" borderId="1" xfId="0" applyFont="1" applyFill="1" applyBorder="1"/>
    <xf numFmtId="0" fontId="13" fillId="3" borderId="14" xfId="0" applyFont="1" applyFill="1" applyBorder="1"/>
    <xf numFmtId="0" fontId="3" fillId="4" borderId="4" xfId="0" applyFont="1" applyFill="1" applyBorder="1" applyAlignment="1">
      <alignment horizontal="center" wrapText="1"/>
    </xf>
    <xf numFmtId="0" fontId="3" fillId="4" borderId="10" xfId="0" applyFont="1" applyFill="1" applyBorder="1"/>
    <xf numFmtId="0" fontId="3" fillId="4" borderId="15" xfId="0" applyFont="1" applyFill="1" applyBorder="1"/>
    <xf numFmtId="0" fontId="1" fillId="4" borderId="4" xfId="0" applyFont="1" applyFill="1" applyBorder="1"/>
    <xf numFmtId="165" fontId="3" fillId="0" borderId="9" xfId="0" applyNumberFormat="1" applyFont="1" applyBorder="1"/>
    <xf numFmtId="166" fontId="3" fillId="0" borderId="9" xfId="0" applyNumberFormat="1" applyFont="1" applyBorder="1"/>
    <xf numFmtId="0" fontId="0" fillId="5" borderId="9" xfId="0" applyFont="1" applyFill="1" applyBorder="1"/>
    <xf numFmtId="0" fontId="10" fillId="4" borderId="4" xfId="0" applyFont="1" applyFill="1" applyBorder="1"/>
    <xf numFmtId="0" fontId="3" fillId="4" borderId="4" xfId="0" applyFont="1" applyFill="1" applyBorder="1" applyAlignment="1">
      <alignment horizontal="center" vertical="center" wrapText="1"/>
    </xf>
    <xf numFmtId="1" fontId="0" fillId="0" borderId="9" xfId="0" applyNumberFormat="1" applyFont="1" applyBorder="1"/>
    <xf numFmtId="0" fontId="1" fillId="0" borderId="9" xfId="0" applyFont="1" applyBorder="1" applyAlignment="1">
      <alignment horizontal="left" wrapText="1"/>
    </xf>
    <xf numFmtId="0" fontId="1" fillId="4" borderId="17" xfId="0" applyFont="1" applyFill="1" applyBorder="1"/>
    <xf numFmtId="0" fontId="3" fillId="4" borderId="5" xfId="0" applyFont="1" applyFill="1" applyBorder="1" applyAlignment="1">
      <alignment horizontal="center"/>
    </xf>
    <xf numFmtId="9" fontId="4" fillId="4" borderId="5" xfId="0" applyNumberFormat="1" applyFont="1" applyFill="1" applyBorder="1" applyAlignment="1">
      <alignment horizontal="center" vertical="center"/>
    </xf>
    <xf numFmtId="3" fontId="1" fillId="4" borderId="5" xfId="0" applyNumberFormat="1" applyFont="1" applyFill="1" applyBorder="1"/>
    <xf numFmtId="166" fontId="4" fillId="0" borderId="9" xfId="0" applyNumberFormat="1" applyFont="1" applyBorder="1"/>
    <xf numFmtId="0" fontId="16" fillId="0" borderId="1" xfId="0" applyFont="1" applyBorder="1"/>
    <xf numFmtId="0" fontId="3" fillId="4" borderId="3" xfId="0" applyFont="1" applyFill="1" applyBorder="1" applyAlignment="1">
      <alignment horizontal="center" vertical="center"/>
    </xf>
    <xf numFmtId="0" fontId="1" fillId="4" borderId="19" xfId="0" applyFont="1" applyFill="1" applyBorder="1"/>
    <xf numFmtId="0" fontId="3" fillId="4" borderId="5" xfId="0" applyFont="1" applyFill="1" applyBorder="1" applyAlignment="1">
      <alignment horizontal="center" vertical="center"/>
    </xf>
    <xf numFmtId="0" fontId="3" fillId="4" borderId="6" xfId="0" applyFont="1" applyFill="1" applyBorder="1" applyAlignment="1">
      <alignment horizontal="center"/>
    </xf>
    <xf numFmtId="9" fontId="4" fillId="4" borderId="6" xfId="0" applyNumberFormat="1" applyFont="1" applyFill="1" applyBorder="1" applyAlignment="1">
      <alignment horizontal="center" vertical="center"/>
    </xf>
    <xf numFmtId="0" fontId="17" fillId="0" borderId="9" xfId="0" applyFont="1" applyBorder="1"/>
    <xf numFmtId="0" fontId="1" fillId="4" borderId="21" xfId="0" applyFont="1" applyFill="1" applyBorder="1"/>
    <xf numFmtId="0" fontId="1" fillId="4" borderId="13" xfId="0" applyFont="1" applyFill="1" applyBorder="1"/>
    <xf numFmtId="3" fontId="1" fillId="4" borderId="6" xfId="0" applyNumberFormat="1" applyFont="1" applyFill="1" applyBorder="1"/>
    <xf numFmtId="0" fontId="1" fillId="4" borderId="22" xfId="0" applyFont="1" applyFill="1" applyBorder="1" applyAlignment="1">
      <alignment wrapText="1"/>
    </xf>
    <xf numFmtId="0" fontId="3" fillId="4" borderId="11" xfId="0" applyFont="1" applyFill="1" applyBorder="1"/>
    <xf numFmtId="0" fontId="3" fillId="0" borderId="19" xfId="0" applyFont="1" applyBorder="1"/>
    <xf numFmtId="0" fontId="17" fillId="4" borderId="6" xfId="0" applyFont="1" applyFill="1" applyBorder="1" applyAlignment="1">
      <alignment horizontal="center"/>
    </xf>
    <xf numFmtId="0" fontId="1" fillId="0" borderId="17" xfId="0" applyFont="1" applyBorder="1"/>
    <xf numFmtId="0" fontId="1" fillId="4" borderId="23" xfId="0" applyFont="1" applyFill="1" applyBorder="1"/>
    <xf numFmtId="3" fontId="1" fillId="4" borderId="1" xfId="0" applyNumberFormat="1" applyFont="1" applyFill="1" applyBorder="1"/>
    <xf numFmtId="0" fontId="1" fillId="0" borderId="9" xfId="0" applyFont="1" applyBorder="1" applyAlignment="1">
      <alignment horizontal="right" wrapText="1"/>
    </xf>
    <xf numFmtId="1" fontId="20" fillId="0" borderId="9" xfId="0" applyNumberFormat="1" applyFont="1" applyBorder="1" applyAlignment="1">
      <alignment vertical="center"/>
    </xf>
    <xf numFmtId="0" fontId="4" fillId="4" borderId="1" xfId="0" applyFont="1" applyFill="1" applyBorder="1"/>
    <xf numFmtId="0" fontId="1" fillId="0" borderId="24" xfId="0" applyFont="1" applyBorder="1" applyAlignment="1">
      <alignment horizontal="left"/>
    </xf>
    <xf numFmtId="9" fontId="4" fillId="4" borderId="6" xfId="0" applyNumberFormat="1" applyFont="1" applyFill="1" applyBorder="1" applyAlignment="1">
      <alignment horizontal="center"/>
    </xf>
    <xf numFmtId="0" fontId="3" fillId="0" borderId="26" xfId="0" applyFont="1" applyBorder="1"/>
    <xf numFmtId="0" fontId="1" fillId="0" borderId="27" xfId="0" applyFont="1" applyBorder="1" applyAlignment="1">
      <alignment horizontal="left"/>
    </xf>
    <xf numFmtId="2" fontId="4" fillId="0" borderId="28" xfId="0" applyNumberFormat="1" applyFont="1" applyBorder="1"/>
    <xf numFmtId="0" fontId="4" fillId="4" borderId="18" xfId="0" applyFont="1" applyFill="1" applyBorder="1"/>
    <xf numFmtId="0" fontId="0" fillId="0" borderId="1" xfId="0" applyFont="1" applyBorder="1" applyAlignment="1">
      <alignment vertical="center"/>
    </xf>
    <xf numFmtId="9" fontId="8" fillId="0" borderId="9" xfId="0" applyNumberFormat="1" applyFont="1" applyBorder="1"/>
    <xf numFmtId="0" fontId="20" fillId="5" borderId="9" xfId="0" applyFont="1" applyFill="1" applyBorder="1" applyAlignment="1">
      <alignment vertical="center"/>
    </xf>
    <xf numFmtId="0" fontId="8" fillId="0" borderId="9" xfId="0" applyFont="1" applyBorder="1"/>
    <xf numFmtId="9" fontId="20" fillId="5" borderId="9" xfId="0" applyNumberFormat="1" applyFont="1" applyFill="1" applyBorder="1" applyAlignment="1">
      <alignment vertical="center"/>
    </xf>
    <xf numFmtId="2" fontId="8" fillId="0" borderId="9" xfId="0" applyNumberFormat="1" applyFont="1" applyBorder="1"/>
    <xf numFmtId="167" fontId="8" fillId="0" borderId="9" xfId="0" applyNumberFormat="1" applyFont="1" applyBorder="1"/>
    <xf numFmtId="1" fontId="8" fillId="0" borderId="9" xfId="0" applyNumberFormat="1" applyFont="1" applyBorder="1"/>
    <xf numFmtId="0" fontId="8" fillId="0" borderId="9" xfId="0" applyFont="1" applyBorder="1"/>
    <xf numFmtId="166" fontId="8" fillId="0" borderId="9" xfId="0" applyNumberFormat="1" applyFont="1" applyBorder="1"/>
    <xf numFmtId="0" fontId="1" fillId="4" borderId="24" xfId="0" applyFont="1" applyFill="1" applyBorder="1" applyAlignment="1">
      <alignment wrapText="1"/>
    </xf>
    <xf numFmtId="0" fontId="1" fillId="5" borderId="24" xfId="0" applyFont="1" applyFill="1" applyBorder="1" applyAlignment="1">
      <alignment wrapText="1"/>
    </xf>
    <xf numFmtId="0" fontId="1" fillId="0" borderId="9" xfId="0" applyFont="1" applyBorder="1"/>
    <xf numFmtId="0" fontId="9" fillId="3" borderId="19" xfId="0" applyFont="1" applyFill="1" applyBorder="1" applyAlignment="1">
      <alignment horizontal="left"/>
    </xf>
    <xf numFmtId="0" fontId="9" fillId="3" borderId="17" xfId="0" applyFont="1" applyFill="1" applyBorder="1"/>
    <xf numFmtId="165" fontId="3" fillId="5" borderId="18" xfId="0" applyNumberFormat="1" applyFont="1" applyFill="1" applyBorder="1"/>
    <xf numFmtId="1" fontId="20" fillId="5" borderId="9" xfId="0" applyNumberFormat="1" applyFont="1" applyFill="1" applyBorder="1" applyAlignment="1">
      <alignment vertical="center"/>
    </xf>
    <xf numFmtId="2" fontId="20" fillId="5" borderId="9" xfId="0" applyNumberFormat="1" applyFont="1" applyFill="1" applyBorder="1" applyAlignment="1">
      <alignment vertical="center"/>
    </xf>
    <xf numFmtId="0" fontId="22" fillId="4" borderId="1" xfId="0" applyFont="1" applyFill="1" applyBorder="1" applyAlignment="1">
      <alignment vertical="center"/>
    </xf>
    <xf numFmtId="9" fontId="3" fillId="0" borderId="26" xfId="0" applyNumberFormat="1" applyFont="1" applyBorder="1"/>
    <xf numFmtId="0" fontId="3" fillId="4" borderId="18" xfId="0" applyFont="1" applyFill="1" applyBorder="1"/>
    <xf numFmtId="1" fontId="4" fillId="0" borderId="26" xfId="0" applyNumberFormat="1" applyFont="1" applyBorder="1"/>
    <xf numFmtId="166" fontId="4" fillId="4" borderId="18" xfId="0" applyNumberFormat="1" applyFont="1" applyFill="1" applyBorder="1"/>
    <xf numFmtId="0" fontId="1" fillId="4" borderId="24" xfId="0" applyFont="1" applyFill="1" applyBorder="1" applyAlignment="1">
      <alignment horizontal="left" wrapText="1"/>
    </xf>
    <xf numFmtId="0" fontId="1" fillId="0" borderId="24" xfId="0" applyFont="1" applyBorder="1" applyAlignment="1">
      <alignment horizontal="right"/>
    </xf>
    <xf numFmtId="1" fontId="20" fillId="4" borderId="9" xfId="0" applyNumberFormat="1" applyFont="1" applyFill="1" applyBorder="1"/>
    <xf numFmtId="168" fontId="4" fillId="0" borderId="26" xfId="0" applyNumberFormat="1" applyFont="1" applyBorder="1"/>
    <xf numFmtId="0" fontId="0" fillId="4" borderId="1" xfId="0" applyFont="1" applyFill="1" applyBorder="1"/>
    <xf numFmtId="0" fontId="1" fillId="4" borderId="32" xfId="0" applyFont="1" applyFill="1" applyBorder="1" applyAlignment="1">
      <alignment horizontal="left" wrapText="1"/>
    </xf>
    <xf numFmtId="0" fontId="1" fillId="6" borderId="27" xfId="0" applyFont="1" applyFill="1" applyBorder="1" applyAlignment="1">
      <alignment horizontal="left"/>
    </xf>
    <xf numFmtId="0" fontId="10" fillId="0" borderId="1" xfId="0" applyFont="1" applyBorder="1"/>
    <xf numFmtId="1" fontId="4" fillId="6" borderId="28" xfId="0" applyNumberFormat="1" applyFont="1" applyFill="1" applyBorder="1"/>
    <xf numFmtId="0" fontId="0" fillId="0" borderId="1" xfId="0" applyFont="1" applyBorder="1" applyAlignment="1">
      <alignment horizontal="right"/>
    </xf>
    <xf numFmtId="0" fontId="0" fillId="0" borderId="1" xfId="0" applyFont="1" applyBorder="1" applyAlignment="1">
      <alignment horizontal="left"/>
    </xf>
    <xf numFmtId="9" fontId="10" fillId="5" borderId="9" xfId="0" applyNumberFormat="1" applyFont="1" applyFill="1" applyBorder="1"/>
    <xf numFmtId="0" fontId="17" fillId="4" borderId="25" xfId="0" applyFont="1" applyFill="1" applyBorder="1"/>
    <xf numFmtId="0" fontId="1" fillId="0" borderId="32" xfId="0" applyFont="1" applyBorder="1" applyAlignment="1">
      <alignment horizontal="left"/>
    </xf>
    <xf numFmtId="1" fontId="4" fillId="0" borderId="33" xfId="0" applyNumberFormat="1" applyFont="1" applyBorder="1"/>
    <xf numFmtId="0" fontId="4" fillId="4" borderId="5" xfId="0" applyFont="1" applyFill="1" applyBorder="1" applyAlignment="1">
      <alignment horizontal="center" vertical="center"/>
    </xf>
    <xf numFmtId="2" fontId="4" fillId="4" borderId="5" xfId="0" applyNumberFormat="1" applyFont="1" applyFill="1" applyBorder="1" applyAlignment="1">
      <alignment horizontal="center" vertical="center"/>
    </xf>
    <xf numFmtId="0" fontId="9" fillId="3" borderId="19" xfId="0" applyFont="1" applyFill="1" applyBorder="1"/>
    <xf numFmtId="167" fontId="4" fillId="4" borderId="5" xfId="0" applyNumberFormat="1" applyFont="1" applyFill="1" applyBorder="1" applyAlignment="1">
      <alignment horizontal="center" vertical="center"/>
    </xf>
    <xf numFmtId="1" fontId="4" fillId="4" borderId="5" xfId="0" applyNumberFormat="1" applyFont="1" applyFill="1" applyBorder="1" applyAlignment="1">
      <alignment horizontal="center" vertical="center"/>
    </xf>
    <xf numFmtId="0" fontId="4" fillId="4" borderId="5" xfId="0" applyFont="1" applyFill="1" applyBorder="1" applyAlignment="1">
      <alignment horizontal="center" vertical="center"/>
    </xf>
    <xf numFmtId="0" fontId="3" fillId="0" borderId="26" xfId="0" applyFont="1" applyBorder="1"/>
    <xf numFmtId="166" fontId="4" fillId="4" borderId="5" xfId="0" applyNumberFormat="1" applyFont="1" applyFill="1" applyBorder="1" applyAlignment="1">
      <alignment horizontal="center" vertical="center"/>
    </xf>
    <xf numFmtId="2" fontId="13" fillId="3" borderId="17" xfId="0" applyNumberFormat="1" applyFont="1" applyFill="1" applyBorder="1"/>
    <xf numFmtId="0" fontId="3" fillId="4" borderId="5" xfId="0" applyFont="1" applyFill="1" applyBorder="1" applyAlignment="1">
      <alignment horizontal="center" vertical="center"/>
    </xf>
    <xf numFmtId="0" fontId="3" fillId="4" borderId="24" xfId="0" applyFont="1" applyFill="1" applyBorder="1"/>
    <xf numFmtId="1" fontId="4" fillId="4" borderId="26" xfId="0" applyNumberFormat="1" applyFont="1" applyFill="1" applyBorder="1"/>
    <xf numFmtId="0" fontId="1" fillId="4" borderId="24" xfId="0" applyFont="1" applyFill="1" applyBorder="1"/>
    <xf numFmtId="0" fontId="1" fillId="5" borderId="9" xfId="0" applyFont="1" applyFill="1" applyBorder="1"/>
    <xf numFmtId="0" fontId="4" fillId="5" borderId="9" xfId="0" applyFont="1" applyFill="1" applyBorder="1"/>
    <xf numFmtId="9" fontId="8" fillId="5" borderId="9" xfId="0" applyNumberFormat="1" applyFont="1" applyFill="1" applyBorder="1"/>
    <xf numFmtId="2" fontId="4" fillId="4" borderId="26" xfId="0" applyNumberFormat="1" applyFont="1" applyFill="1" applyBorder="1"/>
    <xf numFmtId="0" fontId="8" fillId="5" borderId="9" xfId="0" applyFont="1" applyFill="1" applyBorder="1"/>
    <xf numFmtId="0" fontId="1" fillId="4" borderId="24" xfId="0" applyFont="1" applyFill="1" applyBorder="1" applyAlignment="1">
      <alignment horizontal="right"/>
    </xf>
    <xf numFmtId="164" fontId="17" fillId="4" borderId="26" xfId="0" applyNumberFormat="1" applyFont="1" applyFill="1" applyBorder="1"/>
    <xf numFmtId="2" fontId="8" fillId="5" borderId="9" xfId="0" applyNumberFormat="1" applyFont="1" applyFill="1" applyBorder="1"/>
    <xf numFmtId="0" fontId="1" fillId="4" borderId="24" xfId="0" applyFont="1" applyFill="1" applyBorder="1" applyAlignment="1">
      <alignment horizontal="left"/>
    </xf>
    <xf numFmtId="1" fontId="17" fillId="4" borderId="26" xfId="0" applyNumberFormat="1" applyFont="1" applyFill="1" applyBorder="1"/>
    <xf numFmtId="167" fontId="8" fillId="5" borderId="9" xfId="0" applyNumberFormat="1" applyFont="1" applyFill="1" applyBorder="1"/>
    <xf numFmtId="0" fontId="3" fillId="4" borderId="1" xfId="0" applyFont="1" applyFill="1" applyBorder="1" applyAlignment="1">
      <alignment horizontal="left"/>
    </xf>
    <xf numFmtId="1" fontId="8" fillId="5" borderId="9" xfId="0" applyNumberFormat="1" applyFont="1" applyFill="1" applyBorder="1"/>
    <xf numFmtId="172" fontId="4" fillId="4" borderId="26" xfId="0" applyNumberFormat="1" applyFont="1" applyFill="1" applyBorder="1"/>
    <xf numFmtId="9" fontId="3" fillId="4" borderId="26" xfId="0" applyNumberFormat="1" applyFont="1" applyFill="1" applyBorder="1"/>
    <xf numFmtId="168" fontId="4" fillId="4" borderId="26" xfId="0" applyNumberFormat="1" applyFont="1" applyFill="1" applyBorder="1"/>
    <xf numFmtId="0" fontId="3" fillId="4" borderId="24" xfId="0" applyFont="1" applyFill="1" applyBorder="1" applyAlignment="1">
      <alignment horizontal="left"/>
    </xf>
    <xf numFmtId="168" fontId="4" fillId="4" borderId="26" xfId="0" applyNumberFormat="1" applyFont="1" applyFill="1" applyBorder="1" applyAlignment="1">
      <alignment horizontal="right"/>
    </xf>
    <xf numFmtId="0" fontId="1" fillId="4" borderId="9" xfId="0" applyFont="1" applyFill="1" applyBorder="1" applyAlignment="1">
      <alignment horizontal="left"/>
    </xf>
    <xf numFmtId="9" fontId="4" fillId="4" borderId="9" xfId="0" applyNumberFormat="1" applyFont="1" applyFill="1" applyBorder="1"/>
    <xf numFmtId="170" fontId="1" fillId="4" borderId="1" xfId="0" applyNumberFormat="1" applyFont="1" applyFill="1" applyBorder="1"/>
    <xf numFmtId="1" fontId="3" fillId="4" borderId="26" xfId="0" applyNumberFormat="1" applyFont="1" applyFill="1" applyBorder="1"/>
    <xf numFmtId="0" fontId="3" fillId="4" borderId="26" xfId="0" applyFont="1" applyFill="1" applyBorder="1"/>
    <xf numFmtId="173" fontId="4" fillId="4" borderId="26" xfId="0" applyNumberFormat="1" applyFont="1" applyFill="1" applyBorder="1" applyAlignment="1">
      <alignment horizontal="right" vertical="center"/>
    </xf>
    <xf numFmtId="1" fontId="1" fillId="4" borderId="1" xfId="0" applyNumberFormat="1" applyFont="1" applyFill="1" applyBorder="1"/>
    <xf numFmtId="0" fontId="1" fillId="6" borderId="24" xfId="0" applyFont="1" applyFill="1" applyBorder="1" applyAlignment="1">
      <alignment horizontal="left"/>
    </xf>
    <xf numFmtId="1" fontId="4" fillId="6" borderId="26" xfId="0" applyNumberFormat="1" applyFont="1" applyFill="1" applyBorder="1"/>
    <xf numFmtId="0" fontId="25" fillId="4" borderId="1" xfId="0" applyFont="1" applyFill="1" applyBorder="1"/>
    <xf numFmtId="0" fontId="1" fillId="4" borderId="34" xfId="0" applyFont="1" applyFill="1" applyBorder="1"/>
    <xf numFmtId="0" fontId="1" fillId="4" borderId="9" xfId="0" applyFont="1" applyFill="1" applyBorder="1"/>
    <xf numFmtId="0" fontId="1" fillId="4" borderId="9" xfId="0" applyFont="1" applyFill="1" applyBorder="1" applyAlignment="1">
      <alignment horizontal="right"/>
    </xf>
    <xf numFmtId="0" fontId="3" fillId="4" borderId="9" xfId="0" applyFont="1" applyFill="1" applyBorder="1"/>
    <xf numFmtId="1" fontId="4" fillId="4" borderId="9" xfId="0" applyNumberFormat="1" applyFont="1" applyFill="1" applyBorder="1"/>
    <xf numFmtId="0" fontId="3" fillId="7" borderId="26" xfId="0" applyFont="1" applyFill="1" applyBorder="1"/>
    <xf numFmtId="0" fontId="28" fillId="7" borderId="1" xfId="0" applyFont="1" applyFill="1" applyBorder="1"/>
    <xf numFmtId="0" fontId="1" fillId="7" borderId="1" xfId="0" applyFont="1" applyFill="1" applyBorder="1"/>
    <xf numFmtId="0" fontId="17"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6" xfId="0" applyFont="1" applyFill="1" applyBorder="1" applyAlignment="1">
      <alignment horizontal="center" vertical="center"/>
    </xf>
    <xf numFmtId="2" fontId="4" fillId="4" borderId="6" xfId="0" applyNumberFormat="1" applyFont="1" applyFill="1" applyBorder="1" applyAlignment="1">
      <alignment horizontal="center" vertical="center"/>
    </xf>
    <xf numFmtId="167" fontId="4" fillId="4" borderId="6" xfId="0" applyNumberFormat="1" applyFont="1" applyFill="1" applyBorder="1" applyAlignment="1">
      <alignment horizontal="center" vertical="center"/>
    </xf>
    <xf numFmtId="1" fontId="4" fillId="4" borderId="6" xfId="0" applyNumberFormat="1" applyFont="1" applyFill="1" applyBorder="1" applyAlignment="1">
      <alignment horizontal="center" vertical="center"/>
    </xf>
    <xf numFmtId="166" fontId="4" fillId="4" borderId="6"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4" fillId="4" borderId="1" xfId="0" applyFont="1" applyFill="1" applyBorder="1" applyAlignment="1">
      <alignment horizontal="center" vertical="center"/>
    </xf>
    <xf numFmtId="9" fontId="4" fillId="4" borderId="1" xfId="0" applyNumberFormat="1" applyFont="1" applyFill="1" applyBorder="1" applyAlignment="1">
      <alignment horizontal="center" vertical="center"/>
    </xf>
    <xf numFmtId="2" fontId="4" fillId="4" borderId="1" xfId="0" applyNumberFormat="1" applyFont="1" applyFill="1" applyBorder="1" applyAlignment="1">
      <alignment horizontal="center" vertical="center"/>
    </xf>
    <xf numFmtId="167" fontId="4" fillId="4"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66" fontId="4" fillId="4" borderId="1" xfId="0" applyNumberFormat="1" applyFont="1" applyFill="1" applyBorder="1" applyAlignment="1">
      <alignment horizontal="center" vertical="center"/>
    </xf>
    <xf numFmtId="0" fontId="0" fillId="0" borderId="0" xfId="0" applyAlignment="1">
      <alignment horizontal="center"/>
    </xf>
    <xf numFmtId="0" fontId="1" fillId="2" borderId="1" xfId="0" applyFont="1" applyFill="1" applyBorder="1" applyAlignment="1">
      <alignment horizontal="center"/>
    </xf>
    <xf numFmtId="0" fontId="29" fillId="4" borderId="15" xfId="0" applyFont="1" applyFill="1" applyBorder="1"/>
    <xf numFmtId="0" fontId="12" fillId="9" borderId="1" xfId="0" applyFont="1" applyFill="1" applyBorder="1" applyAlignment="1">
      <alignment vertical="center"/>
    </xf>
    <xf numFmtId="0" fontId="1" fillId="10" borderId="1" xfId="0" applyFont="1" applyFill="1" applyBorder="1"/>
    <xf numFmtId="0" fontId="0" fillId="11" borderId="0" xfId="0" applyFill="1"/>
    <xf numFmtId="0" fontId="1" fillId="10" borderId="17" xfId="0" applyFont="1" applyFill="1" applyBorder="1"/>
    <xf numFmtId="0" fontId="1" fillId="10" borderId="29" xfId="0" applyFont="1" applyFill="1" applyBorder="1" applyAlignment="1">
      <alignment horizontal="left"/>
    </xf>
    <xf numFmtId="2" fontId="4" fillId="10" borderId="29" xfId="0" applyNumberFormat="1" applyFont="1" applyFill="1" applyBorder="1"/>
    <xf numFmtId="2" fontId="4" fillId="10" borderId="1" xfId="0" applyNumberFormat="1" applyFont="1" applyFill="1" applyBorder="1"/>
    <xf numFmtId="0" fontId="18" fillId="10" borderId="1" xfId="0" applyFont="1" applyFill="1" applyBorder="1"/>
    <xf numFmtId="0" fontId="1" fillId="11" borderId="1" xfId="0" applyFont="1" applyFill="1" applyBorder="1"/>
    <xf numFmtId="0" fontId="13" fillId="10" borderId="1" xfId="0" applyFont="1" applyFill="1" applyBorder="1"/>
    <xf numFmtId="0" fontId="3" fillId="10" borderId="1" xfId="0" applyFont="1" applyFill="1" applyBorder="1"/>
    <xf numFmtId="0" fontId="9" fillId="10" borderId="1" xfId="0" applyFont="1" applyFill="1" applyBorder="1"/>
    <xf numFmtId="9" fontId="3" fillId="10" borderId="1" xfId="0" applyNumberFormat="1" applyFont="1" applyFill="1" applyBorder="1"/>
    <xf numFmtId="1" fontId="4" fillId="10" borderId="1" xfId="0" applyNumberFormat="1" applyFont="1" applyFill="1" applyBorder="1"/>
    <xf numFmtId="168" fontId="4" fillId="10" borderId="1" xfId="0" applyNumberFormat="1" applyFont="1" applyFill="1" applyBorder="1"/>
    <xf numFmtId="0" fontId="4" fillId="10" borderId="1" xfId="0" applyFont="1" applyFill="1" applyBorder="1"/>
    <xf numFmtId="2" fontId="13" fillId="10" borderId="1" xfId="0" applyNumberFormat="1" applyFont="1" applyFill="1" applyBorder="1"/>
    <xf numFmtId="172" fontId="3" fillId="10" borderId="1" xfId="0" applyNumberFormat="1" applyFont="1" applyFill="1" applyBorder="1"/>
    <xf numFmtId="174" fontId="4" fillId="10" borderId="1" xfId="0" applyNumberFormat="1" applyFont="1" applyFill="1" applyBorder="1" applyAlignment="1">
      <alignment horizontal="right" vertical="center"/>
    </xf>
    <xf numFmtId="0" fontId="26" fillId="10" borderId="1" xfId="0" applyFont="1" applyFill="1" applyBorder="1"/>
    <xf numFmtId="0" fontId="3" fillId="12" borderId="1" xfId="0" applyFont="1" applyFill="1" applyBorder="1"/>
    <xf numFmtId="170" fontId="1" fillId="10" borderId="1" xfId="0" applyNumberFormat="1" applyFont="1" applyFill="1" applyBorder="1"/>
    <xf numFmtId="171" fontId="4" fillId="10" borderId="1" xfId="0" applyNumberFormat="1" applyFont="1" applyFill="1" applyBorder="1"/>
    <xf numFmtId="1" fontId="4" fillId="10" borderId="29" xfId="0" applyNumberFormat="1" applyFont="1" applyFill="1" applyBorder="1"/>
    <xf numFmtId="175" fontId="1" fillId="10" borderId="1" xfId="0" applyNumberFormat="1" applyFont="1" applyFill="1" applyBorder="1"/>
    <xf numFmtId="2" fontId="1" fillId="10" borderId="1" xfId="0" applyNumberFormat="1" applyFont="1" applyFill="1" applyBorder="1"/>
    <xf numFmtId="0" fontId="29" fillId="4" borderId="9" xfId="0" applyFont="1" applyFill="1" applyBorder="1"/>
    <xf numFmtId="0" fontId="32" fillId="0" borderId="1" xfId="0" applyFont="1" applyBorder="1"/>
    <xf numFmtId="0" fontId="29" fillId="0" borderId="1" xfId="0" applyFont="1" applyBorder="1"/>
    <xf numFmtId="0" fontId="6" fillId="10" borderId="1" xfId="0" applyFont="1" applyFill="1" applyBorder="1"/>
    <xf numFmtId="0" fontId="32" fillId="4" borderId="19" xfId="0" applyFont="1" applyFill="1" applyBorder="1"/>
    <xf numFmtId="0" fontId="32" fillId="4" borderId="5" xfId="0" applyFont="1" applyFill="1" applyBorder="1"/>
    <xf numFmtId="0" fontId="32" fillId="4" borderId="1" xfId="0" applyFont="1" applyFill="1" applyBorder="1"/>
    <xf numFmtId="0" fontId="10" fillId="4" borderId="7" xfId="0" applyFont="1" applyFill="1" applyBorder="1"/>
    <xf numFmtId="0" fontId="0" fillId="4" borderId="29" xfId="0" applyFont="1" applyFill="1" applyBorder="1"/>
    <xf numFmtId="0" fontId="1" fillId="4" borderId="29" xfId="0" applyFont="1" applyFill="1" applyBorder="1"/>
    <xf numFmtId="0" fontId="1" fillId="10" borderId="1" xfId="0" applyFont="1" applyFill="1" applyBorder="1" applyAlignment="1">
      <alignment wrapText="1"/>
    </xf>
    <xf numFmtId="0" fontId="29" fillId="4" borderId="4" xfId="0" applyFont="1" applyFill="1" applyBorder="1"/>
    <xf numFmtId="0" fontId="2" fillId="10" borderId="1" xfId="0" applyFont="1" applyFill="1" applyBorder="1" applyAlignment="1">
      <alignment horizontal="center" vertical="center" wrapText="1"/>
    </xf>
    <xf numFmtId="0" fontId="2" fillId="10" borderId="1" xfId="0" applyFont="1" applyFill="1" applyBorder="1" applyAlignment="1">
      <alignment vertical="center" wrapText="1"/>
    </xf>
    <xf numFmtId="0" fontId="0" fillId="10" borderId="1" xfId="0" applyFont="1" applyFill="1" applyBorder="1"/>
    <xf numFmtId="0" fontId="2" fillId="10" borderId="1" xfId="0" applyFont="1" applyFill="1" applyBorder="1" applyAlignment="1">
      <alignment horizontal="left" vertical="center" wrapText="1"/>
    </xf>
    <xf numFmtId="0" fontId="2" fillId="10" borderId="1" xfId="0" applyFont="1" applyFill="1" applyBorder="1" applyAlignment="1">
      <alignment horizontal="left" vertical="center"/>
    </xf>
    <xf numFmtId="165" fontId="3" fillId="10" borderId="1" xfId="0" applyNumberFormat="1" applyFont="1" applyFill="1" applyBorder="1"/>
    <xf numFmtId="166" fontId="3" fillId="10" borderId="1" xfId="0" applyNumberFormat="1" applyFont="1" applyFill="1" applyBorder="1"/>
    <xf numFmtId="166" fontId="4" fillId="10" borderId="1" xfId="0" applyNumberFormat="1" applyFont="1" applyFill="1" applyBorder="1"/>
    <xf numFmtId="1" fontId="0" fillId="10" borderId="1" xfId="0" applyNumberFormat="1" applyFont="1" applyFill="1" applyBorder="1"/>
    <xf numFmtId="0" fontId="3" fillId="10" borderId="1" xfId="0" applyFont="1" applyFill="1" applyBorder="1" applyAlignment="1">
      <alignment horizontal="left" wrapText="1"/>
    </xf>
    <xf numFmtId="0" fontId="17" fillId="10" borderId="1" xfId="0" applyFont="1" applyFill="1" applyBorder="1"/>
    <xf numFmtId="0" fontId="29" fillId="10" borderId="4" xfId="0" applyFont="1" applyFill="1" applyBorder="1" applyAlignment="1">
      <alignment horizontal="center" vertical="center" wrapText="1"/>
    </xf>
    <xf numFmtId="9" fontId="33" fillId="10" borderId="3" xfId="0" applyNumberFormat="1" applyFont="1" applyFill="1" applyBorder="1"/>
    <xf numFmtId="1" fontId="33" fillId="10" borderId="3" xfId="0" applyNumberFormat="1" applyFont="1" applyFill="1" applyBorder="1"/>
    <xf numFmtId="0" fontId="33" fillId="10" borderId="3" xfId="0" applyFont="1" applyFill="1" applyBorder="1"/>
    <xf numFmtId="9" fontId="33" fillId="10" borderId="5" xfId="0" applyNumberFormat="1" applyFont="1" applyFill="1" applyBorder="1"/>
    <xf numFmtId="1" fontId="33" fillId="10" borderId="5" xfId="0" applyNumberFormat="1" applyFont="1" applyFill="1" applyBorder="1"/>
    <xf numFmtId="0" fontId="33" fillId="10" borderId="5" xfId="0" applyFont="1" applyFill="1" applyBorder="1"/>
    <xf numFmtId="1" fontId="0" fillId="0" borderId="40" xfId="0" applyNumberFormat="1" applyFont="1" applyBorder="1"/>
    <xf numFmtId="0" fontId="0" fillId="0" borderId="41" xfId="0" applyFont="1" applyBorder="1"/>
    <xf numFmtId="0" fontId="0" fillId="5" borderId="37" xfId="0" applyFont="1" applyFill="1" applyBorder="1"/>
    <xf numFmtId="0" fontId="0" fillId="5" borderId="39" xfId="0" applyFont="1" applyFill="1" applyBorder="1"/>
    <xf numFmtId="0" fontId="1" fillId="10" borderId="1" xfId="0" applyFont="1" applyFill="1" applyBorder="1" applyAlignment="1">
      <alignment vertical="center"/>
    </xf>
    <xf numFmtId="0" fontId="3" fillId="13" borderId="1" xfId="0" applyFont="1" applyFill="1" applyBorder="1"/>
    <xf numFmtId="9" fontId="4" fillId="13" borderId="1" xfId="0" applyNumberFormat="1" applyFont="1" applyFill="1" applyBorder="1" applyAlignment="1">
      <alignment horizontal="center" vertical="center"/>
    </xf>
    <xf numFmtId="0" fontId="1" fillId="10" borderId="1" xfId="0" applyFont="1" applyFill="1" applyBorder="1" applyAlignment="1">
      <alignment horizontal="center"/>
    </xf>
    <xf numFmtId="0" fontId="0" fillId="5" borderId="37" xfId="0" applyFont="1" applyFill="1" applyBorder="1" applyAlignment="1">
      <alignment horizontal="center"/>
    </xf>
    <xf numFmtId="0" fontId="0" fillId="5" borderId="39" xfId="0" applyFont="1" applyFill="1" applyBorder="1" applyAlignment="1">
      <alignment horizontal="center"/>
    </xf>
    <xf numFmtId="0" fontId="2" fillId="10" borderId="1" xfId="0" applyFont="1" applyFill="1" applyBorder="1" applyAlignment="1">
      <alignment horizontal="center" vertical="center"/>
    </xf>
    <xf numFmtId="1" fontId="0" fillId="0" borderId="37" xfId="0" applyNumberFormat="1" applyFont="1" applyBorder="1" applyAlignment="1">
      <alignment horizontal="center"/>
    </xf>
    <xf numFmtId="0" fontId="0" fillId="0" borderId="39" xfId="0" applyFont="1" applyBorder="1" applyAlignment="1">
      <alignment horizontal="center"/>
    </xf>
    <xf numFmtId="1" fontId="0" fillId="10" borderId="1" xfId="0" applyNumberFormat="1" applyFont="1" applyFill="1" applyBorder="1" applyAlignment="1">
      <alignment horizontal="center"/>
    </xf>
    <xf numFmtId="0" fontId="0" fillId="10" borderId="1" xfId="0" applyFont="1" applyFill="1" applyBorder="1" applyAlignment="1">
      <alignment horizontal="center"/>
    </xf>
    <xf numFmtId="0" fontId="1" fillId="10" borderId="1" xfId="0" applyFont="1" applyFill="1" applyBorder="1" applyAlignment="1">
      <alignment horizontal="center" vertical="center"/>
    </xf>
    <xf numFmtId="0" fontId="1" fillId="4" borderId="11" xfId="0" applyFont="1" applyFill="1" applyBorder="1" applyAlignment="1">
      <alignment horizontal="center" wrapText="1"/>
    </xf>
    <xf numFmtId="0" fontId="3" fillId="4" borderId="11" xfId="0" applyFont="1" applyFill="1" applyBorder="1" applyAlignment="1">
      <alignment horizontal="center"/>
    </xf>
    <xf numFmtId="0" fontId="18" fillId="10" borderId="1" xfId="0" applyFont="1" applyFill="1" applyBorder="1" applyAlignment="1">
      <alignment horizontal="center"/>
    </xf>
    <xf numFmtId="0" fontId="3" fillId="10" borderId="1" xfId="0" applyFont="1" applyFill="1" applyBorder="1" applyAlignment="1">
      <alignment horizontal="center"/>
    </xf>
    <xf numFmtId="0" fontId="1" fillId="4" borderId="18" xfId="0" applyFont="1" applyFill="1" applyBorder="1" applyAlignment="1">
      <alignment horizontal="center" wrapText="1"/>
    </xf>
    <xf numFmtId="0" fontId="4" fillId="4" borderId="18" xfId="0" applyFont="1" applyFill="1" applyBorder="1" applyAlignment="1">
      <alignment horizontal="center"/>
    </xf>
    <xf numFmtId="0" fontId="4" fillId="10" borderId="1" xfId="0" applyFont="1" applyFill="1" applyBorder="1" applyAlignment="1">
      <alignment horizontal="center"/>
    </xf>
    <xf numFmtId="0" fontId="1" fillId="5" borderId="18" xfId="0" applyFont="1" applyFill="1" applyBorder="1" applyAlignment="1">
      <alignment horizontal="center" wrapText="1"/>
    </xf>
    <xf numFmtId="165" fontId="3" fillId="5" borderId="18" xfId="0" applyNumberFormat="1" applyFont="1" applyFill="1" applyBorder="1" applyAlignment="1">
      <alignment horizontal="center"/>
    </xf>
    <xf numFmtId="165" fontId="3" fillId="10" borderId="1" xfId="0" applyNumberFormat="1" applyFont="1" applyFill="1" applyBorder="1" applyAlignment="1">
      <alignment horizontal="center"/>
    </xf>
    <xf numFmtId="166" fontId="3" fillId="4" borderId="18" xfId="0" applyNumberFormat="1" applyFont="1" applyFill="1" applyBorder="1" applyAlignment="1">
      <alignment horizontal="center"/>
    </xf>
    <xf numFmtId="166" fontId="3" fillId="10" borderId="1" xfId="0" applyNumberFormat="1" applyFont="1" applyFill="1" applyBorder="1" applyAlignment="1">
      <alignment horizontal="center"/>
    </xf>
    <xf numFmtId="0" fontId="3" fillId="4" borderId="18" xfId="0" applyFont="1" applyFill="1" applyBorder="1" applyAlignment="1">
      <alignment horizontal="center"/>
    </xf>
    <xf numFmtId="169" fontId="3" fillId="4" borderId="18" xfId="0" applyNumberFormat="1" applyFont="1" applyFill="1" applyBorder="1" applyAlignment="1">
      <alignment horizontal="center"/>
    </xf>
    <xf numFmtId="3" fontId="4" fillId="4" borderId="18" xfId="0" applyNumberFormat="1" applyFont="1" applyFill="1" applyBorder="1" applyAlignment="1">
      <alignment horizontal="center"/>
    </xf>
    <xf numFmtId="1" fontId="4" fillId="4" borderId="18" xfId="0" applyNumberFormat="1" applyFont="1" applyFill="1" applyBorder="1" applyAlignment="1">
      <alignment horizontal="center"/>
    </xf>
    <xf numFmtId="166" fontId="4" fillId="4" borderId="18" xfId="0" applyNumberFormat="1" applyFont="1" applyFill="1" applyBorder="1" applyAlignment="1">
      <alignment horizontal="center"/>
    </xf>
    <xf numFmtId="166" fontId="4" fillId="10" borderId="1" xfId="0" applyNumberFormat="1" applyFont="1" applyFill="1" applyBorder="1" applyAlignment="1">
      <alignment horizontal="center"/>
    </xf>
    <xf numFmtId="0" fontId="1" fillId="4" borderId="25" xfId="0" applyFont="1" applyFill="1" applyBorder="1" applyAlignment="1">
      <alignment horizontal="center" wrapText="1"/>
    </xf>
    <xf numFmtId="0" fontId="17" fillId="4" borderId="25" xfId="0" applyFont="1" applyFill="1" applyBorder="1" applyAlignment="1">
      <alignment horizontal="center"/>
    </xf>
    <xf numFmtId="0" fontId="1" fillId="10" borderId="1" xfId="0" applyFont="1" applyFill="1" applyBorder="1" applyAlignment="1">
      <alignment horizontal="center" wrapText="1"/>
    </xf>
    <xf numFmtId="0" fontId="17" fillId="10" borderId="1" xfId="0" applyFont="1" applyFill="1" applyBorder="1" applyAlignment="1">
      <alignment horizontal="center"/>
    </xf>
    <xf numFmtId="0" fontId="4" fillId="4" borderId="5" xfId="0" applyFont="1" applyFill="1" applyBorder="1" applyAlignment="1">
      <alignment horizontal="center"/>
    </xf>
    <xf numFmtId="9" fontId="4" fillId="4" borderId="5" xfId="0" applyNumberFormat="1" applyFont="1" applyFill="1" applyBorder="1" applyAlignment="1">
      <alignment horizontal="center"/>
    </xf>
    <xf numFmtId="1" fontId="4" fillId="4" borderId="5" xfId="0" applyNumberFormat="1" applyFont="1" applyFill="1" applyBorder="1" applyAlignment="1">
      <alignment horizontal="center"/>
    </xf>
    <xf numFmtId="1" fontId="4" fillId="4" borderId="6" xfId="0" applyNumberFormat="1" applyFont="1" applyFill="1" applyBorder="1" applyAlignment="1">
      <alignment horizontal="center"/>
    </xf>
    <xf numFmtId="0" fontId="4" fillId="4" borderId="6" xfId="0" applyFont="1" applyFill="1" applyBorder="1" applyAlignment="1">
      <alignment horizontal="center"/>
    </xf>
    <xf numFmtId="0" fontId="1" fillId="4" borderId="1" xfId="0" applyFont="1" applyFill="1" applyBorder="1" applyAlignment="1">
      <alignment horizontal="center"/>
    </xf>
    <xf numFmtId="9" fontId="8" fillId="10" borderId="1" xfId="0" applyNumberFormat="1" applyFont="1" applyFill="1" applyBorder="1" applyAlignment="1">
      <alignment horizontal="center"/>
    </xf>
    <xf numFmtId="0" fontId="8" fillId="10" borderId="1" xfId="0" applyFont="1" applyFill="1" applyBorder="1" applyAlignment="1">
      <alignment horizontal="center"/>
    </xf>
    <xf numFmtId="2" fontId="8" fillId="10" borderId="1" xfId="0" applyNumberFormat="1" applyFont="1" applyFill="1" applyBorder="1" applyAlignment="1">
      <alignment horizontal="center"/>
    </xf>
    <xf numFmtId="167" fontId="8" fillId="10" borderId="1" xfId="0" applyNumberFormat="1" applyFont="1" applyFill="1" applyBorder="1" applyAlignment="1">
      <alignment horizontal="center"/>
    </xf>
    <xf numFmtId="1" fontId="8" fillId="10" borderId="1" xfId="0" applyNumberFormat="1" applyFont="1" applyFill="1" applyBorder="1" applyAlignment="1">
      <alignment horizontal="center"/>
    </xf>
    <xf numFmtId="166" fontId="8" fillId="10" borderId="1" xfId="0" applyNumberFormat="1" applyFont="1" applyFill="1" applyBorder="1" applyAlignment="1">
      <alignment horizontal="center"/>
    </xf>
    <xf numFmtId="9" fontId="4" fillId="4" borderId="29" xfId="0" applyNumberFormat="1" applyFont="1" applyFill="1" applyBorder="1" applyAlignment="1">
      <alignment horizontal="center" vertical="center"/>
    </xf>
    <xf numFmtId="0" fontId="3" fillId="11" borderId="1" xfId="0" applyFont="1" applyFill="1" applyBorder="1"/>
    <xf numFmtId="0" fontId="8" fillId="11" borderId="1" xfId="0" applyFont="1" applyFill="1" applyBorder="1"/>
    <xf numFmtId="0" fontId="3" fillId="11" borderId="11" xfId="0" applyFont="1" applyFill="1" applyBorder="1" applyAlignment="1">
      <alignment vertical="center" wrapText="1"/>
    </xf>
    <xf numFmtId="0" fontId="3" fillId="11" borderId="11" xfId="0" applyFont="1" applyFill="1" applyBorder="1" applyAlignment="1">
      <alignment wrapText="1"/>
    </xf>
    <xf numFmtId="0" fontId="1" fillId="11" borderId="18" xfId="0" applyFont="1" applyFill="1" applyBorder="1" applyAlignment="1">
      <alignment vertical="center" wrapText="1"/>
    </xf>
    <xf numFmtId="3" fontId="1" fillId="11" borderId="18" xfId="0" applyNumberFormat="1" applyFont="1" applyFill="1" applyBorder="1" applyAlignment="1">
      <alignment horizontal="right" vertical="center" wrapText="1"/>
    </xf>
    <xf numFmtId="0" fontId="8" fillId="11" borderId="18" xfId="0" applyFont="1" applyFill="1" applyBorder="1"/>
    <xf numFmtId="0" fontId="19" fillId="11" borderId="18" xfId="0" applyFont="1" applyFill="1" applyBorder="1"/>
    <xf numFmtId="0" fontId="1" fillId="11" borderId="18" xfId="0" applyFont="1" applyFill="1" applyBorder="1" applyAlignment="1">
      <alignment horizontal="right" vertical="center" wrapText="1"/>
    </xf>
    <xf numFmtId="0" fontId="3" fillId="11" borderId="18" xfId="0" applyFont="1" applyFill="1" applyBorder="1" applyAlignment="1">
      <alignment vertical="center" wrapText="1"/>
    </xf>
    <xf numFmtId="3" fontId="3" fillId="11" borderId="18" xfId="0" applyNumberFormat="1" applyFont="1" applyFill="1" applyBorder="1" applyAlignment="1">
      <alignment horizontal="right" vertical="center" wrapText="1"/>
    </xf>
    <xf numFmtId="0" fontId="1" fillId="11" borderId="25" xfId="0" applyFont="1" applyFill="1" applyBorder="1" applyAlignment="1">
      <alignment vertical="center" wrapText="1"/>
    </xf>
    <xf numFmtId="0" fontId="21" fillId="11" borderId="25" xfId="0" applyFont="1" applyFill="1" applyBorder="1" applyAlignment="1">
      <alignment wrapText="1"/>
    </xf>
    <xf numFmtId="0" fontId="17" fillId="11" borderId="25" xfId="0" applyFont="1" applyFill="1" applyBorder="1"/>
    <xf numFmtId="0" fontId="1" fillId="11" borderId="25" xfId="0" applyFont="1" applyFill="1" applyBorder="1"/>
    <xf numFmtId="0" fontId="3" fillId="11" borderId="30" xfId="0" applyFont="1" applyFill="1" applyBorder="1" applyAlignment="1">
      <alignment vertical="center" wrapText="1"/>
    </xf>
    <xf numFmtId="0" fontId="1" fillId="11" borderId="30" xfId="0" applyFont="1" applyFill="1" applyBorder="1" applyAlignment="1">
      <alignment vertical="center" wrapText="1"/>
    </xf>
    <xf numFmtId="0" fontId="3" fillId="11" borderId="31" xfId="0" applyFont="1" applyFill="1" applyBorder="1" applyAlignment="1">
      <alignment vertical="center" wrapText="1"/>
    </xf>
    <xf numFmtId="0" fontId="1" fillId="11" borderId="31" xfId="0" applyFont="1" applyFill="1" applyBorder="1" applyAlignment="1">
      <alignment vertical="center" wrapText="1"/>
    </xf>
    <xf numFmtId="0" fontId="3" fillId="11" borderId="18" xfId="0" applyFont="1" applyFill="1" applyBorder="1" applyAlignment="1">
      <alignment horizontal="right" vertical="center" wrapText="1"/>
    </xf>
    <xf numFmtId="0" fontId="3" fillId="11" borderId="25" xfId="0" applyFont="1" applyFill="1" applyBorder="1" applyAlignment="1">
      <alignment vertical="center" wrapText="1"/>
    </xf>
    <xf numFmtId="3" fontId="3" fillId="11" borderId="25" xfId="0" applyNumberFormat="1" applyFont="1" applyFill="1" applyBorder="1" applyAlignment="1">
      <alignment horizontal="right" vertical="center" wrapText="1"/>
    </xf>
    <xf numFmtId="0" fontId="3" fillId="11" borderId="36" xfId="0" applyFont="1" applyFill="1" applyBorder="1" applyAlignment="1">
      <alignment horizontal="center" vertical="center" wrapText="1"/>
    </xf>
    <xf numFmtId="3" fontId="1" fillId="11" borderId="36" xfId="0" applyNumberFormat="1" applyFont="1" applyFill="1" applyBorder="1" applyAlignment="1">
      <alignment vertical="center" wrapText="1"/>
    </xf>
    <xf numFmtId="0" fontId="1" fillId="11" borderId="36" xfId="0" applyFont="1" applyFill="1" applyBorder="1" applyAlignment="1">
      <alignment vertical="center" wrapText="1"/>
    </xf>
    <xf numFmtId="0" fontId="1" fillId="11" borderId="36" xfId="0" applyFont="1" applyFill="1" applyBorder="1" applyAlignment="1">
      <alignment horizontal="left" vertical="center" wrapText="1"/>
    </xf>
    <xf numFmtId="0" fontId="24" fillId="11" borderId="36" xfId="0" applyFont="1" applyFill="1" applyBorder="1" applyAlignment="1">
      <alignment vertical="center" wrapText="1"/>
    </xf>
    <xf numFmtId="3" fontId="3" fillId="11" borderId="36" xfId="0" applyNumberFormat="1" applyFont="1" applyFill="1" applyBorder="1" applyAlignment="1">
      <alignment vertical="center" wrapText="1"/>
    </xf>
    <xf numFmtId="0" fontId="3" fillId="11" borderId="36" xfId="0" applyFont="1" applyFill="1" applyBorder="1" applyAlignment="1">
      <alignment vertical="center" wrapText="1"/>
    </xf>
    <xf numFmtId="0" fontId="29" fillId="10" borderId="1" xfId="0" applyFont="1" applyFill="1" applyBorder="1"/>
    <xf numFmtId="0" fontId="0" fillId="15" borderId="1" xfId="0" applyFont="1" applyFill="1" applyBorder="1"/>
    <xf numFmtId="0" fontId="0" fillId="11" borderId="1" xfId="0" applyFont="1" applyFill="1" applyBorder="1"/>
    <xf numFmtId="0" fontId="0" fillId="15" borderId="1" xfId="0" applyFont="1" applyFill="1" applyBorder="1" applyAlignment="1">
      <alignment vertical="center"/>
    </xf>
    <xf numFmtId="0" fontId="0" fillId="11" borderId="1" xfId="0" applyFont="1" applyFill="1" applyBorder="1" applyAlignment="1">
      <alignment vertical="center"/>
    </xf>
    <xf numFmtId="0" fontId="3" fillId="4" borderId="15" xfId="0" applyFont="1" applyFill="1" applyBorder="1" applyAlignment="1">
      <alignment horizontal="center" vertical="center" wrapText="1"/>
    </xf>
    <xf numFmtId="0" fontId="35" fillId="0" borderId="36" xfId="0" applyFont="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37" fillId="0" borderId="0" xfId="0" applyFont="1"/>
    <xf numFmtId="0" fontId="0" fillId="0" borderId="1" xfId="0" applyBorder="1" applyAlignment="1">
      <alignment horizontal="center" vertical="center"/>
    </xf>
    <xf numFmtId="1" fontId="36" fillId="0" borderId="1" xfId="0" applyNumberFormat="1" applyFont="1" applyFill="1" applyBorder="1" applyAlignment="1">
      <alignment horizontal="center" vertical="center"/>
    </xf>
    <xf numFmtId="1" fontId="4" fillId="4" borderId="48" xfId="0" applyNumberFormat="1" applyFont="1" applyFill="1" applyBorder="1" applyAlignment="1">
      <alignment horizontal="center" vertical="center"/>
    </xf>
    <xf numFmtId="44" fontId="0" fillId="0" borderId="0" xfId="1" applyFont="1"/>
    <xf numFmtId="44" fontId="38" fillId="0" borderId="0" xfId="1" applyFont="1"/>
    <xf numFmtId="44" fontId="29" fillId="4" borderId="4" xfId="1" applyFont="1" applyFill="1" applyBorder="1" applyAlignment="1">
      <alignment horizontal="center" vertical="center" wrapText="1"/>
    </xf>
    <xf numFmtId="44" fontId="38" fillId="0" borderId="3" xfId="1" applyFont="1" applyFill="1" applyBorder="1"/>
    <xf numFmtId="0" fontId="29" fillId="4" borderId="4" xfId="0" applyFont="1" applyFill="1" applyBorder="1" applyAlignment="1">
      <alignment horizontal="center" vertical="center" wrapText="1"/>
    </xf>
    <xf numFmtId="0" fontId="32" fillId="4" borderId="18" xfId="0" applyFont="1" applyFill="1" applyBorder="1" applyAlignment="1">
      <alignment horizontal="center" wrapText="1"/>
    </xf>
    <xf numFmtId="0" fontId="38" fillId="0" borderId="0" xfId="0" applyFont="1" applyFill="1" applyAlignment="1">
      <alignment horizontal="center" vertical="center"/>
    </xf>
    <xf numFmtId="1" fontId="33" fillId="0" borderId="1" xfId="0" applyNumberFormat="1" applyFont="1" applyFill="1" applyBorder="1" applyAlignment="1">
      <alignment horizontal="center" vertical="center"/>
    </xf>
    <xf numFmtId="2" fontId="33" fillId="0" borderId="1" xfId="0" applyNumberFormat="1" applyFont="1" applyFill="1" applyBorder="1" applyAlignment="1">
      <alignment horizontal="center" vertical="center"/>
    </xf>
    <xf numFmtId="0" fontId="0" fillId="0" borderId="0" xfId="0" applyFill="1"/>
    <xf numFmtId="0" fontId="32" fillId="4" borderId="24" xfId="0" applyFont="1" applyFill="1" applyBorder="1" applyAlignment="1">
      <alignment wrapText="1"/>
    </xf>
    <xf numFmtId="0" fontId="32" fillId="6" borderId="27" xfId="0" applyFont="1" applyFill="1" applyBorder="1" applyAlignment="1">
      <alignment horizontal="left"/>
    </xf>
    <xf numFmtId="0" fontId="0" fillId="0" borderId="0" xfId="0"/>
    <xf numFmtId="44" fontId="38" fillId="0" borderId="3" xfId="1" applyFont="1" applyBorder="1"/>
    <xf numFmtId="0" fontId="38" fillId="0" borderId="0" xfId="0" applyFont="1"/>
    <xf numFmtId="9" fontId="0" fillId="0" borderId="0" xfId="2" applyFont="1"/>
    <xf numFmtId="44" fontId="37" fillId="0" borderId="0" xfId="1" applyFont="1"/>
    <xf numFmtId="0" fontId="35" fillId="0" borderId="0" xfId="0" applyFont="1"/>
    <xf numFmtId="44" fontId="35" fillId="0" borderId="0" xfId="1" applyFont="1"/>
    <xf numFmtId="9" fontId="35" fillId="0" borderId="0" xfId="2" applyFont="1"/>
    <xf numFmtId="9" fontId="29" fillId="4" borderId="4" xfId="2" applyFont="1" applyFill="1" applyBorder="1" applyAlignment="1">
      <alignment horizontal="center" vertical="center" wrapText="1"/>
    </xf>
    <xf numFmtId="9" fontId="37" fillId="0" borderId="0" xfId="2" applyFont="1"/>
    <xf numFmtId="44" fontId="38" fillId="0" borderId="0" xfId="0" applyNumberFormat="1" applyFont="1"/>
    <xf numFmtId="0" fontId="39" fillId="4" borderId="4" xfId="0" applyFont="1" applyFill="1" applyBorder="1" applyAlignment="1">
      <alignment horizontal="center" vertical="center" wrapText="1"/>
    </xf>
    <xf numFmtId="44" fontId="38" fillId="0" borderId="29" xfId="1" applyFont="1" applyFill="1" applyBorder="1"/>
    <xf numFmtId="9" fontId="38" fillId="0" borderId="0" xfId="2" applyFont="1"/>
    <xf numFmtId="1" fontId="39" fillId="4" borderId="17" xfId="0" applyNumberFormat="1" applyFont="1" applyFill="1" applyBorder="1" applyAlignment="1">
      <alignment horizontal="center" vertical="center"/>
    </xf>
    <xf numFmtId="1" fontId="39" fillId="4" borderId="5" xfId="0" applyNumberFormat="1" applyFont="1" applyFill="1" applyBorder="1" applyAlignment="1">
      <alignment horizontal="center" vertical="center"/>
    </xf>
    <xf numFmtId="1" fontId="39" fillId="4" borderId="47" xfId="0" applyNumberFormat="1" applyFont="1" applyFill="1" applyBorder="1" applyAlignment="1">
      <alignment horizontal="center" vertical="center"/>
    </xf>
    <xf numFmtId="1" fontId="39" fillId="4" borderId="48" xfId="0" applyNumberFormat="1" applyFont="1" applyFill="1" applyBorder="1" applyAlignment="1">
      <alignment horizontal="center" vertical="center"/>
    </xf>
    <xf numFmtId="0" fontId="30" fillId="3" borderId="37" xfId="0" applyFont="1" applyFill="1" applyBorder="1" applyAlignment="1">
      <alignment horizontal="left" vertical="center"/>
    </xf>
    <xf numFmtId="0" fontId="0" fillId="0" borderId="38" xfId="0" applyBorder="1" applyAlignment="1">
      <alignment horizontal="left"/>
    </xf>
    <xf numFmtId="0" fontId="0" fillId="0" borderId="39" xfId="0" applyBorder="1" applyAlignment="1">
      <alignment horizontal="left"/>
    </xf>
    <xf numFmtId="0" fontId="1" fillId="4" borderId="1" xfId="0" applyFont="1" applyFill="1" applyBorder="1" applyAlignment="1">
      <alignment horizontal="center" vertical="center" wrapText="1"/>
    </xf>
    <xf numFmtId="0" fontId="0" fillId="0" borderId="0" xfId="0"/>
    <xf numFmtId="0" fontId="27" fillId="7" borderId="1" xfId="0" applyFont="1" applyFill="1" applyBorder="1" applyAlignment="1">
      <alignment horizontal="center" vertical="center" wrapText="1"/>
    </xf>
    <xf numFmtId="0" fontId="1" fillId="7" borderId="35" xfId="0" applyFont="1" applyFill="1" applyBorder="1" applyAlignment="1">
      <alignment horizontal="center"/>
    </xf>
    <xf numFmtId="0" fontId="3" fillId="4" borderId="1" xfId="0" applyFont="1" applyFill="1" applyBorder="1" applyAlignment="1">
      <alignment horizontal="left"/>
    </xf>
    <xf numFmtId="0" fontId="2" fillId="3" borderId="1" xfId="0" applyFont="1" applyFill="1" applyBorder="1" applyAlignment="1">
      <alignment horizontal="left" vertical="center"/>
    </xf>
    <xf numFmtId="0" fontId="0" fillId="0" borderId="0" xfId="0" applyAlignment="1">
      <alignment horizontal="left"/>
    </xf>
    <xf numFmtId="0" fontId="14" fillId="11" borderId="1" xfId="0" applyFont="1" applyFill="1" applyBorder="1" applyAlignment="1">
      <alignment horizontal="center" vertical="center" wrapText="1"/>
    </xf>
    <xf numFmtId="0" fontId="0" fillId="11" borderId="0" xfId="0" applyFill="1"/>
    <xf numFmtId="0" fontId="2" fillId="3" borderId="1" xfId="0" applyFont="1" applyFill="1" applyBorder="1" applyAlignment="1">
      <alignment horizontal="left" vertical="center" wrapText="1"/>
    </xf>
    <xf numFmtId="1" fontId="15" fillId="3" borderId="10" xfId="0" applyNumberFormat="1" applyFont="1" applyFill="1" applyBorder="1" applyAlignment="1">
      <alignment horizontal="left" vertical="center"/>
    </xf>
    <xf numFmtId="0" fontId="0" fillId="0" borderId="15" xfId="0" applyBorder="1"/>
    <xf numFmtId="0" fontId="1" fillId="10" borderId="1" xfId="0" applyFont="1" applyFill="1" applyBorder="1" applyAlignment="1">
      <alignment horizontal="center" wrapText="1"/>
    </xf>
    <xf numFmtId="0" fontId="12" fillId="3" borderId="10" xfId="0" applyFont="1" applyFill="1" applyBorder="1" applyAlignment="1">
      <alignment horizontal="center" vertical="center"/>
    </xf>
    <xf numFmtId="0" fontId="12" fillId="3" borderId="16" xfId="0" applyFont="1" applyFill="1" applyBorder="1" applyAlignment="1">
      <alignment horizontal="center" vertical="center"/>
    </xf>
    <xf numFmtId="0" fontId="12" fillId="3" borderId="15" xfId="0" applyFont="1" applyFill="1" applyBorder="1" applyAlignment="1">
      <alignment horizontal="center" vertical="center"/>
    </xf>
    <xf numFmtId="0" fontId="30" fillId="3" borderId="1" xfId="0" applyFont="1" applyFill="1" applyBorder="1" applyAlignment="1">
      <alignment horizontal="left" vertical="center"/>
    </xf>
    <xf numFmtId="1" fontId="15" fillId="3" borderId="13" xfId="0" applyNumberFormat="1" applyFont="1" applyFill="1" applyBorder="1" applyAlignment="1">
      <alignment horizontal="center" vertical="center"/>
    </xf>
    <xf numFmtId="0" fontId="0" fillId="0" borderId="0" xfId="0" applyAlignment="1">
      <alignment horizontal="center"/>
    </xf>
    <xf numFmtId="0" fontId="12" fillId="3" borderId="10" xfId="0" applyFont="1" applyFill="1" applyBorder="1" applyAlignment="1">
      <alignment horizontal="center"/>
    </xf>
    <xf numFmtId="0" fontId="12" fillId="3" borderId="16" xfId="0" applyFont="1" applyFill="1" applyBorder="1" applyAlignment="1">
      <alignment horizontal="center"/>
    </xf>
    <xf numFmtId="0" fontId="12" fillId="3" borderId="15" xfId="0" applyFont="1" applyFill="1" applyBorder="1" applyAlignment="1">
      <alignment horizontal="center"/>
    </xf>
    <xf numFmtId="0" fontId="1" fillId="11" borderId="36" xfId="0" applyFont="1" applyFill="1" applyBorder="1" applyAlignment="1">
      <alignment horizontal="left" vertical="center" wrapText="1"/>
    </xf>
    <xf numFmtId="0" fontId="0" fillId="11" borderId="36" xfId="0" applyFill="1" applyBorder="1"/>
    <xf numFmtId="0" fontId="3" fillId="11" borderId="36" xfId="0" applyFont="1" applyFill="1" applyBorder="1" applyAlignment="1">
      <alignment horizontal="left" vertical="center" wrapText="1"/>
    </xf>
    <xf numFmtId="0" fontId="2" fillId="8" borderId="1" xfId="0" applyFont="1" applyFill="1" applyBorder="1" applyAlignment="1">
      <alignment horizontal="left" vertical="center"/>
    </xf>
    <xf numFmtId="0" fontId="0" fillId="14" borderId="0" xfId="0" applyFill="1" applyAlignment="1">
      <alignment horizontal="left"/>
    </xf>
    <xf numFmtId="0" fontId="3" fillId="11" borderId="36" xfId="0" applyFont="1" applyFill="1" applyBorder="1" applyAlignment="1">
      <alignment horizontal="center" vertical="center" wrapText="1"/>
    </xf>
    <xf numFmtId="0" fontId="1" fillId="11" borderId="36" xfId="0" applyFont="1" applyFill="1" applyBorder="1" applyAlignment="1">
      <alignment vertical="center" wrapText="1"/>
    </xf>
    <xf numFmtId="0" fontId="23" fillId="11" borderId="36" xfId="0" applyFont="1" applyFill="1" applyBorder="1" applyAlignment="1">
      <alignment horizontal="center" vertical="center" wrapText="1"/>
    </xf>
    <xf numFmtId="0" fontId="0" fillId="4" borderId="1" xfId="0" applyFont="1" applyFill="1" applyBorder="1" applyAlignment="1">
      <alignment horizontal="center"/>
    </xf>
    <xf numFmtId="0" fontId="0" fillId="10" borderId="1" xfId="0" applyFont="1" applyFill="1" applyBorder="1" applyAlignment="1">
      <alignment horizontal="center"/>
    </xf>
    <xf numFmtId="0" fontId="0" fillId="0" borderId="20" xfId="0" applyFont="1" applyBorder="1" applyAlignment="1">
      <alignment horizontal="left" vertical="center"/>
    </xf>
    <xf numFmtId="0" fontId="0" fillId="0" borderId="42" xfId="0" applyBorder="1"/>
    <xf numFmtId="0" fontId="0" fillId="0" borderId="43" xfId="0" applyBorder="1"/>
    <xf numFmtId="0" fontId="2" fillId="3" borderId="1" xfId="0" applyFont="1" applyFill="1" applyBorder="1" applyAlignment="1">
      <alignment horizontal="center"/>
    </xf>
  </cellXfs>
  <cellStyles count="3">
    <cellStyle name="Currency" xfId="1" builtinId="4"/>
    <cellStyle name="Normal" xfId="0" builtinId="0"/>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t>Cumulative Ratio Carbon Saved vs Carbon Burned</a:t>
            </a:r>
          </a:p>
        </c:rich>
      </c:tx>
      <c:overlay val="0"/>
    </c:title>
    <c:autoTitleDeleted val="0"/>
    <c:plotArea>
      <c:layout>
        <c:manualLayout>
          <c:xMode val="edge"/>
          <c:yMode val="edge"/>
          <c:x val="0.16434631113051901"/>
          <c:y val="0.15258464685333401"/>
          <c:w val="0.71744301459717907"/>
          <c:h val="0.65764436659984105"/>
        </c:manualLayout>
      </c:layout>
      <c:lineChart>
        <c:grouping val="standard"/>
        <c:varyColors val="0"/>
        <c:ser>
          <c:idx val="0"/>
          <c:order val="0"/>
          <c:tx>
            <c:strRef>
              <c:f>'development plan (Wind)'!$C$13</c:f>
              <c:strCache>
                <c:ptCount val="1"/>
                <c:pt idx="0">
                  <c:v>cumulative ratio carbon saved/carbon burned</c:v>
                </c:pt>
              </c:strCache>
            </c:strRef>
          </c:tx>
          <c:spPr>
            <a:ln w="25400" cmpd="sng">
              <a:solidFill>
                <a:srgbClr val="9BBB59"/>
              </a:solidFill>
            </a:ln>
          </c:spPr>
          <c:marker>
            <c:symbol val="none"/>
          </c:marker>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smooth val="0"/>
        <c:axId val="228644560"/>
        <c:axId val="228642384"/>
      </c:lineChart>
      <c:catAx>
        <c:axId val="228644560"/>
        <c:scaling>
          <c:orientation val="minMax"/>
        </c:scaling>
        <c:delete val="0"/>
        <c:axPos val="b"/>
        <c:title>
          <c:tx>
            <c:rich>
              <a:bodyPr/>
              <a:lstStyle/>
              <a:p>
                <a:pPr>
                  <a:defRPr sz="1100" b="1" i="0"/>
                </a:pPr>
                <a:r>
                  <a:t>Year</a:t>
                </a:r>
              </a:p>
            </c:rich>
          </c:tx>
          <c:overlay val="0"/>
        </c:title>
        <c:numFmt formatCode="General" sourceLinked="1"/>
        <c:majorTickMark val="cross"/>
        <c:minorTickMark val="cross"/>
        <c:tickLblPos val="nextTo"/>
        <c:txPr>
          <a:bodyPr/>
          <a:lstStyle/>
          <a:p>
            <a:pPr>
              <a:defRPr/>
            </a:pPr>
            <a:endParaRPr lang="en-US"/>
          </a:p>
        </c:txPr>
        <c:crossAx val="228642384"/>
        <c:crosses val="autoZero"/>
        <c:auto val="1"/>
        <c:lblAlgn val="ctr"/>
        <c:lblOffset val="100"/>
        <c:noMultiLvlLbl val="1"/>
      </c:catAx>
      <c:valAx>
        <c:axId val="228642384"/>
        <c:scaling>
          <c:orientation val="minMax"/>
        </c:scaling>
        <c:delete val="0"/>
        <c:axPos val="l"/>
        <c:majorGridlines>
          <c:spPr>
            <a:ln>
              <a:solidFill>
                <a:srgbClr val="B7B7B7"/>
              </a:solidFill>
            </a:ln>
          </c:spPr>
        </c:majorGridlines>
        <c:title>
          <c:tx>
            <c:rich>
              <a:bodyPr/>
              <a:lstStyle/>
              <a:p>
                <a:pPr>
                  <a:defRPr b="1" i="0"/>
                </a:pPr>
                <a:r>
                  <a:t>CO2 saved by wind energy/tar sands CO2</a:t>
                </a:r>
              </a:p>
            </c:rich>
          </c:tx>
          <c:overlay val="0"/>
        </c:title>
        <c:numFmt formatCode="0%" sourceLinked="1"/>
        <c:majorTickMark val="cross"/>
        <c:minorTickMark val="cross"/>
        <c:tickLblPos val="nextTo"/>
        <c:spPr>
          <a:ln w="47625">
            <a:noFill/>
          </a:ln>
        </c:spPr>
        <c:txPr>
          <a:bodyPr/>
          <a:lstStyle/>
          <a:p>
            <a:pPr>
              <a:defRPr/>
            </a:pPr>
            <a:endParaRPr lang="en-US"/>
          </a:p>
        </c:txPr>
        <c:crossAx val="228644560"/>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rPr lang="en-CA"/>
              <a:t>Cumulative Ratio Carbon Saved vs Carbon Burned</a:t>
            </a:r>
          </a:p>
        </c:rich>
      </c:tx>
      <c:layout/>
      <c:overlay val="0"/>
    </c:title>
    <c:autoTitleDeleted val="0"/>
    <c:plotArea>
      <c:layout>
        <c:manualLayout>
          <c:xMode val="edge"/>
          <c:yMode val="edge"/>
          <c:x val="0.16434631113051901"/>
          <c:y val="0.15258464685333401"/>
          <c:w val="0.71744301459717907"/>
          <c:h val="0.65764436659984105"/>
        </c:manualLayout>
      </c:layout>
      <c:lineChart>
        <c:grouping val="standard"/>
        <c:varyColors val="0"/>
        <c:ser>
          <c:idx val="0"/>
          <c:order val="0"/>
          <c:tx>
            <c:strRef>
              <c:f>'Dev Plan (Wind)'!$D$20</c:f>
              <c:strCache>
                <c:ptCount val="1"/>
                <c:pt idx="0">
                  <c:v>Cumulative ratio carbon saved/carbon burned</c:v>
                </c:pt>
              </c:strCache>
            </c:strRef>
          </c:tx>
          <c:spPr>
            <a:ln w="25400" cmpd="sng">
              <a:solidFill>
                <a:srgbClr val="9BBB59"/>
              </a:solidFill>
            </a:ln>
          </c:spPr>
          <c:marker>
            <c:symbol val="none"/>
          </c:marker>
          <c:cat>
            <c:numRef>
              <c:f>'Dev Plan (Wind)'!$B$21:$B$80</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'Dev Plan (Wind)'!$D$21:$D$80</c:f>
              <c:numCache>
                <c:formatCode>0%</c:formatCode>
                <c:ptCount val="60"/>
                <c:pt idx="0">
                  <c:v>0</c:v>
                </c:pt>
                <c:pt idx="1">
                  <c:v>9.5302764683834716E-3</c:v>
                </c:pt>
                <c:pt idx="2">
                  <c:v>1.9620932887723715E-2</c:v>
                </c:pt>
                <c:pt idx="3">
                  <c:v>3.0318922074075026E-2</c:v>
                </c:pt>
                <c:pt idx="4">
                  <c:v>4.1670280690983295E-2</c:v>
                </c:pt>
                <c:pt idx="5">
                  <c:v>5.371478502652053E-2</c:v>
                </c:pt>
                <c:pt idx="6">
                  <c:v>6.6500893004433334E-2</c:v>
                </c:pt>
                <c:pt idx="7">
                  <c:v>8.0080318161846326E-2</c:v>
                </c:pt>
                <c:pt idx="8">
                  <c:v>9.451029276408926E-2</c:v>
                </c:pt>
                <c:pt idx="9">
                  <c:v>0.10984714383056113</c:v>
                </c:pt>
                <c:pt idx="10">
                  <c:v>0.12615336753748668</c:v>
                </c:pt>
                <c:pt idx="11">
                  <c:v>0.14349811257760042</c:v>
                </c:pt>
                <c:pt idx="12">
                  <c:v>0.16195462149995046</c:v>
                </c:pt>
                <c:pt idx="13">
                  <c:v>0.181598768618358</c:v>
                </c:pt>
                <c:pt idx="14">
                  <c:v>0.20251551197656006</c:v>
                </c:pt>
                <c:pt idx="15">
                  <c:v>0.22479376430133954</c:v>
                </c:pt>
                <c:pt idx="16">
                  <c:v>0.24852954116637507</c:v>
                </c:pt>
                <c:pt idx="17">
                  <c:v>0.27382805976814018</c:v>
                </c:pt>
                <c:pt idx="18">
                  <c:v>0.30079938870409789</c:v>
                </c:pt>
                <c:pt idx="19">
                  <c:v>0.32956456434251991</c:v>
                </c:pt>
                <c:pt idx="20">
                  <c:v>0.36025123439608814</c:v>
                </c:pt>
                <c:pt idx="21">
                  <c:v>0.39213097198574565</c:v>
                </c:pt>
                <c:pt idx="22">
                  <c:v>0.42531902208752242</c:v>
                </c:pt>
                <c:pt idx="23">
                  <c:v>0.45992516446906917</c:v>
                </c:pt>
                <c:pt idx="24">
                  <c:v>0.49605920426337319</c:v>
                </c:pt>
                <c:pt idx="25">
                  <c:v>0.53383237655620663</c:v>
                </c:pt>
                <c:pt idx="26">
                  <c:v>0.57335572431708015</c:v>
                </c:pt>
                <c:pt idx="27">
                  <c:v>0.61474144149501531</c:v>
                </c:pt>
                <c:pt idx="28">
                  <c:v>0.65810520189106603</c:v>
                </c:pt>
                <c:pt idx="29">
                  <c:v>0.70356557918298024</c:v>
                </c:pt>
                <c:pt idx="30">
                  <c:v>0.75124357920315166</c:v>
                </c:pt>
                <c:pt idx="31">
                  <c:v>0.80126340510509275</c:v>
                </c:pt>
                <c:pt idx="32">
                  <c:v>0.853754193896618</c:v>
                </c:pt>
                <c:pt idx="33">
                  <c:v>0.90884929087303568</c:v>
                </c:pt>
                <c:pt idx="34">
                  <c:v>0.96668460140178114</c:v>
                </c:pt>
                <c:pt idx="35">
                  <c:v>1.0274012891985389</c:v>
                </c:pt>
                <c:pt idx="36">
                  <c:v>1.0911450657396411</c:v>
                </c:pt>
                <c:pt idx="37">
                  <c:v>1.158064627501447</c:v>
                </c:pt>
                <c:pt idx="38">
                  <c:v>1.2283150318424256</c:v>
                </c:pt>
                <c:pt idx="39">
                  <c:v>1.3020532372828577</c:v>
                </c:pt>
                <c:pt idx="40">
                  <c:v>1.3794423406924614</c:v>
                </c:pt>
                <c:pt idx="41">
                  <c:v>1.4606482289559117</c:v>
                </c:pt>
                <c:pt idx="42">
                  <c:v>1.5458810140621786</c:v>
                </c:pt>
                <c:pt idx="43">
                  <c:v>1.6353608572174121</c:v>
                </c:pt>
                <c:pt idx="44">
                  <c:v>1.7293176666230383</c:v>
                </c:pt>
                <c:pt idx="45">
                  <c:v>1.8279940212915273</c:v>
                </c:pt>
                <c:pt idx="46">
                  <c:v>1.9316438230877724</c:v>
                </c:pt>
                <c:pt idx="47">
                  <c:v>2.0405349345674133</c:v>
                </c:pt>
                <c:pt idx="48">
                  <c:v>2.154947754416555</c:v>
                </c:pt>
                <c:pt idx="49">
                  <c:v>2.2751776284487581</c:v>
                </c:pt>
                <c:pt idx="50">
                  <c:v>2.4015362584043296</c:v>
                </c:pt>
                <c:pt idx="51">
                  <c:v>2.5343508339977614</c:v>
                </c:pt>
                <c:pt idx="52">
                  <c:v>2.6739653375315093</c:v>
                </c:pt>
                <c:pt idx="53">
                  <c:v>2.8207430608156643</c:v>
                </c:pt>
                <c:pt idx="54">
                  <c:v>2.9750661823436353</c:v>
                </c:pt>
                <c:pt idx="55">
                  <c:v>3.1373380073490287</c:v>
                </c:pt>
                <c:pt idx="56">
                  <c:v>3.3079843291530313</c:v>
                </c:pt>
                <c:pt idx="57">
                  <c:v>3.4874540178534339</c:v>
                </c:pt>
                <c:pt idx="58">
                  <c:v>3.6762207913876677</c:v>
                </c:pt>
                <c:pt idx="59">
                  <c:v>3.8747860310262081</c:v>
                </c:pt>
              </c:numCache>
            </c:numRef>
          </c:val>
          <c:smooth val="0"/>
        </c:ser>
        <c:dLbls>
          <c:showLegendKey val="0"/>
          <c:showVal val="0"/>
          <c:showCatName val="0"/>
          <c:showSerName val="0"/>
          <c:showPercent val="0"/>
          <c:showBubbleSize val="0"/>
        </c:dLbls>
        <c:smooth val="0"/>
        <c:axId val="228647824"/>
        <c:axId val="167730928"/>
      </c:lineChart>
      <c:catAx>
        <c:axId val="228647824"/>
        <c:scaling>
          <c:orientation val="minMax"/>
        </c:scaling>
        <c:delete val="0"/>
        <c:axPos val="b"/>
        <c:title>
          <c:tx>
            <c:rich>
              <a:bodyPr/>
              <a:lstStyle/>
              <a:p>
                <a:pPr>
                  <a:defRPr sz="1100" b="1" i="0"/>
                </a:pPr>
                <a:r>
                  <a:rPr lang="en-CA"/>
                  <a:t>Years</a:t>
                </a:r>
              </a:p>
            </c:rich>
          </c:tx>
          <c:layout>
            <c:manualLayout>
              <c:xMode val="edge"/>
              <c:yMode val="edge"/>
              <c:x val="0.49366833892598866"/>
              <c:y val="0.87562402111180249"/>
            </c:manualLayout>
          </c:layout>
          <c:overlay val="0"/>
        </c:title>
        <c:numFmt formatCode="General" sourceLinked="1"/>
        <c:majorTickMark val="cross"/>
        <c:minorTickMark val="cross"/>
        <c:tickLblPos val="nextTo"/>
        <c:txPr>
          <a:bodyPr/>
          <a:lstStyle/>
          <a:p>
            <a:pPr>
              <a:defRPr/>
            </a:pPr>
            <a:endParaRPr lang="en-US"/>
          </a:p>
        </c:txPr>
        <c:crossAx val="167730928"/>
        <c:crosses val="autoZero"/>
        <c:auto val="1"/>
        <c:lblAlgn val="ctr"/>
        <c:lblOffset val="100"/>
        <c:noMultiLvlLbl val="1"/>
      </c:catAx>
      <c:valAx>
        <c:axId val="167730928"/>
        <c:scaling>
          <c:orientation val="minMax"/>
        </c:scaling>
        <c:delete val="0"/>
        <c:axPos val="l"/>
        <c:majorGridlines>
          <c:spPr>
            <a:ln>
              <a:solidFill>
                <a:srgbClr val="B7B7B7"/>
              </a:solidFill>
            </a:ln>
          </c:spPr>
        </c:majorGridlines>
        <c:title>
          <c:tx>
            <c:rich>
              <a:bodyPr/>
              <a:lstStyle/>
              <a:p>
                <a:pPr>
                  <a:defRPr b="1" i="0"/>
                </a:pPr>
                <a:r>
                  <a:rPr lang="en-CA"/>
                  <a:t>CO2 saved by wind energy / Oil sands CO2</a:t>
                </a:r>
              </a:p>
            </c:rich>
          </c:tx>
          <c:layout>
            <c:manualLayout>
              <c:xMode val="edge"/>
              <c:yMode val="edge"/>
              <c:x val="0.11764444001461842"/>
              <c:y val="0.14932395031002596"/>
            </c:manualLayout>
          </c:layout>
          <c:overlay val="0"/>
        </c:title>
        <c:numFmt formatCode="0%" sourceLinked="1"/>
        <c:majorTickMark val="cross"/>
        <c:minorTickMark val="cross"/>
        <c:tickLblPos val="nextTo"/>
        <c:spPr>
          <a:ln w="47625">
            <a:noFill/>
          </a:ln>
        </c:spPr>
        <c:txPr>
          <a:bodyPr/>
          <a:lstStyle/>
          <a:p>
            <a:pPr>
              <a:defRPr/>
            </a:pPr>
            <a:endParaRPr lang="en-US"/>
          </a:p>
        </c:txPr>
        <c:crossAx val="228647824"/>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800" b="1" i="0">
                <a:solidFill>
                  <a:srgbClr val="000000"/>
                </a:solidFill>
              </a:defRPr>
            </a:pPr>
            <a:r>
              <a:rPr lang="en-CA" sz="1400" b="1" i="0" baseline="0">
                <a:effectLst/>
                <a:latin typeface="Arial" panose="020B0604020202020204" pitchFamily="34" charset="0"/>
                <a:cs typeface="Arial" panose="020B0604020202020204" pitchFamily="34" charset="0"/>
              </a:rPr>
              <a:t>Cumulative Ratio Carbon Saved vs Carbon Burned Using $0.05/kWh Reinvestment Policy</a:t>
            </a:r>
            <a:endParaRPr lang="en-CA" sz="14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24042985196637026"/>
          <c:y val="0.21883050676357763"/>
          <c:w val="0.57869940575873469"/>
          <c:h val="0.5645722289521502"/>
        </c:manualLayout>
      </c:layout>
      <c:scatterChart>
        <c:scatterStyle val="lineMarker"/>
        <c:varyColors val="1"/>
        <c:ser>
          <c:idx val="0"/>
          <c:order val="0"/>
          <c:tx>
            <c:v>$3.75/bbl</c:v>
          </c:tx>
          <c:spPr>
            <a:ln w="47625">
              <a:noFill/>
            </a:ln>
          </c:spPr>
          <c:marker>
            <c:symbol val="x"/>
            <c:size val="7"/>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Graphs'!$C$5:$C$64</c:f>
              <c:numCache>
                <c:formatCode>0%</c:formatCode>
                <c:ptCount val="60"/>
                <c:pt idx="0">
                  <c:v>0</c:v>
                </c:pt>
                <c:pt idx="1">
                  <c:v>4.7651382341917358E-3</c:v>
                </c:pt>
                <c:pt idx="2">
                  <c:v>9.8104664438618573E-3</c:v>
                </c:pt>
                <c:pt idx="3">
                  <c:v>1.5154880274495632E-2</c:v>
                </c:pt>
                <c:pt idx="4">
                  <c:v>2.0824146515391134E-2</c:v>
                </c:pt>
                <c:pt idx="5">
                  <c:v>2.6839069463092741E-2</c:v>
                </c:pt>
                <c:pt idx="6">
                  <c:v>3.3224270716263063E-2</c:v>
                </c:pt>
                <c:pt idx="7">
                  <c:v>4.0005803361859056E-2</c:v>
                </c:pt>
                <c:pt idx="8">
                  <c:v>4.7210356703857356E-2</c:v>
                </c:pt>
                <c:pt idx="9">
                  <c:v>5.4868602764778007E-2</c:v>
                </c:pt>
                <c:pt idx="10">
                  <c:v>6.3013385959073714E-2</c:v>
                </c:pt>
                <c:pt idx="11">
                  <c:v>7.1675764088130117E-2</c:v>
                </c:pt>
                <c:pt idx="12">
                  <c:v>8.0894152291522622E-2</c:v>
                </c:pt>
                <c:pt idx="13">
                  <c:v>9.0706460269043707E-2</c:v>
                </c:pt>
                <c:pt idx="14">
                  <c:v>0.1011551469073419</c:v>
                </c:pt>
                <c:pt idx="15">
                  <c:v>0.11228350827775821</c:v>
                </c:pt>
                <c:pt idx="16">
                  <c:v>0.1241397427114562</c:v>
                </c:pt>
                <c:pt idx="17">
                  <c:v>0.13677558906058213</c:v>
                </c:pt>
                <c:pt idx="18">
                  <c:v>0.15024732372434005</c:v>
                </c:pt>
                <c:pt idx="19">
                  <c:v>0.16461462626222709</c:v>
                </c:pt>
                <c:pt idx="20">
                  <c:v>0.17994151417017037</c:v>
                </c:pt>
                <c:pt idx="21">
                  <c:v>0.19586226670919663</c:v>
                </c:pt>
                <c:pt idx="22">
                  <c:v>0.21243644782433047</c:v>
                </c:pt>
                <c:pt idx="23">
                  <c:v>0.22971980181981488</c:v>
                </c:pt>
                <c:pt idx="24">
                  <c:v>0.24776648313128094</c:v>
                </c:pt>
                <c:pt idx="25">
                  <c:v>0.26663218100050673</c:v>
                </c:pt>
                <c:pt idx="26">
                  <c:v>0.28637247798908139</c:v>
                </c:pt>
                <c:pt idx="27">
                  <c:v>0.30704286902843875</c:v>
                </c:pt>
                <c:pt idx="28">
                  <c:v>0.32870130384576951</c:v>
                </c:pt>
                <c:pt idx="29">
                  <c:v>0.35140655629471701</c:v>
                </c:pt>
                <c:pt idx="30">
                  <c:v>0.37521927356402485</c:v>
                </c:pt>
                <c:pt idx="31">
                  <c:v>0.40020282865956275</c:v>
                </c:pt>
                <c:pt idx="32">
                  <c:v>0.42642068642595432</c:v>
                </c:pt>
                <c:pt idx="33">
                  <c:v>0.45393854569383829</c:v>
                </c:pt>
                <c:pt idx="34">
                  <c:v>0.48282506717044738</c:v>
                </c:pt>
                <c:pt idx="35">
                  <c:v>0.51315044412062805</c:v>
                </c:pt>
                <c:pt idx="36">
                  <c:v>0.54498817613474826</c:v>
                </c:pt>
                <c:pt idx="37">
                  <c:v>0.57841270534374289</c:v>
                </c:pt>
                <c:pt idx="38">
                  <c:v>0.61350023522417785</c:v>
                </c:pt>
                <c:pt idx="39">
                  <c:v>0.65033034273506307</c:v>
                </c:pt>
                <c:pt idx="40">
                  <c:v>0.68898377930290366</c:v>
                </c:pt>
                <c:pt idx="41">
                  <c:v>0.72954407605653837</c:v>
                </c:pt>
                <c:pt idx="42">
                  <c:v>0.77211511753865936</c:v>
                </c:pt>
                <c:pt idx="43">
                  <c:v>0.81680716869504033</c:v>
                </c:pt>
                <c:pt idx="44">
                  <c:v>0.86373535158307613</c:v>
                </c:pt>
                <c:pt idx="45">
                  <c:v>0.91302071073357693</c:v>
                </c:pt>
                <c:pt idx="46">
                  <c:v>0.96479036280466801</c:v>
                </c:pt>
                <c:pt idx="47">
                  <c:v>1.0191783909893746</c:v>
                </c:pt>
                <c:pt idx="48">
                  <c:v>1.0763251341447138</c:v>
                </c:pt>
                <c:pt idx="49">
                  <c:v>1.1363780270693091</c:v>
                </c:pt>
                <c:pt idx="50">
                  <c:v>1.1994916233738273</c:v>
                </c:pt>
                <c:pt idx="51">
                  <c:v>1.2658297299106158</c:v>
                </c:pt>
                <c:pt idx="52">
                  <c:v>1.3355638423905185</c:v>
                </c:pt>
                <c:pt idx="53">
                  <c:v>1.408875826608972</c:v>
                </c:pt>
                <c:pt idx="54">
                  <c:v>1.4859563094183106</c:v>
                </c:pt>
                <c:pt idx="55">
                  <c:v>1.5670071684637845</c:v>
                </c:pt>
                <c:pt idx="56">
                  <c:v>1.652240545271904</c:v>
                </c:pt>
                <c:pt idx="57">
                  <c:v>1.741881119579668</c:v>
                </c:pt>
                <c:pt idx="58">
                  <c:v>1.8361656678946974</c:v>
                </c:pt>
                <c:pt idx="59">
                  <c:v>1.9353438877360356</c:v>
                </c:pt>
              </c:numCache>
            </c:numRef>
          </c:yVal>
          <c:smooth val="0"/>
        </c:ser>
        <c:ser>
          <c:idx val="1"/>
          <c:order val="1"/>
          <c:tx>
            <c:v>$7.5/bbl</c:v>
          </c:tx>
          <c:spPr>
            <a:ln w="47625">
              <a:noFill/>
            </a:ln>
          </c:spPr>
          <c:marker>
            <c:symbol val="circle"/>
            <c:size val="7"/>
            <c:spPr>
              <a:solidFill>
                <a:srgbClr val="C0504D"/>
              </a:solidFill>
              <a:ln cmpd="sng">
                <a:solidFill>
                  <a:srgbClr val="C0504D"/>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Graphs'!$D$5:$D$64</c:f>
              <c:numCache>
                <c:formatCode>0%</c:formatCode>
                <c:ptCount val="60"/>
                <c:pt idx="0">
                  <c:v>0</c:v>
                </c:pt>
                <c:pt idx="1">
                  <c:v>9.5302764683834716E-3</c:v>
                </c:pt>
                <c:pt idx="2">
                  <c:v>1.9620932887723715E-2</c:v>
                </c:pt>
                <c:pt idx="3">
                  <c:v>3.0318922074075026E-2</c:v>
                </c:pt>
                <c:pt idx="4">
                  <c:v>4.1670280690983295E-2</c:v>
                </c:pt>
                <c:pt idx="5">
                  <c:v>5.371478502652053E-2</c:v>
                </c:pt>
                <c:pt idx="6">
                  <c:v>6.6500893004433334E-2</c:v>
                </c:pt>
                <c:pt idx="7">
                  <c:v>8.0080318161846326E-2</c:v>
                </c:pt>
                <c:pt idx="8">
                  <c:v>9.451029276408926E-2</c:v>
                </c:pt>
                <c:pt idx="9">
                  <c:v>0.10984714383056113</c:v>
                </c:pt>
                <c:pt idx="10">
                  <c:v>0.12615336753748668</c:v>
                </c:pt>
                <c:pt idx="11">
                  <c:v>0.14349811257760042</c:v>
                </c:pt>
                <c:pt idx="12">
                  <c:v>0.16195462149995046</c:v>
                </c:pt>
                <c:pt idx="13">
                  <c:v>0.181598768618358</c:v>
                </c:pt>
                <c:pt idx="14">
                  <c:v>0.20251551197656006</c:v>
                </c:pt>
                <c:pt idx="15">
                  <c:v>0.22479376430133954</c:v>
                </c:pt>
                <c:pt idx="16">
                  <c:v>0.24852954116637507</c:v>
                </c:pt>
                <c:pt idx="17">
                  <c:v>0.27382805976814018</c:v>
                </c:pt>
                <c:pt idx="18">
                  <c:v>0.30079938870409789</c:v>
                </c:pt>
                <c:pt idx="19">
                  <c:v>0.32956456434251991</c:v>
                </c:pt>
                <c:pt idx="20">
                  <c:v>0.36025123439608814</c:v>
                </c:pt>
                <c:pt idx="21">
                  <c:v>0.39213097198574565</c:v>
                </c:pt>
                <c:pt idx="22">
                  <c:v>0.42531902208752242</c:v>
                </c:pt>
                <c:pt idx="23">
                  <c:v>0.45992516446906917</c:v>
                </c:pt>
                <c:pt idx="24">
                  <c:v>0.49605920426337319</c:v>
                </c:pt>
                <c:pt idx="25">
                  <c:v>0.53383237655620663</c:v>
                </c:pt>
                <c:pt idx="26">
                  <c:v>0.57335572431708015</c:v>
                </c:pt>
                <c:pt idx="27">
                  <c:v>0.61474144149501531</c:v>
                </c:pt>
                <c:pt idx="28">
                  <c:v>0.65810520189106603</c:v>
                </c:pt>
                <c:pt idx="29">
                  <c:v>0.70356557918298024</c:v>
                </c:pt>
                <c:pt idx="30">
                  <c:v>0.75124357920315166</c:v>
                </c:pt>
                <c:pt idx="31">
                  <c:v>0.80126340510509275</c:v>
                </c:pt>
                <c:pt idx="32">
                  <c:v>0.853754193896618</c:v>
                </c:pt>
                <c:pt idx="33">
                  <c:v>0.90884929087303568</c:v>
                </c:pt>
                <c:pt idx="34">
                  <c:v>0.96668460140178114</c:v>
                </c:pt>
                <c:pt idx="35">
                  <c:v>1.0274012891985389</c:v>
                </c:pt>
                <c:pt idx="36">
                  <c:v>1.0911450657396411</c:v>
                </c:pt>
                <c:pt idx="37">
                  <c:v>1.158064627501447</c:v>
                </c:pt>
                <c:pt idx="38">
                  <c:v>1.2283150318424256</c:v>
                </c:pt>
                <c:pt idx="39">
                  <c:v>1.3020532372828577</c:v>
                </c:pt>
                <c:pt idx="40">
                  <c:v>1.3794423406924614</c:v>
                </c:pt>
                <c:pt idx="41">
                  <c:v>1.4606482289559117</c:v>
                </c:pt>
                <c:pt idx="42">
                  <c:v>1.5458810140621786</c:v>
                </c:pt>
                <c:pt idx="43">
                  <c:v>1.6353608572174121</c:v>
                </c:pt>
                <c:pt idx="44">
                  <c:v>1.7293176666230383</c:v>
                </c:pt>
                <c:pt idx="45">
                  <c:v>1.8279940212915273</c:v>
                </c:pt>
                <c:pt idx="46">
                  <c:v>1.9316438230877724</c:v>
                </c:pt>
                <c:pt idx="47">
                  <c:v>2.0405349345674133</c:v>
                </c:pt>
                <c:pt idx="48">
                  <c:v>2.154947754416555</c:v>
                </c:pt>
                <c:pt idx="49">
                  <c:v>2.2751776284487581</c:v>
                </c:pt>
                <c:pt idx="50">
                  <c:v>2.4015362584043296</c:v>
                </c:pt>
                <c:pt idx="51">
                  <c:v>2.5343508339977614</c:v>
                </c:pt>
                <c:pt idx="52">
                  <c:v>2.6739653375315093</c:v>
                </c:pt>
                <c:pt idx="53">
                  <c:v>2.8207430608156643</c:v>
                </c:pt>
                <c:pt idx="54">
                  <c:v>2.9750661823436353</c:v>
                </c:pt>
                <c:pt idx="55">
                  <c:v>3.1373380073490287</c:v>
                </c:pt>
                <c:pt idx="56">
                  <c:v>3.3079843291530313</c:v>
                </c:pt>
                <c:pt idx="57">
                  <c:v>3.4874540178534339</c:v>
                </c:pt>
                <c:pt idx="58">
                  <c:v>3.6762207913876677</c:v>
                </c:pt>
                <c:pt idx="59">
                  <c:v>3.8747860310262081</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Graphs'!$E$5:$E$64</c:f>
              <c:numCache>
                <c:formatCode>0%</c:formatCode>
                <c:ptCount val="60"/>
                <c:pt idx="0">
                  <c:v>0</c:v>
                </c:pt>
                <c:pt idx="1">
                  <c:v>1.4295414702575206E-2</c:v>
                </c:pt>
                <c:pt idx="2">
                  <c:v>2.9443614698363919E-2</c:v>
                </c:pt>
                <c:pt idx="3">
                  <c:v>4.5501286923821944E-2</c:v>
                </c:pt>
                <c:pt idx="4">
                  <c:v>6.253840252677649E-2</c:v>
                </c:pt>
                <c:pt idx="5">
                  <c:v>8.0621039006894213E-2</c:v>
                </c:pt>
                <c:pt idx="6">
                  <c:v>9.9819396550129391E-2</c:v>
                </c:pt>
                <c:pt idx="7">
                  <c:v>0.12020980211233617</c:v>
                </c:pt>
                <c:pt idx="8">
                  <c:v>0.14187130565821293</c:v>
                </c:pt>
                <c:pt idx="9">
                  <c:v>0.16489531248698086</c:v>
                </c:pt>
                <c:pt idx="10">
                  <c:v>0.18937663570757021</c:v>
                </c:pt>
                <c:pt idx="11">
                  <c:v>0.21541513015960292</c:v>
                </c:pt>
                <c:pt idx="12">
                  <c:v>0.24311939114779346</c:v>
                </c:pt>
                <c:pt idx="13">
                  <c:v>0.27260625042586822</c:v>
                </c:pt>
                <c:pt idx="14">
                  <c:v>0.30400291686027309</c:v>
                </c:pt>
                <c:pt idx="15">
                  <c:v>0.33744373358244828</c:v>
                </c:pt>
                <c:pt idx="16">
                  <c:v>0.37307239098151684</c:v>
                </c:pt>
                <c:pt idx="17">
                  <c:v>0.41104543792720599</c:v>
                </c:pt>
                <c:pt idx="18">
                  <c:v>0.45153082670128514</c:v>
                </c:pt>
                <c:pt idx="19">
                  <c:v>0.49470689444957167</c:v>
                </c:pt>
                <c:pt idx="20">
                  <c:v>0.54076687080484087</c:v>
                </c:pt>
                <c:pt idx="21">
                  <c:v>0.58861788813247151</c:v>
                </c:pt>
                <c:pt idx="22">
                  <c:v>0.63843103280498592</c:v>
                </c:pt>
                <c:pt idx="23">
                  <c:v>0.69037330753304305</c:v>
                </c:pt>
                <c:pt idx="24">
                  <c:v>0.74460844809781068</c:v>
                </c:pt>
                <c:pt idx="25">
                  <c:v>0.80130178000282948</c:v>
                </c:pt>
                <c:pt idx="26">
                  <c:v>0.86061992408098109</c:v>
                </c:pt>
                <c:pt idx="27">
                  <c:v>0.92273318276427219</c:v>
                </c:pt>
                <c:pt idx="28">
                  <c:v>0.98781616898399771</c:v>
                </c:pt>
                <c:pt idx="29">
                  <c:v>1.0560446446808363</c:v>
                </c:pt>
                <c:pt idx="30">
                  <c:v>1.1276012461421008</c:v>
                </c:pt>
                <c:pt idx="31">
                  <c:v>1.2026732646944411</c:v>
                </c:pt>
                <c:pt idx="32">
                  <c:v>1.2814541623706321</c:v>
                </c:pt>
                <c:pt idx="33">
                  <c:v>1.3641426644527903</c:v>
                </c:pt>
                <c:pt idx="34">
                  <c:v>1.450943054611048</c:v>
                </c:pt>
                <c:pt idx="35">
                  <c:v>1.5420674567469139</c:v>
                </c:pt>
                <c:pt idx="36">
                  <c:v>1.6377347755025453</c:v>
                </c:pt>
                <c:pt idx="37">
                  <c:v>1.7381688396869708</c:v>
                </c:pt>
                <c:pt idx="38">
                  <c:v>1.8436005899034389</c:v>
                </c:pt>
                <c:pt idx="39">
                  <c:v>1.9542681057276505</c:v>
                </c:pt>
                <c:pt idx="40">
                  <c:v>2.0704148412940353</c:v>
                </c:pt>
                <c:pt idx="41">
                  <c:v>2.1922898579935324</c:v>
                </c:pt>
                <c:pt idx="42">
                  <c:v>2.3202085333792053</c:v>
                </c:pt>
                <c:pt idx="43">
                  <c:v>2.4545008833451454</c:v>
                </c:pt>
                <c:pt idx="44">
                  <c:v>2.5955131930752744</c:v>
                </c:pt>
                <c:pt idx="45">
                  <c:v>2.7436086386053415</c:v>
                </c:pt>
                <c:pt idx="46">
                  <c:v>2.8991693884451073</c:v>
                </c:pt>
                <c:pt idx="47">
                  <c:v>3.0625961521164786</c:v>
                </c:pt>
                <c:pt idx="48">
                  <c:v>3.2343100276114858</c:v>
                </c:pt>
                <c:pt idx="49">
                  <c:v>3.4147548600773168</c:v>
                </c:pt>
                <c:pt idx="50">
                  <c:v>3.6043971673560207</c:v>
                </c:pt>
                <c:pt idx="51">
                  <c:v>3.8037281883138889</c:v>
                </c:pt>
                <c:pt idx="52">
                  <c:v>4.013265007848636</c:v>
                </c:pt>
                <c:pt idx="53">
                  <c:v>4.2335522355272648</c:v>
                </c:pt>
                <c:pt idx="54">
                  <c:v>4.4651641673925395</c:v>
                </c:pt>
                <c:pt idx="55">
                  <c:v>4.7087060617526832</c:v>
                </c:pt>
                <c:pt idx="56">
                  <c:v>4.9648165665055126</c:v>
                </c:pt>
                <c:pt idx="57">
                  <c:v>5.234169263530748</c:v>
                </c:pt>
                <c:pt idx="58">
                  <c:v>5.5174752982661799</c:v>
                </c:pt>
                <c:pt idx="59">
                  <c:v>5.8154863570945503</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Graphs'!$F$5:$F$64</c:f>
              <c:numCache>
                <c:formatCode>0%</c:formatCode>
                <c:ptCount val="60"/>
                <c:pt idx="0">
                  <c:v>0</c:v>
                </c:pt>
                <c:pt idx="1">
                  <c:v>1.9060552936766943E-2</c:v>
                </c:pt>
                <c:pt idx="2">
                  <c:v>3.9254081142225783E-2</c:v>
                </c:pt>
                <c:pt idx="3">
                  <c:v>6.0665328723401343E-2</c:v>
                </c:pt>
                <c:pt idx="4">
                  <c:v>8.3377207482301652E-2</c:v>
                </c:pt>
                <c:pt idx="5">
                  <c:v>0.10748453920354364</c:v>
                </c:pt>
                <c:pt idx="6">
                  <c:v>0.13308031336672749</c:v>
                </c:pt>
                <c:pt idx="7">
                  <c:v>0.16026599386215593</c:v>
                </c:pt>
                <c:pt idx="8">
                  <c:v>0.18915088277381428</c:v>
                </c:pt>
                <c:pt idx="9">
                  <c:v>0.219851865892563</c:v>
                </c:pt>
                <c:pt idx="10">
                  <c:v>0.25249329704031542</c:v>
                </c:pt>
                <c:pt idx="11">
                  <c:v>0.28721304791551661</c:v>
                </c:pt>
                <c:pt idx="12">
                  <c:v>0.32415448997906632</c:v>
                </c:pt>
                <c:pt idx="13">
                  <c:v>0.36347500056782434</c:v>
                </c:pt>
                <c:pt idx="14">
                  <c:v>0.40534129426929028</c:v>
                </c:pt>
                <c:pt idx="15">
                  <c:v>0.44993337617459117</c:v>
                </c:pt>
                <c:pt idx="16">
                  <c:v>0.49744278855978774</c:v>
                </c:pt>
                <c:pt idx="17">
                  <c:v>0.54807754969013345</c:v>
                </c:pt>
                <c:pt idx="18">
                  <c:v>0.60206167551769108</c:v>
                </c:pt>
                <c:pt idx="19">
                  <c:v>0.65963484486966351</c:v>
                </c:pt>
                <c:pt idx="20">
                  <c:v>0.72105390534959901</c:v>
                </c:pt>
                <c:pt idx="21">
                  <c:v>0.78486160743151934</c:v>
                </c:pt>
                <c:pt idx="22">
                  <c:v>0.85128652082010425</c:v>
                </c:pt>
                <c:pt idx="23">
                  <c:v>0.92054965868619887</c:v>
                </c:pt>
                <c:pt idx="24">
                  <c:v>0.99287185234963493</c:v>
                </c:pt>
                <c:pt idx="25">
                  <c:v>1.068472376785182</c:v>
                </c:pt>
                <c:pt idx="26">
                  <c:v>1.1475746678864973</c:v>
                </c:pt>
                <c:pt idx="27">
                  <c:v>1.2304042706555978</c:v>
                </c:pt>
                <c:pt idx="28">
                  <c:v>1.3171922665393851</c:v>
                </c:pt>
                <c:pt idx="29">
                  <c:v>1.4081755722255098</c:v>
                </c:pt>
                <c:pt idx="30">
                  <c:v>1.5035971806067752</c:v>
                </c:pt>
                <c:pt idx="31">
                  <c:v>1.60370635656472</c:v>
                </c:pt>
                <c:pt idx="32">
                  <c:v>1.7087610181319612</c:v>
                </c:pt>
                <c:pt idx="33">
                  <c:v>1.8190264639699767</c:v>
                </c:pt>
                <c:pt idx="34">
                  <c:v>1.9347764130564284</c:v>
                </c:pt>
                <c:pt idx="35">
                  <c:v>2.0562928531440368</c:v>
                </c:pt>
                <c:pt idx="36">
                  <c:v>2.1838669042288337</c:v>
                </c:pt>
                <c:pt idx="37">
                  <c:v>2.3177976169392007</c:v>
                </c:pt>
                <c:pt idx="38">
                  <c:v>2.4583928350753275</c:v>
                </c:pt>
                <c:pt idx="39">
                  <c:v>2.6059690126152444</c:v>
                </c:pt>
                <c:pt idx="40">
                  <c:v>2.7608519513077878</c:v>
                </c:pt>
                <c:pt idx="41">
                  <c:v>2.9233739427903416</c:v>
                </c:pt>
                <c:pt idx="42">
                  <c:v>3.0939548285002201</c:v>
                </c:pt>
                <c:pt idx="43">
                  <c:v>3.2730345830855159</c:v>
                </c:pt>
                <c:pt idx="44">
                  <c:v>3.4610751491706058</c:v>
                </c:pt>
                <c:pt idx="45">
                  <c:v>3.6585612361500597</c:v>
                </c:pt>
                <c:pt idx="46">
                  <c:v>3.8660010170088634</c:v>
                </c:pt>
                <c:pt idx="47">
                  <c:v>4.0839297918818076</c:v>
                </c:pt>
                <c:pt idx="48">
                  <c:v>4.3129102114953666</c:v>
                </c:pt>
                <c:pt idx="49">
                  <c:v>4.553533206718571</c:v>
                </c:pt>
                <c:pt idx="50">
                  <c:v>4.8064216829588871</c:v>
                </c:pt>
                <c:pt idx="51">
                  <c:v>5.0722302646181667</c:v>
                </c:pt>
                <c:pt idx="52">
                  <c:v>5.351648525657386</c:v>
                </c:pt>
                <c:pt idx="53">
                  <c:v>5.6454025039467632</c:v>
                </c:pt>
                <c:pt idx="54">
                  <c:v>5.9542580492922621</c:v>
                </c:pt>
                <c:pt idx="55">
                  <c:v>6.2790218495610022</c:v>
                </c:pt>
                <c:pt idx="56">
                  <c:v>6.6205455633636952</c:v>
                </c:pt>
                <c:pt idx="57">
                  <c:v>6.9797282615595577</c:v>
                </c:pt>
                <c:pt idx="58">
                  <c:v>7.3575186204725993</c:v>
                </c:pt>
                <c:pt idx="59">
                  <c:v>7.7549187280912975</c:v>
                </c:pt>
              </c:numCache>
            </c:numRef>
          </c:yVal>
          <c:smooth val="1"/>
        </c:ser>
        <c:ser>
          <c:idx val="4"/>
          <c:order val="4"/>
          <c:tx>
            <c:v>$18.75/bbl</c:v>
          </c:tx>
          <c:spPr>
            <a:ln w="47625">
              <a:noFill/>
            </a:ln>
          </c:spPr>
          <c:marker>
            <c:symbol val="diamond"/>
            <c:size val="7"/>
            <c:spPr>
              <a:solidFill>
                <a:srgbClr val="4BACC6"/>
              </a:solidFill>
              <a:ln cmpd="sng">
                <a:solidFill>
                  <a:srgbClr val="4BACC6"/>
                </a:solidFill>
                <a:round/>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Graphs'!$G$5:$G$64</c:f>
              <c:numCache>
                <c:formatCode>0%</c:formatCode>
                <c:ptCount val="60"/>
                <c:pt idx="0">
                  <c:v>0</c:v>
                </c:pt>
                <c:pt idx="1">
                  <c:v>2.3825691170958677E-2</c:v>
                </c:pt>
                <c:pt idx="2">
                  <c:v>4.907676295286599E-2</c:v>
                </c:pt>
                <c:pt idx="3">
                  <c:v>7.5847693573148259E-2</c:v>
                </c:pt>
                <c:pt idx="4">
                  <c:v>0.10424532931809485</c:v>
                </c:pt>
                <c:pt idx="5">
                  <c:v>0.13438468550052815</c:v>
                </c:pt>
                <c:pt idx="6">
                  <c:v>0.16638311144085138</c:v>
                </c:pt>
                <c:pt idx="7">
                  <c:v>0.20036799323739451</c:v>
                </c:pt>
                <c:pt idx="8">
                  <c:v>0.23647524956760294</c:v>
                </c:pt>
                <c:pt idx="9">
                  <c:v>0.27485239461854721</c:v>
                </c:pt>
                <c:pt idx="10">
                  <c:v>0.31565659886439618</c:v>
                </c:pt>
                <c:pt idx="11">
                  <c:v>0.35905677329684899</c:v>
                </c:pt>
                <c:pt idx="12">
                  <c:v>0.40523469170305909</c:v>
                </c:pt>
                <c:pt idx="13">
                  <c:v>0.45438563196730608</c:v>
                </c:pt>
                <c:pt idx="14">
                  <c:v>0.50671876085199796</c:v>
                </c:pt>
                <c:pt idx="15">
                  <c:v>0.562459664867069</c:v>
                </c:pt>
                <c:pt idx="16">
                  <c:v>0.62184983223839363</c:v>
                </c:pt>
                <c:pt idx="17">
                  <c:v>0.68514834344785902</c:v>
                </c:pt>
                <c:pt idx="18">
                  <c:v>0.75263302791867792</c:v>
                </c:pt>
                <c:pt idx="19">
                  <c:v>0.82460310600012388</c:v>
                </c:pt>
                <c:pt idx="20">
                  <c:v>0.90138107609948581</c:v>
                </c:pt>
                <c:pt idx="21">
                  <c:v>0.98114697002640239</c:v>
                </c:pt>
                <c:pt idx="22">
                  <c:v>1.0641834348616879</c:v>
                </c:pt>
                <c:pt idx="23">
                  <c:v>1.1507687636230788</c:v>
                </c:pt>
                <c:pt idx="24">
                  <c:v>1.2411777660778476</c:v>
                </c:pt>
                <c:pt idx="25">
                  <c:v>1.3356852575294593</c:v>
                </c:pt>
                <c:pt idx="26">
                  <c:v>1.4345701295812743</c:v>
                </c:pt>
                <c:pt idx="27">
                  <c:v>1.5381146222258533</c:v>
                </c:pt>
                <c:pt idx="28">
                  <c:v>1.6466075375123721</c:v>
                </c:pt>
                <c:pt idx="29">
                  <c:v>1.7603443674071959</c:v>
                </c:pt>
                <c:pt idx="30">
                  <c:v>1.879629761171784</c:v>
                </c:pt>
                <c:pt idx="31">
                  <c:v>2.0047760945353339</c:v>
                </c:pt>
                <c:pt idx="32">
                  <c:v>2.1361045199936255</c:v>
                </c:pt>
                <c:pt idx="33">
                  <c:v>2.2739469095874987</c:v>
                </c:pt>
                <c:pt idx="34">
                  <c:v>2.4186453705707058</c:v>
                </c:pt>
                <c:pt idx="35">
                  <c:v>2.5705518417998001</c:v>
                </c:pt>
                <c:pt idx="36">
                  <c:v>2.730029736444592</c:v>
                </c:pt>
                <c:pt idx="37">
                  <c:v>2.8974543609522123</c:v>
                </c:pt>
                <c:pt idx="38">
                  <c:v>3.0732104506243698</c:v>
                </c:pt>
                <c:pt idx="39">
                  <c:v>3.2576946556205644</c:v>
                </c:pt>
                <c:pt idx="40">
                  <c:v>3.4513131941193214</c:v>
                </c:pt>
                <c:pt idx="41">
                  <c:v>3.6544807132683097</c:v>
                </c:pt>
                <c:pt idx="42">
                  <c:v>3.8677224294935222</c:v>
                </c:pt>
                <c:pt idx="43">
                  <c:v>4.091588271607888</c:v>
                </c:pt>
                <c:pt idx="44">
                  <c:v>4.3266558354949982</c:v>
                </c:pt>
                <c:pt idx="45">
                  <c:v>4.5735305634362353</c:v>
                </c:pt>
                <c:pt idx="46">
                  <c:v>4.8328490193621318</c:v>
                </c:pt>
                <c:pt idx="47">
                  <c:v>5.1052802277764577</c:v>
                </c:pt>
                <c:pt idx="48">
                  <c:v>5.3915268487304191</c:v>
                </c:pt>
                <c:pt idx="49">
                  <c:v>5.6923284105659793</c:v>
                </c:pt>
                <c:pt idx="50">
                  <c:v>6.0084620066834677</c:v>
                </c:pt>
                <c:pt idx="51">
                  <c:v>6.3407464355764214</c:v>
                </c:pt>
                <c:pt idx="52">
                  <c:v>6.6900444893115338</c:v>
                </c:pt>
                <c:pt idx="53">
                  <c:v>7.0572636304700671</c:v>
                </c:pt>
                <c:pt idx="54">
                  <c:v>7.4433612592902545</c:v>
                </c:pt>
                <c:pt idx="55">
                  <c:v>7.8493461444997585</c:v>
                </c:pt>
                <c:pt idx="56">
                  <c:v>8.2762829181044122</c:v>
                </c:pt>
                <c:pt idx="57">
                  <c:v>8.7252942097108477</c:v>
                </c:pt>
                <c:pt idx="58">
                  <c:v>9.1975662905214346</c:v>
                </c:pt>
                <c:pt idx="59">
                  <c:v>9.6943517098563881</c:v>
                </c:pt>
              </c:numCache>
            </c:numRef>
          </c:yVal>
          <c:smooth val="1"/>
        </c:ser>
        <c:ser>
          <c:idx val="5"/>
          <c:order val="5"/>
          <c:tx>
            <c:v>$22.5/bbl</c:v>
          </c:tx>
          <c:spPr>
            <a:ln w="19050">
              <a:noFill/>
            </a:ln>
          </c:spPr>
          <c:marker>
            <c:symbol val="square"/>
            <c:size val="5"/>
            <c:spPr>
              <a:ln cap="sq">
                <a:beve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Graphs'!$H$5:$H$64</c:f>
              <c:numCache>
                <c:formatCode>0%</c:formatCode>
                <c:ptCount val="60"/>
                <c:pt idx="0">
                  <c:v>0</c:v>
                </c:pt>
                <c:pt idx="1">
                  <c:v>2.8590829405150411E-2</c:v>
                </c:pt>
                <c:pt idx="2">
                  <c:v>5.8887229396727837E-2</c:v>
                </c:pt>
                <c:pt idx="3">
                  <c:v>9.1011735372727651E-2</c:v>
                </c:pt>
                <c:pt idx="4">
                  <c:v>0.12509146349368699</c:v>
                </c:pt>
                <c:pt idx="5">
                  <c:v>0.16126040106395592</c:v>
                </c:pt>
                <c:pt idx="6">
                  <c:v>0.19965973372902163</c:v>
                </c:pt>
                <c:pt idx="7">
                  <c:v>0.24044250803738174</c:v>
                </c:pt>
                <c:pt idx="8">
                  <c:v>0.28377111383890868</c:v>
                </c:pt>
                <c:pt idx="9">
                  <c:v>0.32982360646426329</c:v>
                </c:pt>
                <c:pt idx="10">
                  <c:v>0.37878991751547547</c:v>
                </c:pt>
                <c:pt idx="11">
                  <c:v>0.43087301410293011</c:v>
                </c:pt>
                <c:pt idx="12">
                  <c:v>0.48628952304989698</c:v>
                </c:pt>
                <c:pt idx="13">
                  <c:v>0.54527270515942972</c:v>
                </c:pt>
                <c:pt idx="14">
                  <c:v>0.60807423977450492</c:v>
                </c:pt>
                <c:pt idx="15">
                  <c:v>0.67496534012810838</c:v>
                </c:pt>
                <c:pt idx="16">
                  <c:v>0.74623531938739074</c:v>
                </c:pt>
                <c:pt idx="17">
                  <c:v>0.82219470647202786</c:v>
                </c:pt>
                <c:pt idx="18">
                  <c:v>0.90317737792994413</c:v>
                </c:pt>
                <c:pt idx="19">
                  <c:v>0.98954388255533288</c:v>
                </c:pt>
                <c:pt idx="20">
                  <c:v>1.0816803260110222</c:v>
                </c:pt>
                <c:pt idx="21">
                  <c:v>1.1774023494482841</c:v>
                </c:pt>
                <c:pt idx="22">
                  <c:v>1.2770500760377779</c:v>
                </c:pt>
                <c:pt idx="23">
                  <c:v>1.3809558032221654</c:v>
                </c:pt>
                <c:pt idx="24">
                  <c:v>1.4894499653937523</c:v>
                </c:pt>
                <c:pt idx="25">
                  <c:v>1.6028629016387992</c:v>
                </c:pt>
                <c:pt idx="26">
                  <c:v>1.7215289451757161</c:v>
                </c:pt>
                <c:pt idx="27">
                  <c:v>1.845787018906476</c:v>
                </c:pt>
                <c:pt idx="28">
                  <c:v>1.975984898726391</c:v>
                </c:pt>
                <c:pt idx="29">
                  <c:v>2.1124765164885462</c:v>
                </c:pt>
                <c:pt idx="30">
                  <c:v>2.255625695636458</c:v>
                </c:pt>
                <c:pt idx="31">
                  <c:v>2.4058068960243415</c:v>
                </c:pt>
                <c:pt idx="32">
                  <c:v>2.5634069338033987</c:v>
                </c:pt>
                <c:pt idx="33">
                  <c:v>2.728824242145802</c:v>
                </c:pt>
                <c:pt idx="34">
                  <c:v>2.9024693057331423</c:v>
                </c:pt>
                <c:pt idx="35">
                  <c:v>3.084765022830144</c:v>
                </c:pt>
                <c:pt idx="36">
                  <c:v>3.2761470086437168</c:v>
                </c:pt>
                <c:pt idx="37">
                  <c:v>3.477065779525335</c:v>
                </c:pt>
                <c:pt idx="38">
                  <c:v>3.6879839029242905</c:v>
                </c:pt>
                <c:pt idx="39">
                  <c:v>3.9093754071529734</c:v>
                </c:pt>
                <c:pt idx="40">
                  <c:v>4.1417279589499421</c:v>
                </c:pt>
                <c:pt idx="41">
                  <c:v>4.3855403673315614</c:v>
                </c:pt>
                <c:pt idx="42">
                  <c:v>4.6414431575677915</c:v>
                </c:pt>
                <c:pt idx="43">
                  <c:v>4.9100961525048401</c:v>
                </c:pt>
                <c:pt idx="44">
                  <c:v>5.1921917321412021</c:v>
                </c:pt>
                <c:pt idx="45">
                  <c:v>5.4884568713872337</c:v>
                </c:pt>
                <c:pt idx="46">
                  <c:v>5.7996549176852268</c:v>
                </c:pt>
                <c:pt idx="47">
                  <c:v>6.1265886733478059</c:v>
                </c:pt>
                <c:pt idx="48">
                  <c:v>6.4701016047079456</c:v>
                </c:pt>
                <c:pt idx="49">
                  <c:v>6.8310811049369997</c:v>
                </c:pt>
                <c:pt idx="50">
                  <c:v>7.210460654450805</c:v>
                </c:pt>
                <c:pt idx="51">
                  <c:v>7.609223141503545</c:v>
                </c:pt>
                <c:pt idx="52">
                  <c:v>8.0284024239936365</c:v>
                </c:pt>
                <c:pt idx="53">
                  <c:v>8.4690887895245233</c:v>
                </c:pt>
                <c:pt idx="54">
                  <c:v>8.9324304883588432</c:v>
                </c:pt>
                <c:pt idx="55">
                  <c:v>9.419638374100721</c:v>
                </c:pt>
                <c:pt idx="56">
                  <c:v>9.9319900558852048</c:v>
                </c:pt>
                <c:pt idx="57">
                  <c:v>10.470832989201543</c:v>
                </c:pt>
                <c:pt idx="58">
                  <c:v>11.037590357997171</c:v>
                </c:pt>
                <c:pt idx="59">
                  <c:v>11.633765757802969</c:v>
                </c:pt>
              </c:numCache>
            </c:numRef>
          </c:yVal>
          <c:smooth val="0"/>
        </c:ser>
        <c:dLbls>
          <c:showLegendKey val="0"/>
          <c:showVal val="0"/>
          <c:showCatName val="0"/>
          <c:showSerName val="0"/>
          <c:showPercent val="0"/>
          <c:showBubbleSize val="0"/>
        </c:dLbls>
        <c:axId val="21563952"/>
        <c:axId val="235768144"/>
      </c:scatterChart>
      <c:valAx>
        <c:axId val="21563952"/>
        <c:scaling>
          <c:orientation val="minMax"/>
        </c:scaling>
        <c:delete val="0"/>
        <c:axPos val="b"/>
        <c:majorGridlines>
          <c:spPr>
            <a:ln>
              <a:solidFill>
                <a:srgbClr val="FFFFFF"/>
              </a:solidFill>
            </a:ln>
          </c:spPr>
        </c:majorGridlines>
        <c:title>
          <c:tx>
            <c:rich>
              <a:bodyPr/>
              <a:lstStyle/>
              <a:p>
                <a:pPr>
                  <a:defRPr sz="1100" b="1" i="0"/>
                </a:pPr>
                <a:r>
                  <a:rPr lang="en-CA"/>
                  <a:t>Years</a:t>
                </a:r>
              </a:p>
            </c:rich>
          </c:tx>
          <c:layout>
            <c:manualLayout>
              <c:xMode val="edge"/>
              <c:yMode val="edge"/>
              <c:x val="0.48092643859559492"/>
              <c:y val="0.89574777912376335"/>
            </c:manualLayout>
          </c:layout>
          <c:overlay val="0"/>
        </c:title>
        <c:numFmt formatCode="General" sourceLinked="1"/>
        <c:majorTickMark val="cross"/>
        <c:minorTickMark val="cross"/>
        <c:tickLblPos val="nextTo"/>
        <c:spPr>
          <a:ln w="47625">
            <a:noFill/>
          </a:ln>
        </c:spPr>
        <c:txPr>
          <a:bodyPr/>
          <a:lstStyle/>
          <a:p>
            <a:pPr>
              <a:defRPr/>
            </a:pPr>
            <a:endParaRPr lang="en-US"/>
          </a:p>
        </c:txPr>
        <c:crossAx val="235768144"/>
        <c:crosses val="autoZero"/>
        <c:crossBetween val="midCat"/>
      </c:valAx>
      <c:valAx>
        <c:axId val="235768144"/>
        <c:scaling>
          <c:orientation val="minMax"/>
        </c:scaling>
        <c:delete val="0"/>
        <c:axPos val="l"/>
        <c:majorGridlines>
          <c:spPr>
            <a:ln>
              <a:solidFill>
                <a:srgbClr val="B7B7B7"/>
              </a:solidFill>
            </a:ln>
          </c:spPr>
        </c:majorGridlines>
        <c:title>
          <c:tx>
            <c:rich>
              <a:bodyPr/>
              <a:lstStyle/>
              <a:p>
                <a:pPr>
                  <a:defRPr sz="1000" b="1" i="0">
                    <a:solidFill>
                      <a:srgbClr val="000000"/>
                    </a:solidFill>
                  </a:defRPr>
                </a:pPr>
                <a:r>
                  <a:rPr lang="en-CA">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a:latin typeface="Arial" panose="020B0604020202020204" pitchFamily="34" charset="0"/>
                    <a:cs typeface="Arial" panose="020B0604020202020204" pitchFamily="34" charset="0"/>
                  </a:rPr>
                  <a:t> saved by wind energy / Oil sands CO</a:t>
                </a:r>
                <a:r>
                  <a:rPr lang="en-CA" sz="800">
                    <a:latin typeface="Arial" panose="020B0604020202020204" pitchFamily="34" charset="0"/>
                    <a:cs typeface="Arial" panose="020B0604020202020204" pitchFamily="34" charset="0"/>
                  </a:rPr>
                  <a:t>2</a:t>
                </a:r>
              </a:p>
            </c:rich>
          </c:tx>
          <c:overlay val="0"/>
        </c:title>
        <c:numFmt formatCode="0%" sourceLinked="1"/>
        <c:majorTickMark val="cross"/>
        <c:minorTickMark val="cross"/>
        <c:tickLblPos val="nextTo"/>
        <c:spPr>
          <a:ln w="47625">
            <a:noFill/>
          </a:ln>
        </c:spPr>
        <c:txPr>
          <a:bodyPr/>
          <a:lstStyle/>
          <a:p>
            <a:pPr>
              <a:defRPr/>
            </a:pPr>
            <a:endParaRPr lang="en-US"/>
          </a:p>
        </c:txPr>
        <c:crossAx val="21563952"/>
        <c:crosses val="autoZero"/>
        <c:crossBetween val="midCat"/>
      </c:valAx>
      <c:spPr>
        <a:solidFill>
          <a:srgbClr val="FFFFFF"/>
        </a:solidFill>
      </c:spPr>
    </c:plotArea>
    <c:legend>
      <c:legendPos val="r"/>
      <c:layout>
        <c:manualLayout>
          <c:xMode val="edge"/>
          <c:yMode val="edge"/>
          <c:x val="0.87296710006351785"/>
          <c:y val="0.39179083383807789"/>
          <c:w val="0.10231180730460716"/>
          <c:h val="0.34774833434282254"/>
        </c:manualLayout>
      </c:layout>
      <c:overlay val="0"/>
    </c:legend>
    <c:plotVisOnly val="1"/>
    <c:dispBlanksAs val="zero"/>
    <c:showDLblsOverMax val="1"/>
  </c:chart>
  <c:spPr>
    <a:ln cmpd="sng">
      <a:prstDash val="soli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latin typeface="Arial" panose="020B0604020202020204" pitchFamily="34" charset="0"/>
                <a:cs typeface="Arial" panose="020B0604020202020204" pitchFamily="34" charset="0"/>
              </a:defRPr>
            </a:pPr>
            <a:r>
              <a:rPr lang="en-CA" sz="1400">
                <a:latin typeface="Arial" panose="020B0604020202020204" pitchFamily="34" charset="0"/>
                <a:cs typeface="Arial" panose="020B0604020202020204" pitchFamily="34" charset="0"/>
              </a:rPr>
              <a:t>Cumulative Ratio Carbon Saved vs Carbon Burned Using $0.07/kWh Reinvestment Policy</a:t>
            </a:r>
          </a:p>
        </c:rich>
      </c:tx>
      <c:overlay val="0"/>
    </c:title>
    <c:autoTitleDeleted val="0"/>
    <c:plotArea>
      <c:layout>
        <c:manualLayout>
          <c:layoutTarget val="inner"/>
          <c:xMode val="edge"/>
          <c:yMode val="edge"/>
          <c:x val="0.2262762098557905"/>
          <c:y val="0.22015374981680588"/>
          <c:w val="0.58539281606653104"/>
          <c:h val="0.54572231770521074"/>
        </c:manualLayout>
      </c:layout>
      <c:scatterChart>
        <c:scatterStyle val="lineMarker"/>
        <c:varyColors val="1"/>
        <c:ser>
          <c:idx val="0"/>
          <c:order val="0"/>
          <c:tx>
            <c:v>$3.75/bbl</c:v>
          </c:tx>
          <c:spPr>
            <a:ln w="47625">
              <a:noFill/>
            </a:ln>
          </c:spPr>
          <c:marker>
            <c:symbol val="x"/>
            <c:size val="9"/>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Graphs'!$K$5:$K$64</c:f>
              <c:numCache>
                <c:formatCode>0%</c:formatCode>
                <c:ptCount val="60"/>
                <c:pt idx="0">
                  <c:v>0</c:v>
                </c:pt>
                <c:pt idx="1">
                  <c:v>4.7651382341917358E-3</c:v>
                </c:pt>
                <c:pt idx="2">
                  <c:v>9.9204047448670021E-3</c:v>
                </c:pt>
                <c:pt idx="3">
                  <c:v>1.5512179752762353E-2</c:v>
                </c:pt>
                <c:pt idx="4">
                  <c:v>2.1586385402360138E-2</c:v>
                </c:pt>
                <c:pt idx="5">
                  <c:v>2.8182759808711176E-2</c:v>
                </c:pt>
                <c:pt idx="6">
                  <c:v>3.5354979692886576E-2</c:v>
                </c:pt>
                <c:pt idx="7">
                  <c:v>4.3157367990673198E-2</c:v>
                </c:pt>
                <c:pt idx="8">
                  <c:v>5.1652678422250423E-2</c:v>
                </c:pt>
                <c:pt idx="9">
                  <c:v>6.0907880099993948E-2</c:v>
                </c:pt>
                <c:pt idx="10">
                  <c:v>7.0995572904780577E-2</c:v>
                </c:pt>
                <c:pt idx="11">
                  <c:v>8.2000802857529947E-2</c:v>
                </c:pt>
                <c:pt idx="12">
                  <c:v>9.4013456211469865E-2</c:v>
                </c:pt>
                <c:pt idx="13">
                  <c:v>0.10713176595493137</c:v>
                </c:pt>
                <c:pt idx="14">
                  <c:v>0.12146685878638126</c:v>
                </c:pt>
                <c:pt idx="15">
                  <c:v>0.13714101621127558</c:v>
                </c:pt>
                <c:pt idx="16">
                  <c:v>0.15428870502239642</c:v>
                </c:pt>
                <c:pt idx="17">
                  <c:v>0.17305930018120597</c:v>
                </c:pt>
                <c:pt idx="18">
                  <c:v>0.19361894784193104</c:v>
                </c:pt>
                <c:pt idx="19">
                  <c:v>0.21615003716340536</c:v>
                </c:pt>
                <c:pt idx="20">
                  <c:v>0.2408543131366081</c:v>
                </c:pt>
                <c:pt idx="21">
                  <c:v>0.26752038445071652</c:v>
                </c:pt>
                <c:pt idx="22">
                  <c:v>0.29634964435674993</c:v>
                </c:pt>
                <c:pt idx="23">
                  <c:v>0.32755572818930978</c:v>
                </c:pt>
                <c:pt idx="24">
                  <c:v>0.3613708600139437</c:v>
                </c:pt>
                <c:pt idx="25">
                  <c:v>0.39804650626738702</c:v>
                </c:pt>
                <c:pt idx="26">
                  <c:v>0.43785659867036758</c:v>
                </c:pt>
                <c:pt idx="27">
                  <c:v>0.48109875772694077</c:v>
                </c:pt>
                <c:pt idx="28">
                  <c:v>0.52809652674466334</c:v>
                </c:pt>
                <c:pt idx="29">
                  <c:v>0.57920360212408784</c:v>
                </c:pt>
                <c:pt idx="30">
                  <c:v>0.63480606275027962</c:v>
                </c:pt>
                <c:pt idx="31">
                  <c:v>0.695324181373425</c:v>
                </c:pt>
                <c:pt idx="32">
                  <c:v>0.7612172381111767</c:v>
                </c:pt>
                <c:pt idx="33">
                  <c:v>0.83298748450940929</c:v>
                </c:pt>
                <c:pt idx="34">
                  <c:v>0.91118238101826377</c:v>
                </c:pt>
                <c:pt idx="35">
                  <c:v>0.99640053334444534</c:v>
                </c:pt>
                <c:pt idx="36">
                  <c:v>1.0892956757166514</c:v>
                </c:pt>
                <c:pt idx="37">
                  <c:v>1.1905809895854156</c:v>
                </c:pt>
                <c:pt idx="38">
                  <c:v>1.301035576838385</c:v>
                </c:pt>
                <c:pt idx="39">
                  <c:v>1.4215108781858168</c:v>
                </c:pt>
                <c:pt idx="40">
                  <c:v>1.5529370460774703</c:v>
                </c:pt>
                <c:pt idx="41">
                  <c:v>1.6963292797290013</c:v>
                </c:pt>
                <c:pt idx="42">
                  <c:v>1.8528248088821688</c:v>
                </c:pt>
                <c:pt idx="43">
                  <c:v>2.0236698595655152</c:v>
                </c:pt>
                <c:pt idx="44">
                  <c:v>2.2102303454138186</c:v>
                </c:pt>
                <c:pt idx="45">
                  <c:v>2.4140059443937503</c:v>
                </c:pt>
                <c:pt idx="46">
                  <c:v>2.6366392596836747</c:v>
                </c:pt>
                <c:pt idx="47">
                  <c:v>2.8799337604289832</c:v>
                </c:pt>
                <c:pt idx="48">
                  <c:v>3.1458680299110409</c:v>
                </c:pt>
                <c:pt idx="49">
                  <c:v>3.4366127014679084</c:v>
                </c:pt>
                <c:pt idx="50">
                  <c:v>3.7545504318107055</c:v>
                </c:pt>
                <c:pt idx="51">
                  <c:v>4.1022963886573418</c:v>
                </c:pt>
                <c:pt idx="52">
                  <c:v>4.4827219504983367</c:v>
                </c:pt>
                <c:pt idx="53">
                  <c:v>4.8989791662127544</c:v>
                </c:pt>
                <c:pt idx="54">
                  <c:v>5.3545298755824744</c:v>
                </c:pt>
                <c:pt idx="55">
                  <c:v>5.8531756361192491</c:v>
                </c:pt>
                <c:pt idx="56">
                  <c:v>6.399092214667939</c:v>
                </c:pt>
                <c:pt idx="57">
                  <c:v>6.9968680928646494</c:v>
                </c:pt>
                <c:pt idx="58">
                  <c:v>7.6515440257483185</c:v>
                </c:pt>
                <c:pt idx="59">
                  <c:v>8.3686590275729209</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Graphs'!$L$5:$L$64</c:f>
              <c:numCache>
                <c:formatCode>0%</c:formatCode>
                <c:ptCount val="60"/>
                <c:pt idx="0">
                  <c:v>0</c:v>
                </c:pt>
                <c:pt idx="1">
                  <c:v>9.5302764683834716E-3</c:v>
                </c:pt>
                <c:pt idx="2">
                  <c:v>1.9853024856512354E-2</c:v>
                </c:pt>
                <c:pt idx="3">
                  <c:v>3.1051844080775992E-2</c:v>
                </c:pt>
                <c:pt idx="4">
                  <c:v>4.3209416905055323E-2</c:v>
                </c:pt>
                <c:pt idx="5">
                  <c:v>5.6414381084535746E-2</c:v>
                </c:pt>
                <c:pt idx="6">
                  <c:v>7.077278127206181E-2</c:v>
                </c:pt>
                <c:pt idx="7">
                  <c:v>8.6392608944558386E-2</c:v>
                </c:pt>
                <c:pt idx="8">
                  <c:v>0.10339900798980153</c:v>
                </c:pt>
                <c:pt idx="9">
                  <c:v>0.12192569850099304</c:v>
                </c:pt>
                <c:pt idx="10">
                  <c:v>0.14212107289256723</c:v>
                </c:pt>
                <c:pt idx="11">
                  <c:v>0.16415124395809469</c:v>
                </c:pt>
                <c:pt idx="12">
                  <c:v>0.18819604827063996</c:v>
                </c:pt>
                <c:pt idx="13">
                  <c:v>0.21445723272591941</c:v>
                </c:pt>
                <c:pt idx="14">
                  <c:v>0.24315603724812848</c:v>
                </c:pt>
                <c:pt idx="15">
                  <c:v>0.27453626474362558</c:v>
                </c:pt>
                <c:pt idx="16">
                  <c:v>0.30886842319451235</c:v>
                </c:pt>
                <c:pt idx="17">
                  <c:v>0.34645045115989043</c:v>
                </c:pt>
                <c:pt idx="18">
                  <c:v>0.38761400039782701</c:v>
                </c:pt>
                <c:pt idx="19">
                  <c:v>0.43272333678568059</c:v>
                </c:pt>
                <c:pt idx="20">
                  <c:v>0.48218153547277803</c:v>
                </c:pt>
                <c:pt idx="21">
                  <c:v>0.53556880589262446</c:v>
                </c:pt>
                <c:pt idx="22">
                  <c:v>0.59328562631886073</c:v>
                </c:pt>
                <c:pt idx="23">
                  <c:v>0.65576039773871941</c:v>
                </c:pt>
                <c:pt idx="24">
                  <c:v>0.7234585177504409</c:v>
                </c:pt>
                <c:pt idx="25">
                  <c:v>0.79688372262277252</c:v>
                </c:pt>
                <c:pt idx="26">
                  <c:v>0.87658320290794867</c:v>
                </c:pt>
                <c:pt idx="27">
                  <c:v>0.9631529316411882</c:v>
                </c:pt>
                <c:pt idx="28">
                  <c:v>1.0572418901540885</c:v>
                </c:pt>
                <c:pt idx="29">
                  <c:v>1.1595578917986962</c:v>
                </c:pt>
                <c:pt idx="30">
                  <c:v>1.2708734606314462</c:v>
                </c:pt>
                <c:pt idx="31">
                  <c:v>1.392029462653227</c:v>
                </c:pt>
                <c:pt idx="32">
                  <c:v>1.5239458502392016</c:v>
                </c:pt>
                <c:pt idx="33">
                  <c:v>1.6676272770133367</c:v>
                </c:pt>
                <c:pt idx="34">
                  <c:v>1.824169844235888</c:v>
                </c:pt>
                <c:pt idx="35">
                  <c:v>1.9947718125291312</c:v>
                </c:pt>
                <c:pt idx="36">
                  <c:v>2.1807415861313402</c:v>
                </c:pt>
                <c:pt idx="37">
                  <c:v>2.3835082939633354</c:v>
                </c:pt>
                <c:pt idx="38">
                  <c:v>2.604631682482232</c:v>
                </c:pt>
                <c:pt idx="39">
                  <c:v>2.8458169376746896</c:v>
                </c:pt>
                <c:pt idx="40">
                  <c:v>3.1089264441706521</c:v>
                </c:pt>
                <c:pt idx="41">
                  <c:v>3.3959924820622929</c:v>
                </c:pt>
                <c:pt idx="42">
                  <c:v>3.7092912174557711</c:v>
                </c:pt>
                <c:pt idx="43">
                  <c:v>4.0513174867492161</c:v>
                </c:pt>
                <c:pt idx="44">
                  <c:v>4.4248069183273735</c:v>
                </c:pt>
                <c:pt idx="45">
                  <c:v>4.8327599487439539</c:v>
                </c:pt>
                <c:pt idx="46">
                  <c:v>5.278466671529678</c:v>
                </c:pt>
                <c:pt idx="47">
                  <c:v>5.7655369779639676</c:v>
                </c:pt>
                <c:pt idx="48">
                  <c:v>6.2979314944175009</c:v>
                </c:pt>
                <c:pt idx="49">
                  <c:v>6.8799961364337205</c:v>
                </c:pt>
                <c:pt idx="50">
                  <c:v>7.5165005016851421</c:v>
                </c:pt>
                <c:pt idx="51">
                  <c:v>8.2126809944982462</c:v>
                </c:pt>
                <c:pt idx="52">
                  <c:v>8.9742852912793953</c:v>
                </c:pt>
                <c:pt idx="53">
                  <c:v>9.8076240807046204</c:v>
                </c:pt>
                <c:pt idx="54">
                  <c:v>10.719627820208842</c:v>
                </c:pt>
                <c:pt idx="55">
                  <c:v>11.717907881737013</c:v>
                </c:pt>
                <c:pt idx="56">
                  <c:v>12.810824119381262</c:v>
                </c:pt>
                <c:pt idx="57">
                  <c:v>14.007561242995351</c:v>
                </c:pt>
                <c:pt idx="58">
                  <c:v>15.318210468528115</c:v>
                </c:pt>
                <c:pt idx="59">
                  <c:v>16.753861326373755</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Graphs'!$M$5:$M$64</c:f>
              <c:numCache>
                <c:formatCode>0%</c:formatCode>
                <c:ptCount val="60"/>
                <c:pt idx="0">
                  <c:v>0</c:v>
                </c:pt>
                <c:pt idx="1">
                  <c:v>1.4295414702575206E-2</c:v>
                </c:pt>
                <c:pt idx="2">
                  <c:v>2.9785644968157703E-2</c:v>
                </c:pt>
                <c:pt idx="3">
                  <c:v>4.6591508408789631E-2</c:v>
                </c:pt>
                <c:pt idx="4">
                  <c:v>6.4832448407750515E-2</c:v>
                </c:pt>
                <c:pt idx="5">
                  <c:v>8.4646002360360323E-2</c:v>
                </c:pt>
                <c:pt idx="6">
                  <c:v>0.10618534769404632</c:v>
                </c:pt>
                <c:pt idx="7">
                  <c:v>0.1296186883733598</c:v>
                </c:pt>
                <c:pt idx="8">
                  <c:v>0.15512905040164815</c:v>
                </c:pt>
                <c:pt idx="9">
                  <c:v>0.18292152924179106</c:v>
                </c:pt>
                <c:pt idx="10">
                  <c:v>0.21321992117101929</c:v>
                </c:pt>
                <c:pt idx="11">
                  <c:v>0.24627114664171351</c:v>
                </c:pt>
                <c:pt idx="12">
                  <c:v>0.28234481316027005</c:v>
                </c:pt>
                <c:pt idx="13">
                  <c:v>0.3217434358179771</c:v>
                </c:pt>
                <c:pt idx="14">
                  <c:v>0.36479879731611797</c:v>
                </c:pt>
                <c:pt idx="15">
                  <c:v>0.41187654412547298</c:v>
                </c:pt>
                <c:pt idx="16">
                  <c:v>0.46338347177780165</c:v>
                </c:pt>
                <c:pt idx="17">
                  <c:v>0.51976627404344156</c:v>
                </c:pt>
                <c:pt idx="18">
                  <c:v>0.58152033081606969</c:v>
                </c:pt>
                <c:pt idx="19">
                  <c:v>0.64919402732701748</c:v>
                </c:pt>
                <c:pt idx="20">
                  <c:v>0.72339358435075196</c:v>
                </c:pt>
                <c:pt idx="21">
                  <c:v>0.80348730025152626</c:v>
                </c:pt>
                <c:pt idx="22">
                  <c:v>0.89007502387963111</c:v>
                </c:pt>
                <c:pt idx="23">
                  <c:v>0.9838016867574686</c:v>
                </c:pt>
                <c:pt idx="24">
                  <c:v>1.0853644108292764</c:v>
                </c:pt>
                <c:pt idx="25">
                  <c:v>1.1955193854263153</c:v>
                </c:pt>
                <c:pt idx="26">
                  <c:v>1.3150885732805442</c:v>
                </c:pt>
                <c:pt idx="27">
                  <c:v>1.444964979535365</c:v>
                </c:pt>
                <c:pt idx="28">
                  <c:v>1.5861231489093748</c:v>
                </c:pt>
                <c:pt idx="29">
                  <c:v>1.7396238988173356</c:v>
                </c:pt>
                <c:pt idx="30">
                  <c:v>1.906625229196824</c:v>
                </c:pt>
                <c:pt idx="31">
                  <c:v>2.0883900415517527</c:v>
                </c:pt>
                <c:pt idx="32">
                  <c:v>2.2862991174607648</c:v>
                </c:pt>
                <c:pt idx="33">
                  <c:v>2.5018585732811767</c:v>
                </c:pt>
                <c:pt idx="34">
                  <c:v>2.7367133661237393</c:v>
                </c:pt>
                <c:pt idx="35">
                  <c:v>2.9926605847260719</c:v>
                </c:pt>
                <c:pt idx="36">
                  <c:v>3.2716625659196081</c:v>
                </c:pt>
                <c:pt idx="37">
                  <c:v>3.5758637263018165</c:v>
                </c:pt>
                <c:pt idx="38">
                  <c:v>3.9076057440639813</c:v>
                </c:pt>
                <c:pt idx="39">
                  <c:v>4.2694459604598727</c:v>
                </c:pt>
                <c:pt idx="40">
                  <c:v>4.6641775574131827</c:v>
                </c:pt>
                <c:pt idx="41">
                  <c:v>5.0948512152406114</c:v>
                </c:pt>
                <c:pt idx="42">
                  <c:v>5.5648806763260072</c:v>
                </c:pt>
                <c:pt idx="43">
                  <c:v>6.0780089838605385</c:v>
                </c:pt>
                <c:pt idx="44">
                  <c:v>6.6383402989180569</c:v>
                </c:pt>
                <c:pt idx="45">
                  <c:v>7.2503755340207059</c:v>
                </c:pt>
                <c:pt idx="46">
                  <c:v>7.919051234781338</c:v>
                </c:pt>
                <c:pt idx="47">
                  <c:v>8.6497827628657067</c:v>
                </c:pt>
                <c:pt idx="48">
                  <c:v>9.4485119136797859</c:v>
                </c:pt>
                <c:pt idx="49">
                  <c:v>10.321759080842714</c:v>
                </c:pt>
                <c:pt idx="50">
                  <c:v>11.276680061927703</c:v>
                </c:pt>
                <c:pt idx="51">
                  <c:v>12.321130404348381</c:v>
                </c:pt>
                <c:pt idx="52">
                  <c:v>13.46373352977885</c:v>
                </c:pt>
                <c:pt idx="53">
                  <c:v>14.713956897717937</c:v>
                </c:pt>
                <c:pt idx="54">
                  <c:v>16.082197850204821</c:v>
                </c:pt>
                <c:pt idx="55">
                  <c:v>17.579875309963427</c:v>
                </c:pt>
                <c:pt idx="56">
                  <c:v>19.219531756445885</c:v>
                </c:pt>
                <c:pt idx="57">
                  <c:v>21.014946766656156</c:v>
                </c:pt>
                <c:pt idx="58">
                  <c:v>22.981259506420603</c:v>
                </c:pt>
                <c:pt idx="59">
                  <c:v>25.13510706787509</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Graphs'!$N$5:$N$64</c:f>
              <c:numCache>
                <c:formatCode>0%</c:formatCode>
                <c:ptCount val="60"/>
                <c:pt idx="0">
                  <c:v>0</c:v>
                </c:pt>
                <c:pt idx="1">
                  <c:v>1.9060552936766943E-2</c:v>
                </c:pt>
                <c:pt idx="2">
                  <c:v>3.9718265079803056E-2</c:v>
                </c:pt>
                <c:pt idx="3">
                  <c:v>6.2122011211719508E-2</c:v>
                </c:pt>
                <c:pt idx="4">
                  <c:v>8.6440821470311693E-2</c:v>
                </c:pt>
                <c:pt idx="5">
                  <c:v>0.11285930058601738</c:v>
                </c:pt>
                <c:pt idx="6">
                  <c:v>0.14158220864445867</c:v>
                </c:pt>
                <c:pt idx="7">
                  <c:v>0.17283102551453558</c:v>
                </c:pt>
                <c:pt idx="8">
                  <c:v>0.20685094923564254</c:v>
                </c:pt>
                <c:pt idx="9">
                  <c:v>0.24391369537255561</c:v>
                </c:pt>
                <c:pt idx="10">
                  <c:v>0.2843154379858045</c:v>
                </c:pt>
                <c:pt idx="11">
                  <c:v>0.32838494164194321</c:v>
                </c:pt>
                <c:pt idx="12">
                  <c:v>0.37648794018831006</c:v>
                </c:pt>
                <c:pt idx="13">
                  <c:v>0.42902440375284401</c:v>
                </c:pt>
                <c:pt idx="14">
                  <c:v>0.48643667123739615</c:v>
                </c:pt>
                <c:pt idx="15">
                  <c:v>0.5492145331260494</c:v>
                </c:pt>
                <c:pt idx="16">
                  <c:v>0.61789852036109105</c:v>
                </c:pt>
                <c:pt idx="17">
                  <c:v>0.69308616871591899</c:v>
                </c:pt>
                <c:pt idx="18">
                  <c:v>0.77543823368704978</c:v>
                </c:pt>
                <c:pt idx="19">
                  <c:v>0.86568487322353882</c:v>
                </c:pt>
                <c:pt idx="20">
                  <c:v>0.96463355406707663</c:v>
                </c:pt>
                <c:pt idx="21">
                  <c:v>1.0714441064425968</c:v>
                </c:pt>
                <c:pt idx="22">
                  <c:v>1.186915407319129</c:v>
                </c:pt>
                <c:pt idx="23">
                  <c:v>1.3119071064518042</c:v>
                </c:pt>
                <c:pt idx="24">
                  <c:v>1.4473494594848357</c:v>
                </c:pt>
                <c:pt idx="25">
                  <c:v>1.5942508918768885</c:v>
                </c:pt>
                <c:pt idx="26">
                  <c:v>1.753706596480096</c:v>
                </c:pt>
                <c:pt idx="27">
                  <c:v>1.92690790635931</c:v>
                </c:pt>
                <c:pt idx="28">
                  <c:v>2.115153519383266</c:v>
                </c:pt>
                <c:pt idx="29">
                  <c:v>2.3198584778975166</c:v>
                </c:pt>
                <c:pt idx="30">
                  <c:v>2.5425673210574908</c:v>
                </c:pt>
                <c:pt idx="31">
                  <c:v>2.7849659162897473</c:v>
                </c:pt>
                <c:pt idx="32">
                  <c:v>3.0488933605542292</c:v>
                </c:pt>
                <c:pt idx="33">
                  <c:v>3.3363582483426475</c:v>
                </c:pt>
                <c:pt idx="34">
                  <c:v>3.6495552919714624</c:v>
                </c:pt>
                <c:pt idx="35">
                  <c:v>3.9908801897732604</c:v>
                </c:pt>
                <c:pt idx="36">
                  <c:v>4.3629509971463714</c:v>
                </c:pt>
                <c:pt idx="37">
                  <c:v>4.7686261232282297</c:v>
                </c:pt>
                <c:pt idx="38">
                  <c:v>5.2110280156421371</c:v>
                </c:pt>
                <c:pt idx="39">
                  <c:v>5.6935678732945627</c:v>
                </c:pt>
                <c:pt idx="40">
                  <c:v>6.2199703178948118</c:v>
                </c:pt>
                <c:pt idx="41">
                  <c:v>6.7943032662338787</c:v>
                </c:pt>
                <c:pt idx="42">
                  <c:v>7.4211195381835786</c:v>
                </c:pt>
                <c:pt idx="43">
                  <c:v>8.1054109155988137</c:v>
                </c:pt>
                <c:pt idx="44">
                  <c:v>8.8526505768358472</c:v>
                </c:pt>
                <c:pt idx="45">
                  <c:v>9.6688403528400073</c:v>
                </c:pt>
                <c:pt idx="46">
                  <c:v>10.560562866401051</c:v>
                </c:pt>
                <c:pt idx="47">
                  <c:v>11.535040896289207</c:v>
                </c:pt>
                <c:pt idx="48">
                  <c:v>12.600198446868518</c:v>
                </c:pt>
                <c:pt idx="49">
                  <c:v>13.764730613640765</c:v>
                </c:pt>
                <c:pt idx="50">
                  <c:v>15.038181037435294</c:v>
                </c:pt>
                <c:pt idx="51">
                  <c:v>16.431024516230959</c:v>
                </c:pt>
                <c:pt idx="52">
                  <c:v>17.954761007771992</c:v>
                </c:pt>
                <c:pt idx="53">
                  <c:v>19.622016831867423</c:v>
                </c:pt>
                <c:pt idx="54">
                  <c:v>21.446656820099896</c:v>
                </c:pt>
                <c:pt idx="55">
                  <c:v>23.443908662096231</c:v>
                </c:pt>
                <c:pt idx="56">
                  <c:v>25.630498593450461</c:v>
                </c:pt>
                <c:pt idx="57">
                  <c:v>28.024802111113679</c:v>
                </c:pt>
                <c:pt idx="58">
                  <c:v>30.647009175571679</c:v>
                </c:pt>
                <c:pt idx="59">
                  <c:v>33.519305874295085</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Graphs'!$O$5:$O$64</c:f>
              <c:numCache>
                <c:formatCode>0%</c:formatCode>
                <c:ptCount val="60"/>
                <c:pt idx="0">
                  <c:v>0</c:v>
                </c:pt>
                <c:pt idx="1">
                  <c:v>2.3825691170958677E-2</c:v>
                </c:pt>
                <c:pt idx="2">
                  <c:v>4.9650885191448405E-2</c:v>
                </c:pt>
                <c:pt idx="3">
                  <c:v>7.7661675539733147E-2</c:v>
                </c:pt>
                <c:pt idx="4">
                  <c:v>0.10807118219307386</c:v>
                </c:pt>
                <c:pt idx="5">
                  <c:v>0.14110924491200949</c:v>
                </c:pt>
                <c:pt idx="6">
                  <c:v>0.1770261860095875</c:v>
                </c:pt>
                <c:pt idx="7">
                  <c:v>0.21609833180621393</c:v>
                </c:pt>
                <c:pt idx="8">
                  <c:v>0.25863392490352871</c:v>
                </c:pt>
                <c:pt idx="9">
                  <c:v>0.30497182448392324</c:v>
                </c:pt>
                <c:pt idx="10">
                  <c:v>0.35548424700125991</c:v>
                </c:pt>
                <c:pt idx="11">
                  <c:v>0.41058424420962131</c:v>
                </c:pt>
                <c:pt idx="12">
                  <c:v>0.47072409193258524</c:v>
                </c:pt>
                <c:pt idx="13">
                  <c:v>0.53640745725293004</c:v>
                </c:pt>
                <c:pt idx="14">
                  <c:v>0.60818692653303519</c:v>
                </c:pt>
                <c:pt idx="15">
                  <c:v>0.68667391233398578</c:v>
                </c:pt>
                <c:pt idx="16">
                  <c:v>0.77254506377499443</c:v>
                </c:pt>
                <c:pt idx="17">
                  <c:v>0.86654654010634757</c:v>
                </c:pt>
                <c:pt idx="18">
                  <c:v>0.96950464970149297</c:v>
                </c:pt>
                <c:pt idx="19">
                  <c:v>1.0823314650464841</c:v>
                </c:pt>
                <c:pt idx="20">
                  <c:v>1.2060375587087104</c:v>
                </c:pt>
                <c:pt idx="21">
                  <c:v>1.3395724830125082</c:v>
                </c:pt>
                <c:pt idx="22">
                  <c:v>1.483934241334171</c:v>
                </c:pt>
                <c:pt idx="23">
                  <c:v>1.6401988104895096</c:v>
                </c:pt>
                <c:pt idx="24">
                  <c:v>1.8095279995501639</c:v>
                </c:pt>
                <c:pt idx="25">
                  <c:v>1.993181132948509</c:v>
                </c:pt>
                <c:pt idx="26">
                  <c:v>2.1925282091259528</c:v>
                </c:pt>
                <c:pt idx="27">
                  <c:v>2.4090602394708829</c:v>
                </c:pt>
                <c:pt idx="28">
                  <c:v>2.6443999754832701</c:v>
                </c:pt>
                <c:pt idx="29">
                  <c:v>2.9003178197264181</c:v>
                </c:pt>
                <c:pt idx="30">
                  <c:v>3.1787446572396623</c:v>
                </c:pt>
                <c:pt idx="31">
                  <c:v>3.481786861823732</c:v>
                </c:pt>
                <c:pt idx="32">
                  <c:v>3.8117452368379259</c:v>
                </c:pt>
                <c:pt idx="33">
                  <c:v>4.1711295356771894</c:v>
                </c:pt>
                <c:pt idx="34">
                  <c:v>4.5626830574017978</c:v>
                </c:pt>
                <c:pt idx="35">
                  <c:v>4.9894021251482128</c:v>
                </c:pt>
                <c:pt idx="36">
                  <c:v>5.4545583484895639</c:v>
                </c:pt>
                <c:pt idx="37">
                  <c:v>5.9617270143972103</c:v>
                </c:pt>
                <c:pt idx="38">
                  <c:v>6.5148111103620518</c:v>
                </c:pt>
                <c:pt idx="39">
                  <c:v>7.1180754863352771</c:v>
                </c:pt>
                <c:pt idx="40">
                  <c:v>7.7761769111680277</c:v>
                </c:pt>
                <c:pt idx="41">
                  <c:v>8.4942003055883557</c:v>
                </c:pt>
                <c:pt idx="42">
                  <c:v>9.2778382082850683</c:v>
                </c:pt>
                <c:pt idx="43">
                  <c:v>10.133330889937278</c:v>
                </c:pt>
                <c:pt idx="44">
                  <c:v>11.067520318552083</c:v>
                </c:pt>
                <c:pt idx="45">
                  <c:v>12.087910628969189</c:v>
                </c:pt>
                <c:pt idx="46">
                  <c:v>13.202732568418268</c:v>
                </c:pt>
                <c:pt idx="47">
                  <c:v>14.421015155590084</c:v>
                </c:pt>
                <c:pt idx="48">
                  <c:v>15.752665018478663</c:v>
                </c:pt>
                <c:pt idx="49">
                  <c:v>17.208552335966584</c:v>
                </c:pt>
                <c:pt idx="50">
                  <c:v>18.800607506614085</c:v>
                </c:pt>
                <c:pt idx="51">
                  <c:v>20.54192639587275</c:v>
                </c:pt>
                <c:pt idx="52">
                  <c:v>22.446885794467619</c:v>
                </c:pt>
                <c:pt idx="53">
                  <c:v>24.531271836066718</c:v>
                </c:pt>
                <c:pt idx="54">
                  <c:v>26.812418392288695</c:v>
                </c:pt>
                <c:pt idx="55">
                  <c:v>29.309362705011665</c:v>
                </c:pt>
                <c:pt idx="56">
                  <c:v>32.043016139121846</c:v>
                </c:pt>
                <c:pt idx="57">
                  <c:v>35.036351389967727</c:v>
                </c:pt>
                <c:pt idx="58">
                  <c:v>38.314609783349852</c:v>
                </c:pt>
                <c:pt idx="59">
                  <c:v>41.905528156221912</c:v>
                </c:pt>
              </c:numCache>
            </c:numRef>
          </c:yVal>
          <c:smooth val="1"/>
        </c:ser>
        <c:ser>
          <c:idx val="5"/>
          <c:order val="5"/>
          <c:tx>
            <c:v>$22.5/bbl</c:v>
          </c:tx>
          <c:spPr>
            <a:ln w="19050">
              <a:noFill/>
            </a:ln>
          </c:spPr>
          <c:marker>
            <c:symbol val="square"/>
            <c:size val="5"/>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Graphs'!$P$5:$P$64</c:f>
              <c:numCache>
                <c:formatCode>0%</c:formatCode>
                <c:ptCount val="60"/>
                <c:pt idx="0">
                  <c:v>0</c:v>
                </c:pt>
                <c:pt idx="1">
                  <c:v>2.8590829405150411E-2</c:v>
                </c:pt>
                <c:pt idx="2">
                  <c:v>5.9571289936315407E-2</c:v>
                </c:pt>
                <c:pt idx="3">
                  <c:v>9.3183016817579262E-2</c:v>
                </c:pt>
                <c:pt idx="4">
                  <c:v>0.12967222603556802</c:v>
                </c:pt>
                <c:pt idx="5">
                  <c:v>0.16931643545427735</c:v>
                </c:pt>
                <c:pt idx="6">
                  <c:v>0.21241781180280914</c:v>
                </c:pt>
                <c:pt idx="7">
                  <c:v>0.25930608818484779</c:v>
                </c:pt>
                <c:pt idx="8">
                  <c:v>0.31035175194859699</c:v>
                </c:pt>
                <c:pt idx="9">
                  <c:v>0.36596032600465433</c:v>
                </c:pt>
                <c:pt idx="10">
                  <c:v>0.42657976381604518</c:v>
                </c:pt>
                <c:pt idx="11">
                  <c:v>0.49270414689324021</c:v>
                </c:pt>
                <c:pt idx="12">
                  <c:v>0.56487849468380535</c:v>
                </c:pt>
                <c:pt idx="13">
                  <c:v>0.64370413065936916</c:v>
                </c:pt>
                <c:pt idx="14">
                  <c:v>0.72984434504115869</c:v>
                </c:pt>
                <c:pt idx="15">
                  <c:v>0.82403480514727168</c:v>
                </c:pt>
                <c:pt idx="16">
                  <c:v>0.9270859801938145</c:v>
                </c:pt>
                <c:pt idx="17">
                  <c:v>1.0398949373013078</c:v>
                </c:pt>
                <c:pt idx="18">
                  <c:v>1.1634514837043166</c:v>
                </c:pt>
                <c:pt idx="19">
                  <c:v>1.2988516278232736</c:v>
                </c:pt>
                <c:pt idx="20">
                  <c:v>1.4473071943157825</c:v>
                </c:pt>
                <c:pt idx="21">
                  <c:v>1.6075592723765799</c:v>
                </c:pt>
                <c:pt idx="22">
                  <c:v>1.7808064909478729</c:v>
                </c:pt>
                <c:pt idx="23">
                  <c:v>1.9683378224424857</c:v>
                </c:pt>
                <c:pt idx="24">
                  <c:v>2.1715482284620444</c:v>
                </c:pt>
                <c:pt idx="25">
                  <c:v>2.3919492854994169</c:v>
                </c:pt>
                <c:pt idx="26">
                  <c:v>2.631184235688814</c:v>
                </c:pt>
                <c:pt idx="27">
                  <c:v>2.8910424299737572</c:v>
                </c:pt>
                <c:pt idx="28">
                  <c:v>3.1734720466920248</c:v>
                </c:pt>
                <c:pt idx="29">
                  <c:v>3.4805963741270007</c:v>
                </c:pt>
                <c:pt idx="30">
                  <c:v>3.8147328522588135</c:v>
                </c:pt>
                <c:pt idx="31">
                  <c:v>4.1784096893777791</c:v>
                </c:pt>
                <c:pt idx="32">
                  <c:v>4.5743872309106131</c:v>
                </c:pt>
                <c:pt idx="33">
                  <c:v>5.0056798685832389</c:v>
                </c:pt>
                <c:pt idx="34">
                  <c:v>5.475579428884302</c:v>
                </c:pt>
                <c:pt idx="35">
                  <c:v>5.9876807711348281</c:v>
                </c:pt>
                <c:pt idx="36">
                  <c:v>6.5459111580006981</c:v>
                </c:pt>
                <c:pt idx="37">
                  <c:v>7.1545598104111079</c:v>
                </c:pt>
                <c:pt idx="38">
                  <c:v>7.8183123120024662</c:v>
                </c:pt>
                <c:pt idx="39">
                  <c:v>8.5422853498107703</c:v>
                </c:pt>
                <c:pt idx="40">
                  <c:v>9.3320679904554318</c:v>
                </c:pt>
                <c:pt idx="41">
                  <c:v>10.193762294882626</c:v>
                </c:pt>
                <c:pt idx="42">
                  <c:v>11.134199791967013</c:v>
                </c:pt>
                <c:pt idx="43">
                  <c:v>12.160868578819972</c:v>
                </c:pt>
                <c:pt idx="44">
                  <c:v>13.281980438302348</c:v>
                </c:pt>
                <c:pt idx="45">
                  <c:v>14.506540355239993</c:v>
                </c:pt>
                <c:pt idx="46">
                  <c:v>15.844425871131127</c:v>
                </c:pt>
                <c:pt idx="47">
                  <c:v>17.30647331564457</c:v>
                </c:pt>
                <c:pt idx="48">
                  <c:v>18.904570680389799</c:v>
                </c:pt>
                <c:pt idx="49">
                  <c:v>20.65176426718282</c:v>
                </c:pt>
                <c:pt idx="50">
                  <c:v>22.562371471782896</c:v>
                </c:pt>
                <c:pt idx="51">
                  <c:v>24.652108743429107</c:v>
                </c:pt>
                <c:pt idx="52">
                  <c:v>26.938229950082519</c:v>
                </c:pt>
                <c:pt idx="53">
                  <c:v>29.439678550906404</c:v>
                </c:pt>
                <c:pt idx="54">
                  <c:v>32.177257149041786</c:v>
                </c:pt>
                <c:pt idx="55">
                  <c:v>35.173812252141133</c:v>
                </c:pt>
                <c:pt idx="56">
                  <c:v>38.454438802181471</c:v>
                </c:pt>
                <c:pt idx="57">
                  <c:v>42.046706511414307</c:v>
                </c:pt>
                <c:pt idx="58">
                  <c:v>45.980906659524571</c:v>
                </c:pt>
                <c:pt idx="59">
                  <c:v>50.290326737150721</c:v>
                </c:pt>
              </c:numCache>
            </c:numRef>
          </c:yVal>
          <c:smooth val="0"/>
        </c:ser>
        <c:dLbls>
          <c:showLegendKey val="0"/>
          <c:showVal val="0"/>
          <c:showCatName val="0"/>
          <c:showSerName val="0"/>
          <c:showPercent val="0"/>
          <c:showBubbleSize val="0"/>
        </c:dLbls>
        <c:axId val="235765424"/>
        <c:axId val="235767600"/>
      </c:scatterChart>
      <c:valAx>
        <c:axId val="235765424"/>
        <c:scaling>
          <c:orientation val="minMax"/>
        </c:scaling>
        <c:delete val="0"/>
        <c:axPos val="b"/>
        <c:majorGridlines>
          <c:spPr>
            <a:ln>
              <a:solidFill>
                <a:srgbClr val="FFFFFF"/>
              </a:solidFill>
            </a:ln>
          </c:spPr>
        </c:majorGridlines>
        <c:title>
          <c:tx>
            <c:rich>
              <a:bodyPr/>
              <a:lstStyle/>
              <a:p>
                <a:pPr>
                  <a:defRPr b="1" i="0"/>
                </a:pPr>
                <a:r>
                  <a:rPr lang="en-CA"/>
                  <a:t>Years</a:t>
                </a:r>
              </a:p>
            </c:rich>
          </c:tx>
          <c:overlay val="0"/>
        </c:title>
        <c:numFmt formatCode="General" sourceLinked="1"/>
        <c:majorTickMark val="cross"/>
        <c:minorTickMark val="cross"/>
        <c:tickLblPos val="nextTo"/>
        <c:spPr>
          <a:ln w="47625">
            <a:noFill/>
          </a:ln>
        </c:spPr>
        <c:txPr>
          <a:bodyPr/>
          <a:lstStyle/>
          <a:p>
            <a:pPr>
              <a:defRPr/>
            </a:pPr>
            <a:endParaRPr lang="en-US"/>
          </a:p>
        </c:txPr>
        <c:crossAx val="235767600"/>
        <c:crosses val="autoZero"/>
        <c:crossBetween val="midCat"/>
      </c:valAx>
      <c:valAx>
        <c:axId val="235767600"/>
        <c:scaling>
          <c:orientation val="minMax"/>
        </c:scaling>
        <c:delete val="0"/>
        <c:axPos val="l"/>
        <c:majorGridlines>
          <c:spPr>
            <a:ln>
              <a:solidFill>
                <a:srgbClr val="B7B7B7"/>
              </a:solidFill>
            </a:ln>
          </c:spPr>
        </c:majorGridlines>
        <c:title>
          <c:tx>
            <c:rich>
              <a:bodyPr/>
              <a:lstStyle/>
              <a:p>
                <a:pPr>
                  <a:defRPr b="1" i="0"/>
                </a:pPr>
                <a:r>
                  <a:rPr lang="en-CA">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a:latin typeface="Arial" panose="020B0604020202020204" pitchFamily="34" charset="0"/>
                    <a:cs typeface="Arial" panose="020B0604020202020204" pitchFamily="34" charset="0"/>
                  </a:rPr>
                  <a:t> saved by wind energy / Oil sands CO</a:t>
                </a:r>
                <a:r>
                  <a:rPr lang="en-CA" sz="800">
                    <a:latin typeface="Arial" panose="020B0604020202020204" pitchFamily="34" charset="0"/>
                    <a:cs typeface="Arial" panose="020B0604020202020204" pitchFamily="34" charset="0"/>
                  </a:rPr>
                  <a:t>2</a:t>
                </a:r>
              </a:p>
            </c:rich>
          </c:tx>
          <c:overlay val="0"/>
        </c:title>
        <c:numFmt formatCode="0%" sourceLinked="1"/>
        <c:majorTickMark val="cross"/>
        <c:minorTickMark val="cross"/>
        <c:tickLblPos val="nextTo"/>
        <c:spPr>
          <a:ln w="47625">
            <a:noFill/>
          </a:ln>
        </c:spPr>
        <c:txPr>
          <a:bodyPr/>
          <a:lstStyle/>
          <a:p>
            <a:pPr>
              <a:defRPr/>
            </a:pPr>
            <a:endParaRPr lang="en-US"/>
          </a:p>
        </c:txPr>
        <c:crossAx val="235765424"/>
        <c:crosses val="autoZero"/>
        <c:crossBetween val="midCat"/>
      </c:valAx>
      <c:spPr>
        <a:solidFill>
          <a:srgbClr val="FFFFFF"/>
        </a:solidFill>
      </c:spPr>
    </c:plotArea>
    <c:legend>
      <c:legendPos val="r"/>
      <c:overlay val="0"/>
    </c:legend>
    <c:plotVisOnly val="1"/>
    <c:dispBlanksAs val="zero"/>
    <c:showDLblsOverMax val="1"/>
  </c:chart>
  <c:spPr>
    <a:ln w="6350" cmpd="sng"/>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rPr lang="en-CA"/>
              <a:t>Cumulative Ratio Carbon Saved vs Carbon Burned</a:t>
            </a:r>
          </a:p>
        </c:rich>
      </c:tx>
      <c:layout/>
      <c:overlay val="0"/>
    </c:title>
    <c:autoTitleDeleted val="0"/>
    <c:plotArea>
      <c:layout>
        <c:manualLayout>
          <c:xMode val="edge"/>
          <c:yMode val="edge"/>
          <c:x val="0.16147574142195001"/>
          <c:y val="0.18238649400540299"/>
          <c:w val="0.73226796775398995"/>
          <c:h val="0.56154907024259004"/>
        </c:manualLayout>
      </c:layout>
      <c:lineChart>
        <c:grouping val="standard"/>
        <c:varyColors val="0"/>
        <c:ser>
          <c:idx val="0"/>
          <c:order val="0"/>
          <c:tx>
            <c:strRef>
              <c:f>'Development Plan (Solar)'!$D$20</c:f>
              <c:strCache>
                <c:ptCount val="1"/>
                <c:pt idx="0">
                  <c:v>Cumulative ratio carbon saved/carbon burned</c:v>
                </c:pt>
              </c:strCache>
            </c:strRef>
          </c:tx>
          <c:spPr>
            <a:ln w="25400" cmpd="sng">
              <a:solidFill>
                <a:srgbClr val="9BBB59"/>
              </a:solidFill>
            </a:ln>
          </c:spPr>
          <c:marker>
            <c:symbol val="none"/>
          </c:marker>
          <c:cat>
            <c:numRef>
              <c:f>'Development Plan (Solar)'!$B$21:$B$75</c:f>
              <c:numCache>
                <c:formatCode>General</c:formatCode>
                <c:ptCount val="5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numCache>
            </c:numRef>
          </c:cat>
          <c:val>
            <c:numRef>
              <c:f>'Development Plan (Solar)'!$D$21:$D$75</c:f>
              <c:numCache>
                <c:formatCode>0%</c:formatCode>
                <c:ptCount val="55"/>
                <c:pt idx="0">
                  <c:v>0</c:v>
                </c:pt>
                <c:pt idx="1">
                  <c:v>7.596026293916619E-3</c:v>
                </c:pt>
                <c:pt idx="2">
                  <c:v>1.5225052700449311E-2</c:v>
                </c:pt>
                <c:pt idx="3">
                  <c:v>2.2887240645045107E-2</c:v>
                </c:pt>
                <c:pt idx="4">
                  <c:v>3.0582752254154175E-2</c:v>
                </c:pt>
                <c:pt idx="5">
                  <c:v>3.8311750485045246E-2</c:v>
                </c:pt>
                <c:pt idx="6">
                  <c:v>4.6074399144350631E-2</c:v>
                </c:pt>
                <c:pt idx="7">
                  <c:v>5.3870862941383303E-2</c:v>
                </c:pt>
                <c:pt idx="8">
                  <c:v>6.1701307419365616E-2</c:v>
                </c:pt>
                <c:pt idx="9">
                  <c:v>6.9565898966865422E-2</c:v>
                </c:pt>
                <c:pt idx="10">
                  <c:v>7.7464804858398503E-2</c:v>
                </c:pt>
                <c:pt idx="11">
                  <c:v>8.5398193209822143E-2</c:v>
                </c:pt>
                <c:pt idx="12">
                  <c:v>9.3366233074145766E-2</c:v>
                </c:pt>
                <c:pt idx="13">
                  <c:v>0.10136909432937448</c:v>
                </c:pt>
                <c:pt idx="14">
                  <c:v>0.1094069477669936</c:v>
                </c:pt>
                <c:pt idx="15">
                  <c:v>0.11747996507425035</c:v>
                </c:pt>
                <c:pt idx="16">
                  <c:v>0.12558831884559768</c:v>
                </c:pt>
                <c:pt idx="17">
                  <c:v>0.13373218256868757</c:v>
                </c:pt>
                <c:pt idx="18">
                  <c:v>0.14191173063528462</c:v>
                </c:pt>
                <c:pt idx="19">
                  <c:v>0.1501271383489057</c:v>
                </c:pt>
                <c:pt idx="20">
                  <c:v>0.15837858193027671</c:v>
                </c:pt>
                <c:pt idx="21">
                  <c:v>0.16666623852130116</c:v>
                </c:pt>
                <c:pt idx="22">
                  <c:v>0.17499028618799353</c:v>
                </c:pt>
                <c:pt idx="23">
                  <c:v>0.18335090392267919</c:v>
                </c:pt>
                <c:pt idx="24">
                  <c:v>0.19174827166124431</c:v>
                </c:pt>
                <c:pt idx="25">
                  <c:v>0.20018257029640493</c:v>
                </c:pt>
                <c:pt idx="26">
                  <c:v>0.20809131303039133</c:v>
                </c:pt>
                <c:pt idx="27">
                  <c:v>0.21552789710368545</c:v>
                </c:pt>
                <c:pt idx="28">
                  <c:v>0.22253831403717189</c:v>
                </c:pt>
                <c:pt idx="29">
                  <c:v>0.22916238352929119</c:v>
                </c:pt>
                <c:pt idx="30">
                  <c:v>0.2354347485343895</c:v>
                </c:pt>
                <c:pt idx="31">
                  <c:v>0.24138568375170716</c:v>
                </c:pt>
                <c:pt idx="32">
                  <c:v>0.24704175709276682</c:v>
                </c:pt>
                <c:pt idx="33">
                  <c:v>0.25242637446503957</c:v>
                </c:pt>
                <c:pt idx="34">
                  <c:v>0.25756023111961723</c:v>
                </c:pt>
                <c:pt idx="35">
                  <c:v>0.26246168777427287</c:v>
                </c:pt>
                <c:pt idx="36">
                  <c:v>0.26714708577516894</c:v>
                </c:pt>
                <c:pt idx="37">
                  <c:v>0.27163101243469923</c:v>
                </c:pt>
                <c:pt idx="38">
                  <c:v>0.27592652560803899</c:v>
                </c:pt>
                <c:pt idx="39">
                  <c:v>0.28004534453453195</c:v>
                </c:pt>
                <c:pt idx="40">
                  <c:v>0.28399801277006653</c:v>
                </c:pt>
                <c:pt idx="41">
                  <c:v>0.2877940378248538</c:v>
                </c:pt>
                <c:pt idx="42">
                  <c:v>0.29144201133497732</c:v>
                </c:pt>
                <c:pt idx="43">
                  <c:v>0.29494971283806326</c:v>
                </c:pt>
                <c:pt idx="44">
                  <c:v>0.29832419970353941</c:v>
                </c:pt>
                <c:pt idx="45">
                  <c:v>0.30157188532439472</c:v>
                </c:pt>
                <c:pt idx="46">
                  <c:v>0.30469860733529791</c:v>
                </c:pt>
                <c:pt idx="47">
                  <c:v>0.30770968730345127</c:v>
                </c:pt>
                <c:pt idx="48">
                  <c:v>0.31060998310241256</c:v>
                </c:pt>
                <c:pt idx="49">
                  <c:v>0.31340393499326913</c:v>
                </c:pt>
                <c:pt idx="50">
                  <c:v>0.31609560628449779</c:v>
                </c:pt>
                <c:pt idx="51">
                  <c:v>0.31868871931528064</c:v>
                </c:pt>
                <c:pt idx="52">
                  <c:v>0.32118855526674922</c:v>
                </c:pt>
                <c:pt idx="53">
                  <c:v>0.32360001206180766</c:v>
                </c:pt>
                <c:pt idx="54">
                  <c:v>0.32592763939089192</c:v>
                </c:pt>
              </c:numCache>
            </c:numRef>
          </c:val>
          <c:smooth val="0"/>
        </c:ser>
        <c:dLbls>
          <c:showLegendKey val="0"/>
          <c:showVal val="0"/>
          <c:showCatName val="0"/>
          <c:showSerName val="0"/>
          <c:showPercent val="0"/>
          <c:showBubbleSize val="0"/>
        </c:dLbls>
        <c:smooth val="0"/>
        <c:axId val="235768688"/>
        <c:axId val="235769232"/>
      </c:lineChart>
      <c:catAx>
        <c:axId val="235768688"/>
        <c:scaling>
          <c:orientation val="minMax"/>
        </c:scaling>
        <c:delete val="0"/>
        <c:axPos val="b"/>
        <c:title>
          <c:tx>
            <c:rich>
              <a:bodyPr/>
              <a:lstStyle/>
              <a:p>
                <a:pPr>
                  <a:defRPr sz="1100" b="1" i="0"/>
                </a:pPr>
                <a:r>
                  <a:rPr lang="en-CA"/>
                  <a:t>Year</a:t>
                </a:r>
              </a:p>
            </c:rich>
          </c:tx>
          <c:layout/>
          <c:overlay val="0"/>
        </c:title>
        <c:numFmt formatCode="General" sourceLinked="1"/>
        <c:majorTickMark val="cross"/>
        <c:minorTickMark val="cross"/>
        <c:tickLblPos val="nextTo"/>
        <c:txPr>
          <a:bodyPr/>
          <a:lstStyle/>
          <a:p>
            <a:pPr>
              <a:defRPr/>
            </a:pPr>
            <a:endParaRPr lang="en-US"/>
          </a:p>
        </c:txPr>
        <c:crossAx val="235769232"/>
        <c:crosses val="autoZero"/>
        <c:auto val="1"/>
        <c:lblAlgn val="ctr"/>
        <c:lblOffset val="100"/>
        <c:noMultiLvlLbl val="1"/>
      </c:catAx>
      <c:valAx>
        <c:axId val="235769232"/>
        <c:scaling>
          <c:orientation val="minMax"/>
        </c:scaling>
        <c:delete val="0"/>
        <c:axPos val="l"/>
        <c:majorGridlines>
          <c:spPr>
            <a:ln>
              <a:solidFill>
                <a:srgbClr val="B7B7B7"/>
              </a:solidFill>
            </a:ln>
          </c:spPr>
        </c:majorGridlines>
        <c:title>
          <c:tx>
            <c:rich>
              <a:bodyPr/>
              <a:lstStyle/>
              <a:p>
                <a:pPr>
                  <a:defRPr sz="1100" b="1" i="0"/>
                </a:pPr>
                <a:r>
                  <a:rPr lang="en-CA"/>
                  <a:t>CO2 saved by Solar Energy/tar sands CO2</a:t>
                </a:r>
              </a:p>
            </c:rich>
          </c:tx>
          <c:layout/>
          <c:overlay val="0"/>
        </c:title>
        <c:numFmt formatCode="0%" sourceLinked="1"/>
        <c:majorTickMark val="cross"/>
        <c:minorTickMark val="cross"/>
        <c:tickLblPos val="nextTo"/>
        <c:spPr>
          <a:ln w="47625">
            <a:noFill/>
          </a:ln>
        </c:spPr>
        <c:txPr>
          <a:bodyPr/>
          <a:lstStyle/>
          <a:p>
            <a:pPr>
              <a:defRPr/>
            </a:pPr>
            <a:endParaRPr lang="en-US"/>
          </a:p>
        </c:txPr>
        <c:crossAx val="235768688"/>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b="1" i="0"/>
            </a:pPr>
            <a:r>
              <a:rPr lang="en-CA" sz="1800" b="1" i="0" baseline="0">
                <a:effectLst/>
              </a:rPr>
              <a:t>Cumulative Ratio Carbon Saved vs Carbon Burned Using $0.05/kWh Reinvestment Policy</a:t>
            </a:r>
            <a:endParaRPr lang="en-CA">
              <a:effectLst/>
            </a:endParaRPr>
          </a:p>
        </c:rich>
      </c:tx>
      <c:overlay val="0"/>
    </c:title>
    <c:autoTitleDeleted val="0"/>
    <c:plotArea>
      <c:layout>
        <c:manualLayout>
          <c:xMode val="edge"/>
          <c:yMode val="edge"/>
          <c:x val="0.143931318929961"/>
          <c:y val="0.228593128623964"/>
          <c:w val="0.66226101047713892"/>
          <c:h val="0.63769092139618599"/>
        </c:manualLayout>
      </c:layout>
      <c:scatterChart>
        <c:scatterStyle val="lineMarker"/>
        <c:varyColors val="1"/>
        <c:ser>
          <c:idx val="0"/>
          <c:order val="0"/>
          <c:tx>
            <c:v>$3.75/bbl</c:v>
          </c:tx>
          <c:spPr>
            <a:ln w="47625">
              <a:noFill/>
            </a:ln>
          </c:spPr>
          <c:marker>
            <c:symbol val="x"/>
            <c:size val="7"/>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Graphs'!$C$5:$C$64</c:f>
              <c:numCache>
                <c:formatCode>0%</c:formatCode>
                <c:ptCount val="60"/>
                <c:pt idx="0">
                  <c:v>0</c:v>
                </c:pt>
                <c:pt idx="1">
                  <c:v>1.2660043823194366E-3</c:v>
                </c:pt>
                <c:pt idx="2">
                  <c:v>2.5359373031114785E-3</c:v>
                </c:pt>
                <c:pt idx="3">
                  <c:v>3.8098125390352046E-3</c:v>
                </c:pt>
                <c:pt idx="4">
                  <c:v>5.0876438278050764E-3</c:v>
                </c:pt>
                <c:pt idx="5">
                  <c:v>6.3694450304601809E-3</c:v>
                </c:pt>
                <c:pt idx="6">
                  <c:v>7.6552299876400465E-3</c:v>
                </c:pt>
                <c:pt idx="7">
                  <c:v>8.9450126296959087E-3</c:v>
                </c:pt>
                <c:pt idx="8">
                  <c:v>1.023880692685088E-2</c:v>
                </c:pt>
                <c:pt idx="9">
                  <c:v>1.1536626908208626E-2</c:v>
                </c:pt>
                <c:pt idx="10">
                  <c:v>1.2838486634989476E-2</c:v>
                </c:pt>
                <c:pt idx="11">
                  <c:v>1.4144400252056185E-2</c:v>
                </c:pt>
                <c:pt idx="12">
                  <c:v>1.5454381925786366E-2</c:v>
                </c:pt>
                <c:pt idx="13">
                  <c:v>1.676844591984137E-2</c:v>
                </c:pt>
                <c:pt idx="14">
                  <c:v>1.808660651081221E-2</c:v>
                </c:pt>
                <c:pt idx="15">
                  <c:v>1.9408878032859827E-2</c:v>
                </c:pt>
                <c:pt idx="16">
                  <c:v>2.0735274883691333E-2</c:v>
                </c:pt>
                <c:pt idx="17">
                  <c:v>2.2065811506908332E-2</c:v>
                </c:pt>
                <c:pt idx="18">
                  <c:v>2.3400502400426564E-2</c:v>
                </c:pt>
                <c:pt idx="19">
                  <c:v>2.4739362122369681E-2</c:v>
                </c:pt>
                <c:pt idx="20">
                  <c:v>2.608240529527911E-2</c:v>
                </c:pt>
                <c:pt idx="21">
                  <c:v>2.7429646573771518E-2</c:v>
                </c:pt>
                <c:pt idx="22">
                  <c:v>2.878110068836329E-2</c:v>
                </c:pt>
                <c:pt idx="23">
                  <c:v>3.0136782413431151E-2</c:v>
                </c:pt>
                <c:pt idx="24">
                  <c:v>3.1496706574017944E-2</c:v>
                </c:pt>
                <c:pt idx="25">
                  <c:v>3.2860888051067835E-2</c:v>
                </c:pt>
                <c:pt idx="26">
                  <c:v>3.4135563675892197E-2</c:v>
                </c:pt>
                <c:pt idx="27">
                  <c:v>3.5329954277508777E-2</c:v>
                </c:pt>
                <c:pt idx="28">
                  <c:v>3.6452005274288497E-2</c:v>
                </c:pt>
                <c:pt idx="29">
                  <c:v>3.7508599242396579E-2</c:v>
                </c:pt>
                <c:pt idx="30">
                  <c:v>3.8505727316829177E-2</c:v>
                </c:pt>
                <c:pt idx="31">
                  <c:v>3.9448628454755698E-2</c:v>
                </c:pt>
                <c:pt idx="32">
                  <c:v>4.0341903366451937E-2</c:v>
                </c:pt>
                <c:pt idx="33">
                  <c:v>4.118960837513741E-2</c:v>
                </c:pt>
                <c:pt idx="34">
                  <c:v>4.1995333153173706E-2</c:v>
                </c:pt>
                <c:pt idx="35">
                  <c:v>4.2762265513047758E-2</c:v>
                </c:pt>
                <c:pt idx="36">
                  <c:v>4.3493245691709127E-2</c:v>
                </c:pt>
                <c:pt idx="37">
                  <c:v>4.4190812073944818E-2</c:v>
                </c:pt>
                <c:pt idx="38">
                  <c:v>4.4857239841445413E-2</c:v>
                </c:pt>
                <c:pt idx="39">
                  <c:v>4.5494573892664487E-2</c:v>
                </c:pt>
                <c:pt idx="40">
                  <c:v>4.6104656897644085E-2</c:v>
                </c:pt>
                <c:pt idx="41">
                  <c:v>4.6689153335735561E-2</c:v>
                </c:pt>
                <c:pt idx="42">
                  <c:v>4.7249570206390389E-2</c:v>
                </c:pt>
                <c:pt idx="43">
                  <c:v>4.7787274906901267E-2</c:v>
                </c:pt>
                <c:pt idx="44">
                  <c:v>4.8303510735098712E-2</c:v>
                </c:pt>
                <c:pt idx="45">
                  <c:v>4.8799410336091947E-2</c:v>
                </c:pt>
                <c:pt idx="46">
                  <c:v>4.9276007482121062E-2</c:v>
                </c:pt>
                <c:pt idx="47">
                  <c:v>4.9734247339360403E-2</c:v>
                </c:pt>
                <c:pt idx="48">
                  <c:v>5.0174995509353809E-2</c:v>
                </c:pt>
                <c:pt idx="49">
                  <c:v>5.0599045946533049E-2</c:v>
                </c:pt>
                <c:pt idx="50">
                  <c:v>5.1007127982444542E-2</c:v>
                </c:pt>
                <c:pt idx="51">
                  <c:v>5.1399912517020238E-2</c:v>
                </c:pt>
                <c:pt idx="52">
                  <c:v>5.1778239890074233E-2</c:v>
                </c:pt>
                <c:pt idx="53">
                  <c:v>5.2142888965707443E-2</c:v>
                </c:pt>
                <c:pt idx="54">
                  <c:v>5.2494582735170402E-2</c:v>
                </c:pt>
                <c:pt idx="55">
                  <c:v>5.2833993319419487E-2</c:v>
                </c:pt>
                <c:pt idx="56">
                  <c:v>5.3161746438255754E-2</c:v>
                </c:pt>
                <c:pt idx="57">
                  <c:v>5.3478425437282942E-2</c:v>
                </c:pt>
                <c:pt idx="58">
                  <c:v>5.3784574865739537E-2</c:v>
                </c:pt>
                <c:pt idx="59">
                  <c:v>5.4080703741983073E-2</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Graphs'!$D$5:$D$64</c:f>
              <c:numCache>
                <c:formatCode>0%</c:formatCode>
                <c:ptCount val="60"/>
                <c:pt idx="0">
                  <c:v>0</c:v>
                </c:pt>
                <c:pt idx="1">
                  <c:v>2.5320087646388731E-3</c:v>
                </c:pt>
                <c:pt idx="2">
                  <c:v>5.0718746062229569E-3</c:v>
                </c:pt>
                <c:pt idx="3">
                  <c:v>7.6196250780704092E-3</c:v>
                </c:pt>
                <c:pt idx="4">
                  <c:v>1.017528773349939E-2</c:v>
                </c:pt>
                <c:pt idx="5">
                  <c:v>1.2738890190735758E-2</c:v>
                </c:pt>
                <c:pt idx="6">
                  <c:v>1.531046019782077E-2</c:v>
                </c:pt>
                <c:pt idx="7">
                  <c:v>1.7890025551476459E-2</c:v>
                </c:pt>
                <c:pt idx="8">
                  <c:v>2.0477614243147948E-2</c:v>
                </c:pt>
                <c:pt idx="9">
                  <c:v>2.3073254283752676E-2</c:v>
                </c:pt>
                <c:pt idx="10">
                  <c:v>2.5676973836446137E-2</c:v>
                </c:pt>
                <c:pt idx="11">
                  <c:v>2.8288801153189356E-2</c:v>
                </c:pt>
                <c:pt idx="12">
                  <c:v>3.0908764600507718E-2</c:v>
                </c:pt>
                <c:pt idx="13">
                  <c:v>3.353689267421029E-2</c:v>
                </c:pt>
                <c:pt idx="14">
                  <c:v>3.6173213930332203E-2</c:v>
                </c:pt>
                <c:pt idx="15">
                  <c:v>3.8817757063675511E-2</c:v>
                </c:pt>
                <c:pt idx="16">
                  <c:v>4.1470550844086837E-2</c:v>
                </c:pt>
                <c:pt idx="17">
                  <c:v>4.4131624182155244E-2</c:v>
                </c:pt>
                <c:pt idx="18">
                  <c:v>4.6801006071677538E-2</c:v>
                </c:pt>
                <c:pt idx="19">
                  <c:v>4.9478725627273352E-2</c:v>
                </c:pt>
                <c:pt idx="20">
                  <c:v>5.2164812074162764E-2</c:v>
                </c:pt>
                <c:pt idx="21">
                  <c:v>5.4859294740732013E-2</c:v>
                </c:pt>
                <c:pt idx="22">
                  <c:v>5.7562203069970903E-2</c:v>
                </c:pt>
                <c:pt idx="23">
                  <c:v>6.0273566611824023E-2</c:v>
                </c:pt>
                <c:pt idx="24">
                  <c:v>6.2993415032955455E-2</c:v>
                </c:pt>
                <c:pt idx="25">
                  <c:v>6.5721778094302741E-2</c:v>
                </c:pt>
                <c:pt idx="26">
                  <c:v>6.8271129472102551E-2</c:v>
                </c:pt>
                <c:pt idx="27">
                  <c:v>7.0659910794333161E-2</c:v>
                </c:pt>
                <c:pt idx="28">
                  <c:v>7.2904012898683326E-2</c:v>
                </c:pt>
                <c:pt idx="29">
                  <c:v>7.5017200938304163E-2</c:v>
                </c:pt>
                <c:pt idx="30">
                  <c:v>7.7011457183902773E-2</c:v>
                </c:pt>
                <c:pt idx="31">
                  <c:v>7.8897259538273187E-2</c:v>
                </c:pt>
                <c:pt idx="32">
                  <c:v>8.0683809447225821E-2</c:v>
                </c:pt>
                <c:pt idx="33">
                  <c:v>8.2379219533669654E-2</c:v>
                </c:pt>
                <c:pt idx="34">
                  <c:v>8.3990669154868136E-2</c:v>
                </c:pt>
                <c:pt idx="35">
                  <c:v>8.5524533936124011E-2</c:v>
                </c:pt>
                <c:pt idx="36">
                  <c:v>8.6986494351629792E-2</c:v>
                </c:pt>
                <c:pt idx="37">
                  <c:v>8.838162716097335E-2</c:v>
                </c:pt>
                <c:pt idx="38">
                  <c:v>8.9714482748531388E-2</c:v>
                </c:pt>
                <c:pt idx="39">
                  <c:v>9.0989150910634684E-2</c:v>
                </c:pt>
                <c:pt idx="40">
                  <c:v>9.2209316967849855E-2</c:v>
                </c:pt>
                <c:pt idx="41">
                  <c:v>9.3378309889038488E-2</c:v>
                </c:pt>
                <c:pt idx="42">
                  <c:v>9.4499143664203658E-2</c:v>
                </c:pt>
                <c:pt idx="43">
                  <c:v>9.5574553097542023E-2</c:v>
                </c:pt>
                <c:pt idx="44">
                  <c:v>9.6607024776162898E-2</c:v>
                </c:pt>
                <c:pt idx="45">
                  <c:v>9.7598824007875201E-2</c:v>
                </c:pt>
                <c:pt idx="46">
                  <c:v>9.8552018328394358E-2</c:v>
                </c:pt>
                <c:pt idx="47">
                  <c:v>9.9468498078261539E-2</c:v>
                </c:pt>
                <c:pt idx="48">
                  <c:v>0.10034999445219242</c:v>
                </c:pt>
                <c:pt idx="49">
                  <c:v>0.10119809535913722</c:v>
                </c:pt>
                <c:pt idx="50">
                  <c:v>0.10201425946226864</c:v>
                </c:pt>
                <c:pt idx="51">
                  <c:v>0.10279982856152427</c:v>
                </c:pt>
                <c:pt idx="52">
                  <c:v>0.1035564833366005</c:v>
                </c:pt>
                <c:pt idx="53">
                  <c:v>0.10428578151576225</c:v>
                </c:pt>
                <c:pt idx="54">
                  <c:v>0.10498916908156913</c:v>
                </c:pt>
                <c:pt idx="55">
                  <c:v>0.10566799027598824</c:v>
                </c:pt>
                <c:pt idx="56">
                  <c:v>0.10632349654550459</c:v>
                </c:pt>
                <c:pt idx="57">
                  <c:v>0.10695685456759013</c:v>
                </c:pt>
                <c:pt idx="58">
                  <c:v>0.10756915346092143</c:v>
                </c:pt>
                <c:pt idx="59">
                  <c:v>0.10816141125510345</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Graphs'!$E$5:$E$64</c:f>
              <c:numCache>
                <c:formatCode>0%</c:formatCode>
                <c:ptCount val="60"/>
                <c:pt idx="0">
                  <c:v>0</c:v>
                </c:pt>
                <c:pt idx="1">
                  <c:v>3.7980131469583095E-3</c:v>
                </c:pt>
                <c:pt idx="2">
                  <c:v>7.6078120391498321E-3</c:v>
                </c:pt>
                <c:pt idx="3">
                  <c:v>1.1429437811828707E-2</c:v>
                </c:pt>
                <c:pt idx="4">
                  <c:v>1.5262931794972181E-2</c:v>
                </c:pt>
                <c:pt idx="5">
                  <c:v>1.9108335480826733E-2</c:v>
                </c:pt>
                <c:pt idx="6">
                  <c:v>2.2965690463636671E-2</c:v>
                </c:pt>
                <c:pt idx="7">
                  <c:v>2.6835038521937787E-2</c:v>
                </c:pt>
                <c:pt idx="8">
                  <c:v>3.0716421559445019E-2</c:v>
                </c:pt>
                <c:pt idx="9">
                  <c:v>3.460988165929673E-2</c:v>
                </c:pt>
                <c:pt idx="10">
                  <c:v>3.85154610379028E-2</c:v>
                </c:pt>
                <c:pt idx="11">
                  <c:v>4.2433202086776381E-2</c:v>
                </c:pt>
                <c:pt idx="12">
                  <c:v>4.6363147335143871E-2</c:v>
                </c:pt>
                <c:pt idx="13">
                  <c:v>5.0305339512031977E-2</c:v>
                </c:pt>
                <c:pt idx="14">
                  <c:v>5.4259821479667597E-2</c:v>
                </c:pt>
                <c:pt idx="15">
                  <c:v>5.8226636240533536E-2</c:v>
                </c:pt>
                <c:pt idx="16">
                  <c:v>6.220582698775115E-2</c:v>
                </c:pt>
                <c:pt idx="17">
                  <c:v>6.6197437073761148E-2</c:v>
                </c:pt>
                <c:pt idx="18">
                  <c:v>7.0201509988894531E-2</c:v>
                </c:pt>
                <c:pt idx="19">
                  <c:v>7.4218089404789356E-2</c:v>
                </c:pt>
                <c:pt idx="20">
                  <c:v>7.824721914976733E-2</c:v>
                </c:pt>
                <c:pt idx="21">
                  <c:v>8.2288943226330291E-2</c:v>
                </c:pt>
                <c:pt idx="22">
                  <c:v>8.6343305790227379E-2</c:v>
                </c:pt>
                <c:pt idx="23">
                  <c:v>9.0410351167209232E-2</c:v>
                </c:pt>
                <c:pt idx="24">
                  <c:v>9.4490123850183474E-2</c:v>
                </c:pt>
                <c:pt idx="25">
                  <c:v>9.8582668497026446E-2</c:v>
                </c:pt>
                <c:pt idx="26">
                  <c:v>0.10240669561448731</c:v>
                </c:pt>
                <c:pt idx="27">
                  <c:v>0.10598986764496859</c:v>
                </c:pt>
                <c:pt idx="28">
                  <c:v>0.10935602085880766</c:v>
                </c:pt>
                <c:pt idx="29">
                  <c:v>0.11252580298471335</c:v>
                </c:pt>
                <c:pt idx="30">
                  <c:v>0.11551718741529704</c:v>
                </c:pt>
                <c:pt idx="31">
                  <c:v>0.11834589101123691</c:v>
                </c:pt>
                <c:pt idx="32">
                  <c:v>0.1210257159174459</c:v>
                </c:pt>
                <c:pt idx="33">
                  <c:v>0.12356883110455673</c:v>
                </c:pt>
                <c:pt idx="34">
                  <c:v>0.12598600557938988</c:v>
                </c:pt>
                <c:pt idx="35">
                  <c:v>0.12828680278110033</c:v>
                </c:pt>
                <c:pt idx="36">
                  <c:v>0.13047974342204782</c:v>
                </c:pt>
                <c:pt idx="37">
                  <c:v>0.13257244264769669</c:v>
                </c:pt>
                <c:pt idx="38">
                  <c:v>0.13457172604506357</c:v>
                </c:pt>
                <c:pt idx="39">
                  <c:v>0.13648372829857877</c:v>
                </c:pt>
                <c:pt idx="40">
                  <c:v>0.13831397739900575</c:v>
                </c:pt>
                <c:pt idx="41">
                  <c:v>0.14006746678542498</c:v>
                </c:pt>
                <c:pt idx="42">
                  <c:v>0.14174871745712181</c:v>
                </c:pt>
                <c:pt idx="43">
                  <c:v>0.14336183161567165</c:v>
                </c:pt>
                <c:pt idx="44">
                  <c:v>0.1449105391374384</c:v>
                </c:pt>
                <c:pt idx="45">
                  <c:v>0.14639823798444243</c:v>
                </c:pt>
                <c:pt idx="46">
                  <c:v>0.14782802947296686</c:v>
                </c:pt>
                <c:pt idx="47">
                  <c:v>0.14920274910924733</c:v>
                </c:pt>
                <c:pt idx="48">
                  <c:v>0.15052499368115477</c:v>
                </c:pt>
                <c:pt idx="49">
                  <c:v>0.15179714505993158</c:v>
                </c:pt>
                <c:pt idx="50">
                  <c:v>0.15302139123226832</c:v>
                </c:pt>
                <c:pt idx="51">
                  <c:v>0.15419974489811297</c:v>
                </c:pt>
                <c:pt idx="52">
                  <c:v>0.15533472706970039</c:v>
                </c:pt>
                <c:pt idx="53">
                  <c:v>0.15642867434708377</c:v>
                </c:pt>
                <c:pt idx="54">
                  <c:v>0.15748375570412065</c:v>
                </c:pt>
                <c:pt idx="55">
                  <c:v>0.15850198750377845</c:v>
                </c:pt>
                <c:pt idx="56">
                  <c:v>0.15948524691921662</c:v>
                </c:pt>
                <c:pt idx="57">
                  <c:v>0.16043528396648091</c:v>
                </c:pt>
                <c:pt idx="58">
                  <c:v>0.16135373231353384</c:v>
                </c:pt>
                <c:pt idx="59">
                  <c:v>0.16224211901487307</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Graphs'!$F$5:$F$64</c:f>
              <c:numCache>
                <c:formatCode>0%</c:formatCode>
                <c:ptCount val="60"/>
                <c:pt idx="0">
                  <c:v>0</c:v>
                </c:pt>
                <c:pt idx="1">
                  <c:v>5.0640175292777463E-3</c:v>
                </c:pt>
                <c:pt idx="2">
                  <c:v>1.0143749342261308E-2</c:v>
                </c:pt>
                <c:pt idx="3">
                  <c:v>1.5239250448225461E-2</c:v>
                </c:pt>
                <c:pt idx="4">
                  <c:v>2.035057585644497E-2</c:v>
                </c:pt>
                <c:pt idx="5">
                  <c:v>2.5477780835825411E-2</c:v>
                </c:pt>
                <c:pt idx="6">
                  <c:v>3.0620920896358081E-2</c:v>
                </c:pt>
                <c:pt idx="7">
                  <c:v>3.5780051687122214E-2</c:v>
                </c:pt>
                <c:pt idx="8">
                  <c:v>4.0955229135372882E-2</c:v>
                </c:pt>
                <c:pt idx="9">
                  <c:v>4.6146509307453121E-2</c:v>
                </c:pt>
                <c:pt idx="10">
                  <c:v>5.1353948522593056E-2</c:v>
                </c:pt>
                <c:pt idx="11">
                  <c:v>5.6577603279994192E-2</c:v>
                </c:pt>
                <c:pt idx="12">
                  <c:v>6.1817530309439213E-2</c:v>
                </c:pt>
                <c:pt idx="13">
                  <c:v>6.7073786572394337E-2</c:v>
                </c:pt>
                <c:pt idx="14">
                  <c:v>7.2346429210744537E-2</c:v>
                </c:pt>
                <c:pt idx="15">
                  <c:v>7.7635515587774248E-2</c:v>
                </c:pt>
                <c:pt idx="16">
                  <c:v>8.294110326886707E-2</c:v>
                </c:pt>
                <c:pt idx="17">
                  <c:v>8.8263250051910658E-2</c:v>
                </c:pt>
                <c:pt idx="18">
                  <c:v>9.3602013947105878E-2</c:v>
                </c:pt>
                <c:pt idx="19">
                  <c:v>9.8957453182305352E-2</c:v>
                </c:pt>
                <c:pt idx="20">
                  <c:v>0.10432962620682683</c:v>
                </c:pt>
                <c:pt idx="21">
                  <c:v>0.10971859167652438</c:v>
                </c:pt>
                <c:pt idx="22">
                  <c:v>0.11512440847661898</c:v>
                </c:pt>
                <c:pt idx="23">
                  <c:v>0.12054713570636753</c:v>
                </c:pt>
                <c:pt idx="24">
                  <c:v>0.12598683268298932</c:v>
                </c:pt>
                <c:pt idx="25">
                  <c:v>0.13144355894468623</c:v>
                </c:pt>
                <c:pt idx="26">
                  <c:v>0.13654226184341567</c:v>
                </c:pt>
                <c:pt idx="27">
                  <c:v>0.14131982462078313</c:v>
                </c:pt>
                <c:pt idx="28">
                  <c:v>0.14580802896665293</c:v>
                </c:pt>
                <c:pt idx="29">
                  <c:v>0.15003440518690098</c:v>
                </c:pt>
                <c:pt idx="30">
                  <c:v>0.1540229178100074</c:v>
                </c:pt>
                <c:pt idx="31">
                  <c:v>0.15779452264241309</c:v>
                </c:pt>
                <c:pt idx="32">
                  <c:v>0.16136762256468698</c:v>
                </c:pt>
                <c:pt idx="33">
                  <c:v>0.16475844284725827</c:v>
                </c:pt>
                <c:pt idx="34">
                  <c:v>0.16798134218194413</c:v>
                </c:pt>
                <c:pt idx="35">
                  <c:v>0.1710490718207997</c:v>
                </c:pt>
                <c:pt idx="36">
                  <c:v>0.17397299272402839</c:v>
                </c:pt>
                <c:pt idx="37">
                  <c:v>0.17676325840088314</c:v>
                </c:pt>
                <c:pt idx="38">
                  <c:v>0.17942896964116969</c:v>
                </c:pt>
                <c:pt idx="39">
                  <c:v>0.18197830602728823</c:v>
                </c:pt>
                <c:pt idx="40">
                  <c:v>0.18441863820061047</c:v>
                </c:pt>
                <c:pt idx="41">
                  <c:v>0.1867566240898027</c:v>
                </c:pt>
                <c:pt idx="42">
                  <c:v>0.18899829169382745</c:v>
                </c:pt>
                <c:pt idx="43">
                  <c:v>0.19114911061175793</c:v>
                </c:pt>
                <c:pt idx="44">
                  <c:v>0.1932140540093211</c:v>
                </c:pt>
                <c:pt idx="45">
                  <c:v>0.19519765250284782</c:v>
                </c:pt>
                <c:pt idx="46">
                  <c:v>0.19710404118099339</c:v>
                </c:pt>
                <c:pt idx="47">
                  <c:v>0.19893700071628892</c:v>
                </c:pt>
                <c:pt idx="48">
                  <c:v>0.20069999349031245</c:v>
                </c:pt>
                <c:pt idx="49">
                  <c:v>0.20239619533710626</c:v>
                </c:pt>
                <c:pt idx="50">
                  <c:v>0.20402852357498297</c:v>
                </c:pt>
                <c:pt idx="51">
                  <c:v>0.20559966180389219</c:v>
                </c:pt>
                <c:pt idx="52">
                  <c:v>0.20711297137594747</c:v>
                </c:pt>
                <c:pt idx="53">
                  <c:v>0.20857156774815058</c:v>
                </c:pt>
                <c:pt idx="54">
                  <c:v>0.20997834289313927</c:v>
                </c:pt>
                <c:pt idx="55">
                  <c:v>0.21133598529487471</c:v>
                </c:pt>
                <c:pt idx="56">
                  <c:v>0.21264699784635213</c:v>
                </c:pt>
                <c:pt idx="57">
                  <c:v>0.2139137139025388</c:v>
                </c:pt>
                <c:pt idx="58">
                  <c:v>0.21513831169420886</c:v>
                </c:pt>
                <c:pt idx="59">
                  <c:v>0.21632282729390423</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Graphs'!$G$5:$G$64</c:f>
              <c:numCache>
                <c:formatCode>0%</c:formatCode>
                <c:ptCount val="60"/>
                <c:pt idx="0">
                  <c:v>0</c:v>
                </c:pt>
                <c:pt idx="1">
                  <c:v>6.3300219115971839E-3</c:v>
                </c:pt>
                <c:pt idx="2">
                  <c:v>1.2679686775188187E-2</c:v>
                </c:pt>
                <c:pt idx="3">
                  <c:v>1.9049063181983766E-2</c:v>
                </c:pt>
                <c:pt idx="4">
                  <c:v>2.5438219995807004E-2</c:v>
                </c:pt>
                <c:pt idx="5">
                  <c:v>3.1847226255731789E-2</c:v>
                </c:pt>
                <c:pt idx="6">
                  <c:v>3.8276151329079487E-2</c:v>
                </c:pt>
                <c:pt idx="7">
                  <c:v>4.4725064852306637E-2</c:v>
                </c:pt>
                <c:pt idx="8">
                  <c:v>5.119403666802895E-2</c:v>
                </c:pt>
                <c:pt idx="9">
                  <c:v>5.7683136916664886E-2</c:v>
                </c:pt>
                <c:pt idx="10">
                  <c:v>6.4192435971879111E-2</c:v>
                </c:pt>
                <c:pt idx="11">
                  <c:v>7.0722004473212002E-2</c:v>
                </c:pt>
                <c:pt idx="12">
                  <c:v>7.7271913313691959E-2</c:v>
                </c:pt>
                <c:pt idx="13">
                  <c:v>8.3842233688391873E-2</c:v>
                </c:pt>
                <c:pt idx="14">
                  <c:v>9.0433037019710727E-2</c:v>
                </c:pt>
                <c:pt idx="15">
                  <c:v>9.7044395032376538E-2</c:v>
                </c:pt>
                <c:pt idx="16">
                  <c:v>0.10367637968743458</c:v>
                </c:pt>
                <c:pt idx="17">
                  <c:v>0.11032906322478327</c:v>
                </c:pt>
                <c:pt idx="18">
                  <c:v>0.11700251815128324</c:v>
                </c:pt>
                <c:pt idx="19">
                  <c:v>0.12369681725190601</c:v>
                </c:pt>
                <c:pt idx="20">
                  <c:v>0.13041203357915232</c:v>
                </c:pt>
                <c:pt idx="21">
                  <c:v>0.13714824046305837</c:v>
                </c:pt>
                <c:pt idx="22">
                  <c:v>0.14390551150165942</c:v>
                </c:pt>
                <c:pt idx="23">
                  <c:v>0.1506839205700643</c:v>
                </c:pt>
                <c:pt idx="24">
                  <c:v>0.15748354181177432</c:v>
                </c:pt>
                <c:pt idx="25">
                  <c:v>0.16430444966196264</c:v>
                </c:pt>
                <c:pt idx="26">
                  <c:v>0.17067782830312694</c:v>
                </c:pt>
                <c:pt idx="27">
                  <c:v>0.17664978179132079</c:v>
                </c:pt>
                <c:pt idx="28">
                  <c:v>0.18226003723564838</c:v>
                </c:pt>
                <c:pt idx="29">
                  <c:v>0.18754300750592251</c:v>
                </c:pt>
                <c:pt idx="30">
                  <c:v>0.19252864828009447</c:v>
                </c:pt>
                <c:pt idx="31">
                  <c:v>0.19724315432227008</c:v>
                </c:pt>
                <c:pt idx="32">
                  <c:v>0.20170952922372945</c:v>
                </c:pt>
                <c:pt idx="33">
                  <c:v>0.20594805458995982</c:v>
                </c:pt>
                <c:pt idx="34">
                  <c:v>0.20997667876224435</c:v>
                </c:pt>
                <c:pt idx="35">
                  <c:v>0.21381134080640937</c:v>
                </c:pt>
                <c:pt idx="36">
                  <c:v>0.21746624192075326</c:v>
                </c:pt>
                <c:pt idx="37">
                  <c:v>0.22095407400034089</c:v>
                </c:pt>
                <c:pt idx="38">
                  <c:v>0.22428621303755986</c:v>
                </c:pt>
                <c:pt idx="39">
                  <c:v>0.22747288351259387</c:v>
                </c:pt>
                <c:pt idx="40">
                  <c:v>0.23052329871725458</c:v>
                </c:pt>
                <c:pt idx="41">
                  <c:v>0.23344578106036942</c:v>
                </c:pt>
                <c:pt idx="42">
                  <c:v>0.23624786555014379</c:v>
                </c:pt>
                <c:pt idx="43">
                  <c:v>0.23893638918299384</c:v>
                </c:pt>
                <c:pt idx="44">
                  <c:v>0.24151756841386843</c:v>
                </c:pt>
                <c:pt idx="45">
                  <c:v>0.24399706651327999</c:v>
                </c:pt>
                <c:pt idx="46">
                  <c:v>0.24638005234213811</c:v>
                </c:pt>
                <c:pt idx="47">
                  <c:v>0.2486712517472747</c:v>
                </c:pt>
                <c:pt idx="48">
                  <c:v>0.25087499270337904</c:v>
                </c:pt>
                <c:pt idx="49">
                  <c:v>0.25299524500674492</c:v>
                </c:pt>
                <c:pt idx="50">
                  <c:v>0.25503565529916544</c:v>
                </c:pt>
                <c:pt idx="51">
                  <c:v>0.25699957808056606</c:v>
                </c:pt>
                <c:pt idx="52">
                  <c:v>0.25889121504291501</c:v>
                </c:pt>
                <c:pt idx="53">
                  <c:v>0.26071446050735247</c:v>
                </c:pt>
                <c:pt idx="54">
                  <c:v>0.26247292944488243</c:v>
                </c:pt>
                <c:pt idx="55">
                  <c:v>0.26416998245312101</c:v>
                </c:pt>
                <c:pt idx="56">
                  <c:v>0.26580874815174033</c:v>
                </c:pt>
                <c:pt idx="57">
                  <c:v>0.26739214322756916</c:v>
                </c:pt>
                <c:pt idx="58">
                  <c:v>0.26892289046761197</c:v>
                </c:pt>
                <c:pt idx="59">
                  <c:v>0.27040353496929392</c:v>
                </c:pt>
              </c:numCache>
            </c:numRef>
          </c:yVal>
          <c:smooth val="1"/>
        </c:ser>
        <c:ser>
          <c:idx val="5"/>
          <c:order val="5"/>
          <c:tx>
            <c:v>$22.5/bbl</c:v>
          </c:tx>
          <c:spPr>
            <a:ln w="19050">
              <a:noFill/>
            </a:ln>
          </c:spPr>
          <c:marker>
            <c:symbol val="square"/>
            <c:size val="5"/>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Graphs'!$H$5:$H$64</c:f>
              <c:numCache>
                <c:formatCode>0%</c:formatCode>
                <c:ptCount val="60"/>
                <c:pt idx="0">
                  <c:v>0</c:v>
                </c:pt>
                <c:pt idx="1">
                  <c:v>7.596026293916619E-3</c:v>
                </c:pt>
                <c:pt idx="2">
                  <c:v>1.5215624078299664E-2</c:v>
                </c:pt>
                <c:pt idx="3">
                  <c:v>2.2858875721018964E-2</c:v>
                </c:pt>
                <c:pt idx="4">
                  <c:v>3.0525863823612082E-2</c:v>
                </c:pt>
                <c:pt idx="5">
                  <c:v>3.8216671351099671E-2</c:v>
                </c:pt>
                <c:pt idx="6">
                  <c:v>4.593138148362505E-2</c:v>
                </c:pt>
                <c:pt idx="7">
                  <c:v>5.3670077725406419E-2</c:v>
                </c:pt>
                <c:pt idx="8">
                  <c:v>6.1432843941054235E-2</c:v>
                </c:pt>
                <c:pt idx="9">
                  <c:v>6.9219764253264329E-2</c:v>
                </c:pt>
                <c:pt idx="10">
                  <c:v>7.7030923137931584E-2</c:v>
                </c:pt>
                <c:pt idx="11">
                  <c:v>8.4866405341891341E-2</c:v>
                </c:pt>
                <c:pt idx="12">
                  <c:v>9.2726295958455926E-2</c:v>
                </c:pt>
                <c:pt idx="13">
                  <c:v>0.10061068041494321</c:v>
                </c:pt>
                <c:pt idx="14">
                  <c:v>0.10851964443923072</c:v>
                </c:pt>
                <c:pt idx="15">
                  <c:v>0.11645327406319221</c:v>
                </c:pt>
                <c:pt idx="16">
                  <c:v>0.12441165564783008</c:v>
                </c:pt>
                <c:pt idx="17">
                  <c:v>0.13239487590003016</c:v>
                </c:pt>
                <c:pt idx="18">
                  <c:v>0.14040302182253422</c:v>
                </c:pt>
                <c:pt idx="19">
                  <c:v>0.14843618075680967</c:v>
                </c:pt>
                <c:pt idx="20">
                  <c:v>0.15649444035803595</c:v>
                </c:pt>
                <c:pt idx="21">
                  <c:v>0.16457788863001885</c:v>
                </c:pt>
                <c:pt idx="22">
                  <c:v>0.17268661388326703</c:v>
                </c:pt>
                <c:pt idx="23">
                  <c:v>0.18082070476845716</c:v>
                </c:pt>
                <c:pt idx="24">
                  <c:v>0.1889802502707118</c:v>
                </c:pt>
                <c:pt idx="25">
                  <c:v>0.19716533970519751</c:v>
                </c:pt>
                <c:pt idx="26">
                  <c:v>0.2048133940993373</c:v>
                </c:pt>
                <c:pt idx="27">
                  <c:v>0.21197973830814512</c:v>
                </c:pt>
                <c:pt idx="28">
                  <c:v>0.21871204487347237</c:v>
                </c:pt>
                <c:pt idx="29">
                  <c:v>0.22505160924077466</c:v>
                </c:pt>
                <c:pt idx="30">
                  <c:v>0.23103437819741915</c:v>
                </c:pt>
                <c:pt idx="31">
                  <c:v>0.23669178546663849</c:v>
                </c:pt>
                <c:pt idx="32">
                  <c:v>0.24205143536351026</c:v>
                </c:pt>
                <c:pt idx="33">
                  <c:v>0.24713766580576352</c:v>
                </c:pt>
                <c:pt idx="34">
                  <c:v>0.25197201481957388</c:v>
                </c:pt>
                <c:pt idx="35">
                  <c:v>0.25657360928357531</c:v>
                </c:pt>
                <c:pt idx="36">
                  <c:v>0.26095949063330176</c:v>
                </c:pt>
                <c:pt idx="37">
                  <c:v>0.26514488914886086</c:v>
                </c:pt>
                <c:pt idx="38">
                  <c:v>0.26914345600456058</c:v>
                </c:pt>
                <c:pt idx="39">
                  <c:v>0.27296746057924476</c:v>
                </c:pt>
                <c:pt idx="40">
                  <c:v>0.27662795883495372</c:v>
                </c:pt>
                <c:pt idx="41">
                  <c:v>0.28013493766003489</c:v>
                </c:pt>
                <c:pt idx="42">
                  <c:v>0.28349743905324143</c:v>
                </c:pt>
                <c:pt idx="43">
                  <c:v>0.28672366741788979</c:v>
                </c:pt>
                <c:pt idx="44">
                  <c:v>0.28982108249820432</c:v>
                </c:pt>
                <c:pt idx="45">
                  <c:v>0.2927964802273943</c:v>
                </c:pt>
                <c:pt idx="46">
                  <c:v>0.29565606322984178</c:v>
                </c:pt>
                <c:pt idx="47">
                  <c:v>0.29840550252674314</c:v>
                </c:pt>
                <c:pt idx="48">
                  <c:v>0.30104999168595703</c:v>
                </c:pt>
                <c:pt idx="49">
                  <c:v>0.30359429445829372</c:v>
                </c:pt>
                <c:pt idx="50">
                  <c:v>0.30604278681717051</c:v>
                </c:pt>
                <c:pt idx="51">
                  <c:v>0.30839949416251677</c:v>
                </c:pt>
                <c:pt idx="52">
                  <c:v>0.31066945852618144</c:v>
                </c:pt>
                <c:pt idx="53">
                  <c:v>0.31285735309346707</c:v>
                </c:pt>
                <c:pt idx="54">
                  <c:v>0.31496751581960447</c:v>
                </c:pt>
                <c:pt idx="55">
                  <c:v>0.31700397943055286</c:v>
                </c:pt>
                <c:pt idx="56">
                  <c:v>0.31897049827265384</c:v>
                </c:pt>
                <c:pt idx="57">
                  <c:v>0.32087057237801997</c:v>
                </c:pt>
                <c:pt idx="58">
                  <c:v>0.32270746908259612</c:v>
                </c:pt>
                <c:pt idx="59">
                  <c:v>0.32448424249539576</c:v>
                </c:pt>
              </c:numCache>
            </c:numRef>
          </c:yVal>
          <c:smooth val="0"/>
        </c:ser>
        <c:dLbls>
          <c:showLegendKey val="0"/>
          <c:showVal val="0"/>
          <c:showCatName val="0"/>
          <c:showSerName val="0"/>
          <c:showPercent val="0"/>
          <c:showBubbleSize val="0"/>
        </c:dLbls>
        <c:axId val="235757808"/>
        <c:axId val="235761072"/>
      </c:scatterChart>
      <c:valAx>
        <c:axId val="235757808"/>
        <c:scaling>
          <c:orientation val="minMax"/>
        </c:scaling>
        <c:delete val="0"/>
        <c:axPos val="b"/>
        <c:majorGridlines>
          <c:spPr>
            <a:ln>
              <a:solidFill>
                <a:srgbClr val="FFFFFF"/>
              </a:solidFill>
            </a:ln>
          </c:spPr>
        </c:majorGridlines>
        <c:title>
          <c:tx>
            <c:rich>
              <a:bodyPr/>
              <a:lstStyle/>
              <a:p>
                <a:pPr>
                  <a:defRPr b="1" i="0">
                    <a:latin typeface="Arial" panose="020B0604020202020204" pitchFamily="34" charset="0"/>
                    <a:cs typeface="Arial" panose="020B0604020202020204" pitchFamily="34" charset="0"/>
                  </a:defRPr>
                </a:pPr>
                <a:r>
                  <a:rPr lang="en-CA">
                    <a:latin typeface="Arial" panose="020B0604020202020204" pitchFamily="34" charset="0"/>
                    <a:cs typeface="Arial" panose="020B0604020202020204" pitchFamily="34" charset="0"/>
                  </a:rPr>
                  <a:t>Years</a:t>
                </a:r>
              </a:p>
            </c:rich>
          </c:tx>
          <c:overlay val="0"/>
        </c:title>
        <c:numFmt formatCode="General" sourceLinked="1"/>
        <c:majorTickMark val="cross"/>
        <c:minorTickMark val="cross"/>
        <c:tickLblPos val="nextTo"/>
        <c:spPr>
          <a:ln w="47625">
            <a:noFill/>
          </a:ln>
        </c:spPr>
        <c:txPr>
          <a:bodyPr/>
          <a:lstStyle/>
          <a:p>
            <a:pPr>
              <a:defRPr/>
            </a:pPr>
            <a:endParaRPr lang="en-US"/>
          </a:p>
        </c:txPr>
        <c:crossAx val="235761072"/>
        <c:crosses val="autoZero"/>
        <c:crossBetween val="midCat"/>
      </c:valAx>
      <c:valAx>
        <c:axId val="235761072"/>
        <c:scaling>
          <c:orientation val="minMax"/>
        </c:scaling>
        <c:delete val="0"/>
        <c:axPos val="l"/>
        <c:majorGridlines>
          <c:spPr>
            <a:ln>
              <a:solidFill>
                <a:srgbClr val="B7B7B7"/>
              </a:solidFill>
            </a:ln>
          </c:spPr>
        </c:majorGridlines>
        <c:title>
          <c:tx>
            <c:rich>
              <a:bodyPr/>
              <a:lstStyle/>
              <a:p>
                <a:pPr>
                  <a:defRPr sz="1000" b="1" i="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sz="1000">
                    <a:latin typeface="Arial" panose="020B0604020202020204" pitchFamily="34" charset="0"/>
                    <a:cs typeface="Arial" panose="020B0604020202020204" pitchFamily="34" charset="0"/>
                  </a:rPr>
                  <a:t> saved by Solar Energy / Oil sands CO</a:t>
                </a:r>
                <a:r>
                  <a:rPr lang="en-CA" sz="800">
                    <a:latin typeface="Arial" panose="020B0604020202020204" pitchFamily="34" charset="0"/>
                    <a:cs typeface="Arial" panose="020B0604020202020204" pitchFamily="34" charset="0"/>
                  </a:rPr>
                  <a:t>2</a:t>
                </a:r>
              </a:p>
            </c:rich>
          </c:tx>
          <c:overlay val="0"/>
        </c:title>
        <c:numFmt formatCode="0%" sourceLinked="1"/>
        <c:majorTickMark val="cross"/>
        <c:minorTickMark val="cross"/>
        <c:tickLblPos val="nextTo"/>
        <c:spPr>
          <a:ln w="47625">
            <a:noFill/>
          </a:ln>
        </c:spPr>
        <c:txPr>
          <a:bodyPr/>
          <a:lstStyle/>
          <a:p>
            <a:pPr>
              <a:defRPr/>
            </a:pPr>
            <a:endParaRPr lang="en-US"/>
          </a:p>
        </c:txPr>
        <c:crossAx val="235757808"/>
        <c:crosses val="autoZero"/>
        <c:crossBetween val="midCat"/>
      </c:valAx>
      <c:spPr>
        <a:solidFill>
          <a:srgbClr val="FFFFFF"/>
        </a:solidFill>
      </c:spPr>
    </c:plotArea>
    <c:legend>
      <c:legendPos val="r"/>
      <c:layout>
        <c:manualLayout>
          <c:xMode val="edge"/>
          <c:yMode val="edge"/>
          <c:x val="0.87020441040448615"/>
          <c:y val="0.40456457868139617"/>
          <c:w val="8.4715398871629988E-2"/>
          <c:h val="0.35985897285227408"/>
        </c:manualLayout>
      </c:layout>
      <c:overlay val="0"/>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800" b="1" i="0">
                <a:solidFill>
                  <a:srgbClr val="000000"/>
                </a:solidFill>
              </a:defRPr>
            </a:pPr>
            <a:r>
              <a:rPr lang="en-CA"/>
              <a:t>Cumulative Ratio Carbon Saved vs Carbon Burned Using $0.07/kWh Reinvestment Policy</a:t>
            </a:r>
          </a:p>
        </c:rich>
      </c:tx>
      <c:layout>
        <c:manualLayout>
          <c:xMode val="edge"/>
          <c:yMode val="edge"/>
          <c:x val="0.13881752346401727"/>
          <c:y val="2.6800670016750419E-2"/>
        </c:manualLayout>
      </c:layout>
      <c:overlay val="0"/>
    </c:title>
    <c:autoTitleDeleted val="0"/>
    <c:plotArea>
      <c:layout>
        <c:manualLayout>
          <c:xMode val="edge"/>
          <c:yMode val="edge"/>
          <c:x val="0.15510417014032299"/>
          <c:y val="0.21177365986993299"/>
          <c:w val="0.63788056716326902"/>
          <c:h val="0.65347277744128096"/>
        </c:manualLayout>
      </c:layout>
      <c:scatterChart>
        <c:scatterStyle val="lineMarker"/>
        <c:varyColors val="1"/>
        <c:ser>
          <c:idx val="0"/>
          <c:order val="0"/>
          <c:tx>
            <c:v>$3.75/bbl</c:v>
          </c:tx>
          <c:spPr>
            <a:ln w="47625">
              <a:noFill/>
            </a:ln>
          </c:spPr>
          <c:marker>
            <c:symbol val="x"/>
            <c:size val="7"/>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Graphs'!$K$5:$K$64</c:f>
              <c:numCache>
                <c:formatCode>0%</c:formatCode>
                <c:ptCount val="60"/>
                <c:pt idx="0">
                  <c:v>0</c:v>
                </c:pt>
                <c:pt idx="1">
                  <c:v>1.2660043823194366E-3</c:v>
                </c:pt>
                <c:pt idx="2">
                  <c:v>2.5375087185005194E-3</c:v>
                </c:pt>
                <c:pt idx="3">
                  <c:v>3.8145399290113458E-3</c:v>
                </c:pt>
                <c:pt idx="4">
                  <c:v>5.0971251290431079E-3</c:v>
                </c:pt>
                <c:pt idx="5">
                  <c:v>6.3852914013331477E-3</c:v>
                </c:pt>
                <c:pt idx="6">
                  <c:v>7.6790660975221327E-3</c:v>
                </c:pt>
                <c:pt idx="7">
                  <c:v>8.9784766700894761E-3</c:v>
                </c:pt>
                <c:pt idx="8">
                  <c:v>1.0283550702875413E-2</c:v>
                </c:pt>
                <c:pt idx="9">
                  <c:v>1.159431592328982E-2</c:v>
                </c:pt>
                <c:pt idx="10">
                  <c:v>1.2910800207861697E-2</c:v>
                </c:pt>
                <c:pt idx="11">
                  <c:v>1.4233031552560036E-2</c:v>
                </c:pt>
                <c:pt idx="12">
                  <c:v>1.5561038146684976E-2</c:v>
                </c:pt>
                <c:pt idx="13">
                  <c:v>1.6894848303820945E-2</c:v>
                </c:pt>
                <c:pt idx="14">
                  <c:v>1.8234490498297829E-2</c:v>
                </c:pt>
                <c:pt idx="15">
                  <c:v>1.9579993339298375E-2</c:v>
                </c:pt>
                <c:pt idx="16">
                  <c:v>2.0931385577012799E-2</c:v>
                </c:pt>
                <c:pt idx="17">
                  <c:v>2.228869612837775E-2</c:v>
                </c:pt>
                <c:pt idx="18">
                  <c:v>2.3651954074189983E-2</c:v>
                </c:pt>
                <c:pt idx="19">
                  <c:v>2.5021188618141357E-2</c:v>
                </c:pt>
                <c:pt idx="20">
                  <c:v>2.639642913173831E-2</c:v>
                </c:pt>
                <c:pt idx="21">
                  <c:v>2.7777705151566384E-2</c:v>
                </c:pt>
                <c:pt idx="22">
                  <c:v>2.9165046343403469E-2</c:v>
                </c:pt>
                <c:pt idx="23">
                  <c:v>3.0558482540212414E-2</c:v>
                </c:pt>
                <c:pt idx="24">
                  <c:v>3.1958043739859741E-2</c:v>
                </c:pt>
                <c:pt idx="25">
                  <c:v>3.336376008838212E-2</c:v>
                </c:pt>
                <c:pt idx="26">
                  <c:v>3.4681883786213195E-2</c:v>
                </c:pt>
                <c:pt idx="27">
                  <c:v>3.5921314385077063E-2</c:v>
                </c:pt>
                <c:pt idx="28">
                  <c:v>3.7089717130586633E-2</c:v>
                </c:pt>
                <c:pt idx="29">
                  <c:v>3.8193728628002695E-2</c:v>
                </c:pt>
                <c:pt idx="30">
                  <c:v>3.9239122726842546E-2</c:v>
                </c:pt>
                <c:pt idx="31">
                  <c:v>4.0230945192592814E-2</c:v>
                </c:pt>
                <c:pt idx="32">
                  <c:v>4.1173624010670248E-2</c:v>
                </c:pt>
                <c:pt idx="33">
                  <c:v>4.2071060167706217E-2</c:v>
                </c:pt>
                <c:pt idx="34">
                  <c:v>4.2926702870325281E-2</c:v>
                </c:pt>
                <c:pt idx="35">
                  <c:v>4.3743612238278572E-2</c:v>
                </c:pt>
                <c:pt idx="36">
                  <c:v>4.452451184164876E-2</c:v>
                </c:pt>
                <c:pt idx="37">
                  <c:v>4.5271832891463915E-2</c:v>
                </c:pt>
                <c:pt idx="38">
                  <c:v>4.5987751691670131E-2</c:v>
                </c:pt>
                <c:pt idx="39">
                  <c:v>4.6674221444099918E-2</c:v>
                </c:pt>
                <c:pt idx="40">
                  <c:v>4.7332999418052212E-2</c:v>
                </c:pt>
                <c:pt idx="41">
                  <c:v>4.7965670201413811E-2</c:v>
                </c:pt>
                <c:pt idx="42">
                  <c:v>4.8573665734608883E-2</c:v>
                </c:pt>
                <c:pt idx="43">
                  <c:v>4.915828260379522E-2</c:v>
                </c:pt>
                <c:pt idx="44">
                  <c:v>4.9720697036955412E-2</c:v>
                </c:pt>
                <c:pt idx="45">
                  <c:v>5.0261977935509856E-2</c:v>
                </c:pt>
                <c:pt idx="46">
                  <c:v>5.0783098234033465E-2</c:v>
                </c:pt>
                <c:pt idx="47">
                  <c:v>5.1284944864348307E-2</c:v>
                </c:pt>
                <c:pt idx="48">
                  <c:v>5.1768327467731565E-2</c:v>
                </c:pt>
                <c:pt idx="49">
                  <c:v>5.2233986085025469E-2</c:v>
                </c:pt>
                <c:pt idx="50">
                  <c:v>5.2682597934392152E-2</c:v>
                </c:pt>
                <c:pt idx="51">
                  <c:v>5.3114783407019833E-2</c:v>
                </c:pt>
                <c:pt idx="52">
                  <c:v>5.3531422698538965E-2</c:v>
                </c:pt>
                <c:pt idx="53">
                  <c:v>5.3933332131905515E-2</c:v>
                </c:pt>
                <c:pt idx="54">
                  <c:v>5.4321269992331084E-2</c:v>
                </c:pt>
                <c:pt idx="55">
                  <c:v>5.4695941730087565E-2</c:v>
                </c:pt>
                <c:pt idx="56">
                  <c:v>5.5058004649810109E-2</c:v>
                </c:pt>
                <c:pt idx="57">
                  <c:v>5.5408072074412201E-2</c:v>
                </c:pt>
                <c:pt idx="58">
                  <c:v>5.5746717105354157E-2</c:v>
                </c:pt>
                <c:pt idx="59">
                  <c:v>5.6074476006884685E-2</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Graphs'!$L$5:$L$64</c:f>
              <c:numCache>
                <c:formatCode>0%</c:formatCode>
                <c:ptCount val="60"/>
                <c:pt idx="0">
                  <c:v>0</c:v>
                </c:pt>
                <c:pt idx="1">
                  <c:v>2.5320087646388731E-3</c:v>
                </c:pt>
                <c:pt idx="2">
                  <c:v>5.0750175668164378E-3</c:v>
                </c:pt>
                <c:pt idx="3">
                  <c:v>7.629080150107337E-3</c:v>
                </c:pt>
                <c:pt idx="4">
                  <c:v>1.0194250647532408E-2</c:v>
                </c:pt>
                <c:pt idx="5">
                  <c:v>1.2770583321927886E-2</c:v>
                </c:pt>
                <c:pt idx="6">
                  <c:v>1.5358132807031142E-2</c:v>
                </c:pt>
                <c:pt idx="7">
                  <c:v>1.7956954021709791E-2</c:v>
                </c:pt>
                <c:pt idx="8">
                  <c:v>2.0567102141371411E-2</c:v>
                </c:pt>
                <c:pt idx="9">
                  <c:v>2.3188632625472022E-2</c:v>
                </c:pt>
                <c:pt idx="10">
                  <c:v>2.5821601230019975E-2</c:v>
                </c:pt>
                <c:pt idx="11">
                  <c:v>2.8466063981374003E-2</c:v>
                </c:pt>
                <c:pt idx="12">
                  <c:v>3.1122077222049332E-2</c:v>
                </c:pt>
                <c:pt idx="13">
                  <c:v>3.3789697581257376E-2</c:v>
                </c:pt>
                <c:pt idx="14">
                  <c:v>3.6468982009155756E-2</c:v>
                </c:pt>
                <c:pt idx="15">
                  <c:v>3.9159987725233388E-2</c:v>
                </c:pt>
                <c:pt idx="16">
                  <c:v>4.1862772253638374E-2</c:v>
                </c:pt>
                <c:pt idx="17">
                  <c:v>4.4577393425094071E-2</c:v>
                </c:pt>
                <c:pt idx="18">
                  <c:v>4.7303909378210045E-2</c:v>
                </c:pt>
                <c:pt idx="19">
                  <c:v>5.0042378540927454E-2</c:v>
                </c:pt>
                <c:pt idx="20">
                  <c:v>5.2792859654355886E-2</c:v>
                </c:pt>
                <c:pt idx="21">
                  <c:v>5.5555411772407047E-2</c:v>
                </c:pt>
                <c:pt idx="22">
                  <c:v>5.8330094244591707E-2</c:v>
                </c:pt>
                <c:pt idx="23">
                  <c:v>6.1116966735571147E-2</c:v>
                </c:pt>
                <c:pt idx="24">
                  <c:v>6.3916089224438435E-2</c:v>
                </c:pt>
                <c:pt idx="25">
                  <c:v>6.6727522004165596E-2</c:v>
                </c:pt>
                <c:pt idx="26">
                  <c:v>6.9363769490809482E-2</c:v>
                </c:pt>
                <c:pt idx="27">
                  <c:v>7.1842630759111445E-2</c:v>
                </c:pt>
                <c:pt idx="28">
                  <c:v>7.4179436315837649E-2</c:v>
                </c:pt>
                <c:pt idx="29">
                  <c:v>7.6387459397959434E-2</c:v>
                </c:pt>
                <c:pt idx="30">
                  <c:v>7.8478247664734435E-2</c:v>
                </c:pt>
                <c:pt idx="31">
                  <c:v>8.0461892673181989E-2</c:v>
                </c:pt>
                <c:pt idx="32">
                  <c:v>8.2347250393421834E-2</c:v>
                </c:pt>
                <c:pt idx="33">
                  <c:v>8.4142122786632578E-2</c:v>
                </c:pt>
                <c:pt idx="34">
                  <c:v>8.5853408277614313E-2</c:v>
                </c:pt>
                <c:pt idx="35">
                  <c:v>8.7487227105318949E-2</c:v>
                </c:pt>
                <c:pt idx="36">
                  <c:v>8.9049026388369729E-2</c:v>
                </c:pt>
                <c:pt idx="37">
                  <c:v>9.0543668560294097E-2</c:v>
                </c:pt>
                <c:pt idx="38">
                  <c:v>9.1975506239279012E-2</c:v>
                </c:pt>
                <c:pt idx="39">
                  <c:v>9.3348445838254746E-2</c:v>
                </c:pt>
                <c:pt idx="40">
                  <c:v>9.4666001875684455E-2</c:v>
                </c:pt>
                <c:pt idx="41">
                  <c:v>9.5931343527669674E-2</c:v>
                </c:pt>
                <c:pt idx="42">
                  <c:v>9.7147334666299268E-2</c:v>
                </c:pt>
                <c:pt idx="43">
                  <c:v>9.8316568473627811E-2</c:v>
                </c:pt>
                <c:pt idx="44">
                  <c:v>9.9441397405839363E-2</c:v>
                </c:pt>
                <c:pt idx="45">
                  <c:v>0.10052395925750833</c:v>
                </c:pt>
                <c:pt idx="46">
                  <c:v>0.10156619990679396</c:v>
                </c:pt>
                <c:pt idx="47">
                  <c:v>0.10256989320937196</c:v>
                </c:pt>
                <c:pt idx="48">
                  <c:v>0.10353665845637461</c:v>
                </c:pt>
                <c:pt idx="49">
                  <c:v>0.10446797573737805</c:v>
                </c:pt>
                <c:pt idx="50">
                  <c:v>0.10536519948834303</c:v>
                </c:pt>
                <c:pt idx="51">
                  <c:v>0.10622957048382109</c:v>
                </c:pt>
                <c:pt idx="52">
                  <c:v>0.1070628491225349</c:v>
                </c:pt>
                <c:pt idx="53">
                  <c:v>0.10786666805009344</c:v>
                </c:pt>
                <c:pt idx="54">
                  <c:v>0.10864254382247736</c:v>
                </c:pt>
                <c:pt idx="55">
                  <c:v>0.10939188735463705</c:v>
                </c:pt>
                <c:pt idx="56">
                  <c:v>0.11011601324190885</c:v>
                </c:pt>
                <c:pt idx="57">
                  <c:v>0.11081614813057598</c:v>
                </c:pt>
                <c:pt idx="58">
                  <c:v>0.11149343823058509</c:v>
                </c:pt>
                <c:pt idx="59">
                  <c:v>0.11214895607050053</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Graphs'!$M$5:$M$64</c:f>
              <c:numCache>
                <c:formatCode>0%</c:formatCode>
                <c:ptCount val="60"/>
                <c:pt idx="0">
                  <c:v>0</c:v>
                </c:pt>
                <c:pt idx="1">
                  <c:v>3.7980131469583095E-3</c:v>
                </c:pt>
                <c:pt idx="2">
                  <c:v>7.6125262853169572E-3</c:v>
                </c:pt>
                <c:pt idx="3">
                  <c:v>1.1443620176480231E-2</c:v>
                </c:pt>
                <c:pt idx="4">
                  <c:v>1.5291375932353992E-2</c:v>
                </c:pt>
                <c:pt idx="5">
                  <c:v>1.915587498289183E-2</c:v>
                </c:pt>
                <c:pt idx="6">
                  <c:v>2.3037199238364298E-2</c:v>
                </c:pt>
                <c:pt idx="7">
                  <c:v>2.6935431081245468E-2</c:v>
                </c:pt>
                <c:pt idx="8">
                  <c:v>3.0850653276964821E-2</c:v>
                </c:pt>
                <c:pt idx="9">
                  <c:v>3.4782949016097284E-2</c:v>
                </c:pt>
                <c:pt idx="10">
                  <c:v>3.8732401933540467E-2</c:v>
                </c:pt>
                <c:pt idx="11">
                  <c:v>4.2699096085649486E-2</c:v>
                </c:pt>
                <c:pt idx="12">
                  <c:v>4.6683115967882306E-2</c:v>
                </c:pt>
                <c:pt idx="13">
                  <c:v>5.0684546552700376E-2</c:v>
                </c:pt>
                <c:pt idx="14">
                  <c:v>5.4703473234419819E-2</c:v>
                </c:pt>
                <c:pt idx="15">
                  <c:v>5.8739981843424161E-2</c:v>
                </c:pt>
                <c:pt idx="16">
                  <c:v>6.279415867826936E-2</c:v>
                </c:pt>
                <c:pt idx="17">
                  <c:v>6.6866090483815505E-2</c:v>
                </c:pt>
                <c:pt idx="18">
                  <c:v>7.0955864456761261E-2</c:v>
                </c:pt>
                <c:pt idx="19">
                  <c:v>7.5063568249518153E-2</c:v>
                </c:pt>
                <c:pt idx="20">
                  <c:v>7.9189289972977819E-2</c:v>
                </c:pt>
                <c:pt idx="21">
                  <c:v>8.3333118198524611E-2</c:v>
                </c:pt>
                <c:pt idx="22">
                  <c:v>8.7495141959523071E-2</c:v>
                </c:pt>
                <c:pt idx="23">
                  <c:v>9.1675450752433704E-2</c:v>
                </c:pt>
                <c:pt idx="24">
                  <c:v>9.5874134553238635E-2</c:v>
                </c:pt>
                <c:pt idx="25">
                  <c:v>0.10009128380011947</c:v>
                </c:pt>
                <c:pt idx="26">
                  <c:v>0.10404565509443824</c:v>
                </c:pt>
                <c:pt idx="27">
                  <c:v>0.10776394706360191</c:v>
                </c:pt>
                <c:pt idx="28">
                  <c:v>0.11126915547423033</c:v>
                </c:pt>
                <c:pt idx="29">
                  <c:v>0.11458119016791619</c:v>
                </c:pt>
                <c:pt idx="30">
                  <c:v>0.11771737262775189</c:v>
                </c:pt>
                <c:pt idx="31">
                  <c:v>0.12069284020245197</c:v>
                </c:pt>
                <c:pt idx="32">
                  <c:v>0.12352087683518044</c:v>
                </c:pt>
                <c:pt idx="33">
                  <c:v>0.12621318548573907</c:v>
                </c:pt>
                <c:pt idx="34">
                  <c:v>0.12878011377391965</c:v>
                </c:pt>
                <c:pt idx="35">
                  <c:v>0.1312308420589029</c:v>
                </c:pt>
                <c:pt idx="36">
                  <c:v>0.13357354101929528</c:v>
                </c:pt>
                <c:pt idx="37">
                  <c:v>0.13581550432136152</c:v>
                </c:pt>
                <c:pt idx="38">
                  <c:v>0.13796326087676009</c:v>
                </c:pt>
                <c:pt idx="39">
                  <c:v>0.14002267031029883</c:v>
                </c:pt>
                <c:pt idx="40">
                  <c:v>0.14199900439980753</c:v>
                </c:pt>
                <c:pt idx="41">
                  <c:v>0.14389701690028822</c:v>
                </c:pt>
                <c:pt idx="42">
                  <c:v>0.14572100363421725</c:v>
                </c:pt>
                <c:pt idx="43">
                  <c:v>0.14747485437001356</c:v>
                </c:pt>
                <c:pt idx="44">
                  <c:v>0.14916209779203204</c:v>
                </c:pt>
                <c:pt idx="45">
                  <c:v>0.15078594059643929</c:v>
                </c:pt>
                <c:pt idx="46">
                  <c:v>0.15234930159612667</c:v>
                </c:pt>
                <c:pt idx="47">
                  <c:v>0.15385484157873602</c:v>
                </c:pt>
                <c:pt idx="48">
                  <c:v>0.15530498947680921</c:v>
                </c:pt>
                <c:pt idx="49">
                  <c:v>0.15670196542088635</c:v>
                </c:pt>
                <c:pt idx="50">
                  <c:v>0.15804780106520253</c:v>
                </c:pt>
                <c:pt idx="51">
                  <c:v>0.15934435757560109</c:v>
                </c:pt>
                <c:pt idx="52">
                  <c:v>0.16059427554653088</c:v>
                </c:pt>
                <c:pt idx="53">
                  <c:v>0.16180000393943356</c:v>
                </c:pt>
                <c:pt idx="54">
                  <c:v>0.16296381759597695</c:v>
                </c:pt>
                <c:pt idx="55">
                  <c:v>0.16408783289573381</c:v>
                </c:pt>
                <c:pt idx="56">
                  <c:v>0.16517402173152182</c:v>
                </c:pt>
                <c:pt idx="57">
                  <c:v>0.1662242240725918</c:v>
                </c:pt>
                <c:pt idx="58">
                  <c:v>0.16724015922380042</c:v>
                </c:pt>
                <c:pt idx="59">
                  <c:v>0.1682234359913195</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Graphs'!$N$5:$N$64</c:f>
              <c:numCache>
                <c:formatCode>0%</c:formatCode>
                <c:ptCount val="60"/>
                <c:pt idx="0">
                  <c:v>0</c:v>
                </c:pt>
                <c:pt idx="1">
                  <c:v>5.0640175292777463E-3</c:v>
                </c:pt>
                <c:pt idx="2">
                  <c:v>1.0150035133632876E-2</c:v>
                </c:pt>
                <c:pt idx="3">
                  <c:v>1.5258160397576222E-2</c:v>
                </c:pt>
                <c:pt idx="4">
                  <c:v>2.038850145084329E-2</c:v>
                </c:pt>
                <c:pt idx="5">
                  <c:v>2.5541166903486564E-2</c:v>
                </c:pt>
                <c:pt idx="6">
                  <c:v>3.0716266003508474E-2</c:v>
                </c:pt>
                <c:pt idx="7">
                  <c:v>3.5913908530227329E-2</c:v>
                </c:pt>
                <c:pt idx="8">
                  <c:v>4.1134204845276218E-2</c:v>
                </c:pt>
                <c:pt idx="9">
                  <c:v>4.6377265874057959E-2</c:v>
                </c:pt>
                <c:pt idx="10">
                  <c:v>5.1643203132719737E-2</c:v>
                </c:pt>
                <c:pt idx="11">
                  <c:v>5.6932128709186548E-2</c:v>
                </c:pt>
                <c:pt idx="12">
                  <c:v>6.2244155282905847E-2</c:v>
                </c:pt>
                <c:pt idx="13">
                  <c:v>6.757939610831265E-2</c:v>
                </c:pt>
                <c:pt idx="14">
                  <c:v>7.2937965056834711E-2</c:v>
                </c:pt>
                <c:pt idx="15">
                  <c:v>7.8319976594464977E-2</c:v>
                </c:pt>
                <c:pt idx="16">
                  <c:v>8.3725545767249734E-2</c:v>
                </c:pt>
                <c:pt idx="17">
                  <c:v>8.9154788234885735E-2</c:v>
                </c:pt>
                <c:pt idx="18">
                  <c:v>9.4607820252713345E-2</c:v>
                </c:pt>
                <c:pt idx="19">
                  <c:v>0.10008475869805662</c:v>
                </c:pt>
                <c:pt idx="20">
                  <c:v>0.10558572105194711</c:v>
                </c:pt>
                <c:pt idx="21">
                  <c:v>0.11111082540353456</c:v>
                </c:pt>
                <c:pt idx="22">
                  <c:v>0.11666019047027927</c:v>
                </c:pt>
                <c:pt idx="23">
                  <c:v>0.12223393558064251</c:v>
                </c:pt>
                <c:pt idx="24">
                  <c:v>0.12783218069208693</c:v>
                </c:pt>
                <c:pt idx="25">
                  <c:v>0.13345504640492314</c:v>
                </c:pt>
                <c:pt idx="26">
                  <c:v>0.1387275415202312</c:v>
                </c:pt>
                <c:pt idx="27">
                  <c:v>0.1436852642026199</c:v>
                </c:pt>
                <c:pt idx="28">
                  <c:v>0.14835887546523213</c:v>
                </c:pt>
                <c:pt idx="29">
                  <c:v>0.15277492176869154</c:v>
                </c:pt>
                <c:pt idx="30">
                  <c:v>0.15695649841991291</c:v>
                </c:pt>
                <c:pt idx="31">
                  <c:v>0.16092378853495476</c:v>
                </c:pt>
                <c:pt idx="32">
                  <c:v>0.16469450406763286</c:v>
                </c:pt>
                <c:pt idx="33">
                  <c:v>0.16828424895228367</c:v>
                </c:pt>
                <c:pt idx="34">
                  <c:v>0.17170682002686335</c:v>
                </c:pt>
                <c:pt idx="35">
                  <c:v>0.17497445776974344</c:v>
                </c:pt>
                <c:pt idx="36">
                  <c:v>0.17809805640806214</c:v>
                </c:pt>
                <c:pt idx="37">
                  <c:v>0.1810873408203271</c:v>
                </c:pt>
                <c:pt idx="38">
                  <c:v>0.18395101624320465</c:v>
                </c:pt>
                <c:pt idx="39">
                  <c:v>0.18669689550281843</c:v>
                </c:pt>
                <c:pt idx="40">
                  <c:v>0.18933200762683355</c:v>
                </c:pt>
                <c:pt idx="41">
                  <c:v>0.19186269096834643</c:v>
                </c:pt>
                <c:pt idx="42">
                  <c:v>0.1942946732814019</c:v>
                </c:pt>
                <c:pt idx="43">
                  <c:v>0.19663314093022816</c:v>
                </c:pt>
                <c:pt idx="44">
                  <c:v>0.19888279881864743</c:v>
                </c:pt>
                <c:pt idx="45">
                  <c:v>0.20104792254493822</c:v>
                </c:pt>
                <c:pt idx="46">
                  <c:v>0.20313240387377171</c:v>
                </c:pt>
                <c:pt idx="47">
                  <c:v>0.20513979050792899</c:v>
                </c:pt>
                <c:pt idx="48">
                  <c:v>0.2070733210297519</c:v>
                </c:pt>
                <c:pt idx="49">
                  <c:v>0.20893595561846365</c:v>
                </c:pt>
                <c:pt idx="50">
                  <c:v>0.21073040313841504</c:v>
                </c:pt>
                <c:pt idx="51">
                  <c:v>0.21245914514669947</c:v>
                </c:pt>
                <c:pt idx="52">
                  <c:v>0.21412570243345347</c:v>
                </c:pt>
                <c:pt idx="53">
                  <c:v>0.21573334028312757</c:v>
                </c:pt>
                <c:pt idx="54">
                  <c:v>0.21728509182265029</c:v>
                </c:pt>
                <c:pt idx="55">
                  <c:v>0.21878377888191194</c:v>
                </c:pt>
                <c:pt idx="56">
                  <c:v>0.22023203065840768</c:v>
                </c:pt>
                <c:pt idx="57">
                  <c:v>0.22163230043762674</c:v>
                </c:pt>
                <c:pt idx="58">
                  <c:v>0.22298688063286509</c:v>
                </c:pt>
                <c:pt idx="59">
                  <c:v>0.22429791631456616</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Graphs'!$O$5:$O$64</c:f>
              <c:numCache>
                <c:formatCode>0%</c:formatCode>
                <c:ptCount val="60"/>
                <c:pt idx="0">
                  <c:v>0</c:v>
                </c:pt>
                <c:pt idx="1">
                  <c:v>6.3300219115971839E-3</c:v>
                </c:pt>
                <c:pt idx="2">
                  <c:v>1.2687543981948794E-2</c:v>
                </c:pt>
                <c:pt idx="3">
                  <c:v>1.9072700618672212E-2</c:v>
                </c:pt>
                <c:pt idx="4">
                  <c:v>2.5485626969332594E-2</c:v>
                </c:pt>
                <c:pt idx="5">
                  <c:v>3.1926458824081301E-2</c:v>
                </c:pt>
                <c:pt idx="6">
                  <c:v>3.8395332713017483E-2</c:v>
                </c:pt>
                <c:pt idx="7">
                  <c:v>4.4892385881847637E-2</c:v>
                </c:pt>
                <c:pt idx="8">
                  <c:v>5.1417756283772216E-2</c:v>
                </c:pt>
                <c:pt idx="9">
                  <c:v>5.7971582576240167E-2</c:v>
                </c:pt>
                <c:pt idx="10">
                  <c:v>6.4554004154878025E-2</c:v>
                </c:pt>
                <c:pt idx="11">
                  <c:v>7.1165161138000518E-2</c:v>
                </c:pt>
                <c:pt idx="12">
                  <c:v>7.7805194358270199E-2</c:v>
                </c:pt>
                <c:pt idx="13">
                  <c:v>8.4474245413566657E-2</c:v>
                </c:pt>
                <c:pt idx="14">
                  <c:v>9.1172456619618772E-2</c:v>
                </c:pt>
                <c:pt idx="15">
                  <c:v>9.7899971053421131E-2</c:v>
                </c:pt>
                <c:pt idx="16">
                  <c:v>0.1046569325355097</c:v>
                </c:pt>
                <c:pt idx="17">
                  <c:v>0.11144348563978151</c:v>
                </c:pt>
                <c:pt idx="18">
                  <c:v>0.11825977567971639</c:v>
                </c:pt>
                <c:pt idx="19">
                  <c:v>0.12510594875714884</c:v>
                </c:pt>
                <c:pt idx="20">
                  <c:v>0.13198215172292507</c:v>
                </c:pt>
                <c:pt idx="21">
                  <c:v>0.13888853218369407</c:v>
                </c:pt>
                <c:pt idx="22">
                  <c:v>0.14582523854079188</c:v>
                </c:pt>
                <c:pt idx="23">
                  <c:v>0.15279241995449735</c:v>
                </c:pt>
                <c:pt idx="24">
                  <c:v>0.15979022637917759</c:v>
                </c:pt>
                <c:pt idx="25">
                  <c:v>0.16681880854538708</c:v>
                </c:pt>
                <c:pt idx="26">
                  <c:v>0.17340942745561039</c:v>
                </c:pt>
                <c:pt idx="27">
                  <c:v>0.17960658081310377</c:v>
                </c:pt>
                <c:pt idx="28">
                  <c:v>0.18544859489220836</c:v>
                </c:pt>
                <c:pt idx="29">
                  <c:v>0.19096865277231595</c:v>
                </c:pt>
                <c:pt idx="30">
                  <c:v>0.1961956235839348</c:v>
                </c:pt>
                <c:pt idx="31">
                  <c:v>0.20115473623460739</c:v>
                </c:pt>
                <c:pt idx="32">
                  <c:v>0.20586813066280965</c:v>
                </c:pt>
                <c:pt idx="33">
                  <c:v>0.21035531178884173</c:v>
                </c:pt>
                <c:pt idx="34">
                  <c:v>0.21463352564556604</c:v>
                </c:pt>
                <c:pt idx="35">
                  <c:v>0.21871807284232483</c:v>
                </c:pt>
                <c:pt idx="36">
                  <c:v>0.22262257115476897</c:v>
                </c:pt>
                <c:pt idx="37">
                  <c:v>0.22635917668388039</c:v>
                </c:pt>
                <c:pt idx="38">
                  <c:v>0.22993877097055793</c:v>
                </c:pt>
                <c:pt idx="39">
                  <c:v>0.23337112005275173</c:v>
                </c:pt>
                <c:pt idx="40">
                  <c:v>0.23666501021744743</c:v>
                </c:pt>
                <c:pt idx="41">
                  <c:v>0.23982836439660013</c:v>
                </c:pt>
                <c:pt idx="42">
                  <c:v>0.2428683422946043</c:v>
                </c:pt>
                <c:pt idx="43">
                  <c:v>0.24579142686201808</c:v>
                </c:pt>
                <c:pt idx="44">
                  <c:v>0.24860349923080316</c:v>
                </c:pt>
                <c:pt idx="45">
                  <c:v>0.25130990389233537</c:v>
                </c:pt>
                <c:pt idx="46">
                  <c:v>0.25391550555481829</c:v>
                </c:pt>
                <c:pt idx="47">
                  <c:v>0.25642473885295264</c:v>
                </c:pt>
                <c:pt idx="48">
                  <c:v>0.25884165201044712</c:v>
                </c:pt>
                <c:pt idx="49">
                  <c:v>0.26116994524744952</c:v>
                </c:pt>
                <c:pt idx="50">
                  <c:v>0.26341300465418499</c:v>
                </c:pt>
                <c:pt idx="51">
                  <c:v>0.26557393217856468</c:v>
                </c:pt>
                <c:pt idx="52">
                  <c:v>0.26765712880601311</c:v>
                </c:pt>
                <c:pt idx="53">
                  <c:v>0.26966667613640782</c:v>
                </c:pt>
                <c:pt idx="54">
                  <c:v>0.2716063655819882</c:v>
                </c:pt>
                <c:pt idx="55">
                  <c:v>0.2734797244299631</c:v>
                </c:pt>
                <c:pt idx="56">
                  <c:v>0.27529003917535017</c:v>
                </c:pt>
                <c:pt idx="57">
                  <c:v>0.27704037641993007</c:v>
                </c:pt>
                <c:pt idx="58">
                  <c:v>0.27873360167888667</c:v>
                </c:pt>
                <c:pt idx="59">
                  <c:v>0.28037239629380206</c:v>
                </c:pt>
              </c:numCache>
            </c:numRef>
          </c:yVal>
          <c:smooth val="1"/>
        </c:ser>
        <c:ser>
          <c:idx val="5"/>
          <c:order val="5"/>
          <c:tx>
            <c:v>$22.5/bbl</c:v>
          </c:tx>
          <c:spPr>
            <a:ln w="19050">
              <a:noFill/>
            </a:ln>
          </c:spPr>
          <c:marker>
            <c:symbol val="square"/>
            <c:size val="5"/>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Graphs'!$P$5:$P$64</c:f>
              <c:numCache>
                <c:formatCode>0%</c:formatCode>
                <c:ptCount val="60"/>
                <c:pt idx="0">
                  <c:v>0</c:v>
                </c:pt>
                <c:pt idx="1">
                  <c:v>7.596026293916619E-3</c:v>
                </c:pt>
                <c:pt idx="2">
                  <c:v>1.5225052700449311E-2</c:v>
                </c:pt>
                <c:pt idx="3">
                  <c:v>2.2887240645045107E-2</c:v>
                </c:pt>
                <c:pt idx="4">
                  <c:v>3.0582752254154175E-2</c:v>
                </c:pt>
                <c:pt idx="5">
                  <c:v>3.8311750485045246E-2</c:v>
                </c:pt>
                <c:pt idx="6">
                  <c:v>4.6074399144350631E-2</c:v>
                </c:pt>
                <c:pt idx="7">
                  <c:v>5.3870862941383303E-2</c:v>
                </c:pt>
                <c:pt idx="8">
                  <c:v>6.1701307419365616E-2</c:v>
                </c:pt>
                <c:pt idx="9">
                  <c:v>6.9565898966865422E-2</c:v>
                </c:pt>
                <c:pt idx="10">
                  <c:v>7.7464804858398503E-2</c:v>
                </c:pt>
                <c:pt idx="11">
                  <c:v>8.5398193209822143E-2</c:v>
                </c:pt>
                <c:pt idx="12">
                  <c:v>9.3366233074145766E-2</c:v>
                </c:pt>
                <c:pt idx="13">
                  <c:v>0.10136909432937448</c:v>
                </c:pt>
                <c:pt idx="14">
                  <c:v>0.1094069477669936</c:v>
                </c:pt>
                <c:pt idx="15">
                  <c:v>0.11747996507425035</c:v>
                </c:pt>
                <c:pt idx="16">
                  <c:v>0.12558831884559768</c:v>
                </c:pt>
                <c:pt idx="17">
                  <c:v>0.13373218256868757</c:v>
                </c:pt>
                <c:pt idx="18">
                  <c:v>0.14191173063528462</c:v>
                </c:pt>
                <c:pt idx="19">
                  <c:v>0.1501271383489057</c:v>
                </c:pt>
                <c:pt idx="20">
                  <c:v>0.15837858193027671</c:v>
                </c:pt>
                <c:pt idx="21">
                  <c:v>0.16666623852130116</c:v>
                </c:pt>
                <c:pt idx="22">
                  <c:v>0.17499028618799353</c:v>
                </c:pt>
                <c:pt idx="23">
                  <c:v>0.18335090392267919</c:v>
                </c:pt>
                <c:pt idx="24">
                  <c:v>0.19174827166124431</c:v>
                </c:pt>
                <c:pt idx="25">
                  <c:v>0.20018257029640493</c:v>
                </c:pt>
                <c:pt idx="26">
                  <c:v>0.20809131303039133</c:v>
                </c:pt>
                <c:pt idx="27">
                  <c:v>0.21552789710368545</c:v>
                </c:pt>
                <c:pt idx="28">
                  <c:v>0.22253831403717189</c:v>
                </c:pt>
                <c:pt idx="29">
                  <c:v>0.22916238352929119</c:v>
                </c:pt>
                <c:pt idx="30">
                  <c:v>0.2354347485343895</c:v>
                </c:pt>
                <c:pt idx="31">
                  <c:v>0.24138568375170716</c:v>
                </c:pt>
                <c:pt idx="32">
                  <c:v>0.24704175709276682</c:v>
                </c:pt>
                <c:pt idx="33">
                  <c:v>0.25242637446503957</c:v>
                </c:pt>
                <c:pt idx="34">
                  <c:v>0.25756023111961723</c:v>
                </c:pt>
                <c:pt idx="35">
                  <c:v>0.26246168777427287</c:v>
                </c:pt>
                <c:pt idx="36">
                  <c:v>0.26714708577516894</c:v>
                </c:pt>
                <c:pt idx="37">
                  <c:v>0.27163101243469923</c:v>
                </c:pt>
                <c:pt idx="38">
                  <c:v>0.27592652560803899</c:v>
                </c:pt>
                <c:pt idx="39">
                  <c:v>0.28004534453453195</c:v>
                </c:pt>
                <c:pt idx="40">
                  <c:v>0.28399801277006653</c:v>
                </c:pt>
                <c:pt idx="41">
                  <c:v>0.2877940378248538</c:v>
                </c:pt>
                <c:pt idx="42">
                  <c:v>0.29144201133497732</c:v>
                </c:pt>
                <c:pt idx="43">
                  <c:v>0.29494971283806326</c:v>
                </c:pt>
                <c:pt idx="44">
                  <c:v>0.29832419970353941</c:v>
                </c:pt>
                <c:pt idx="45">
                  <c:v>0.30157188532439472</c:v>
                </c:pt>
                <c:pt idx="46">
                  <c:v>0.30469860733529791</c:v>
                </c:pt>
                <c:pt idx="47">
                  <c:v>0.30770968730345127</c:v>
                </c:pt>
                <c:pt idx="48">
                  <c:v>0.31060998310241256</c:v>
                </c:pt>
                <c:pt idx="49">
                  <c:v>0.31340393499326913</c:v>
                </c:pt>
                <c:pt idx="50">
                  <c:v>0.31609560628449779</c:v>
                </c:pt>
                <c:pt idx="51">
                  <c:v>0.31868871931528064</c:v>
                </c:pt>
                <c:pt idx="52">
                  <c:v>0.32118855526674922</c:v>
                </c:pt>
                <c:pt idx="53">
                  <c:v>0.32360001206180766</c:v>
                </c:pt>
                <c:pt idx="54">
                  <c:v>0.32592763939089192</c:v>
                </c:pt>
                <c:pt idx="55">
                  <c:v>0.32817567000583175</c:v>
                </c:pt>
                <c:pt idx="56">
                  <c:v>0.33034804769229259</c:v>
                </c:pt>
                <c:pt idx="57">
                  <c:v>0.33244845238208953</c:v>
                </c:pt>
                <c:pt idx="58">
                  <c:v>0.33448032269190425</c:v>
                </c:pt>
                <c:pt idx="59">
                  <c:v>0.3364468762276025</c:v>
                </c:pt>
              </c:numCache>
            </c:numRef>
          </c:yVal>
          <c:smooth val="0"/>
        </c:ser>
        <c:dLbls>
          <c:showLegendKey val="0"/>
          <c:showVal val="0"/>
          <c:showCatName val="0"/>
          <c:showSerName val="0"/>
          <c:showPercent val="0"/>
          <c:showBubbleSize val="0"/>
        </c:dLbls>
        <c:axId val="235758352"/>
        <c:axId val="235756176"/>
      </c:scatterChart>
      <c:valAx>
        <c:axId val="235758352"/>
        <c:scaling>
          <c:orientation val="minMax"/>
        </c:scaling>
        <c:delete val="0"/>
        <c:axPos val="b"/>
        <c:majorGridlines>
          <c:spPr>
            <a:ln>
              <a:solidFill>
                <a:srgbClr val="FFFFFF"/>
              </a:solidFill>
            </a:ln>
          </c:spPr>
        </c:majorGridlines>
        <c:title>
          <c:tx>
            <c:rich>
              <a:bodyPr/>
              <a:lstStyle/>
              <a:p>
                <a:pPr>
                  <a:defRPr b="1" i="0">
                    <a:latin typeface="Arial" panose="020B0604020202020204" pitchFamily="34" charset="0"/>
                    <a:cs typeface="Arial" panose="020B0604020202020204" pitchFamily="34" charset="0"/>
                  </a:defRPr>
                </a:pPr>
                <a:r>
                  <a:rPr lang="en-CA">
                    <a:latin typeface="Arial" panose="020B0604020202020204" pitchFamily="34" charset="0"/>
                    <a:cs typeface="Arial" panose="020B0604020202020204" pitchFamily="34" charset="0"/>
                  </a:rPr>
                  <a:t>Years</a:t>
                </a:r>
              </a:p>
            </c:rich>
          </c:tx>
          <c:overlay val="0"/>
        </c:title>
        <c:numFmt formatCode="General" sourceLinked="1"/>
        <c:majorTickMark val="cross"/>
        <c:minorTickMark val="cross"/>
        <c:tickLblPos val="nextTo"/>
        <c:spPr>
          <a:ln w="47625">
            <a:noFill/>
          </a:ln>
        </c:spPr>
        <c:txPr>
          <a:bodyPr/>
          <a:lstStyle/>
          <a:p>
            <a:pPr>
              <a:defRPr/>
            </a:pPr>
            <a:endParaRPr lang="en-US"/>
          </a:p>
        </c:txPr>
        <c:crossAx val="235756176"/>
        <c:crosses val="autoZero"/>
        <c:crossBetween val="midCat"/>
      </c:valAx>
      <c:valAx>
        <c:axId val="235756176"/>
        <c:scaling>
          <c:orientation val="minMax"/>
        </c:scaling>
        <c:delete val="0"/>
        <c:axPos val="l"/>
        <c:majorGridlines>
          <c:spPr>
            <a:ln>
              <a:solidFill>
                <a:srgbClr val="B7B7B7"/>
              </a:solidFill>
            </a:ln>
          </c:spPr>
        </c:majorGridlines>
        <c:title>
          <c:tx>
            <c:rich>
              <a:bodyPr/>
              <a:lstStyle/>
              <a:p>
                <a:pPr>
                  <a:defRPr sz="1000" b="1" i="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CO2 saved by Solar Energy / Oil sands CO2</a:t>
                </a:r>
              </a:p>
            </c:rich>
          </c:tx>
          <c:layout>
            <c:manualLayout>
              <c:xMode val="edge"/>
              <c:yMode val="edge"/>
              <c:x val="0.11595937942312184"/>
              <c:y val="0.22216726678009469"/>
            </c:manualLayout>
          </c:layout>
          <c:overlay val="0"/>
        </c:title>
        <c:numFmt formatCode="0%" sourceLinked="1"/>
        <c:majorTickMark val="cross"/>
        <c:minorTickMark val="cross"/>
        <c:tickLblPos val="nextTo"/>
        <c:spPr>
          <a:ln w="47625">
            <a:noFill/>
          </a:ln>
        </c:spPr>
        <c:txPr>
          <a:bodyPr/>
          <a:lstStyle/>
          <a:p>
            <a:pPr>
              <a:defRPr/>
            </a:pPr>
            <a:endParaRPr lang="en-US"/>
          </a:p>
        </c:txPr>
        <c:crossAx val="235758352"/>
        <c:crosses val="autoZero"/>
        <c:crossBetween val="midCat"/>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Carbon Tax</a:t>
            </a:r>
            <a:r>
              <a:rPr lang="en-CA" baseline="0"/>
              <a:t> vs Carbon Reinvestment Tax</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CarbonFootprint!$H$2:$H$3</c:f>
              <c:strCache>
                <c:ptCount val="2"/>
                <c:pt idx="1">
                  <c:v>Alberta's 2016 Carbon tax ($20M/MT)</c:v>
                </c:pt>
              </c:strCache>
            </c:strRef>
          </c:tx>
          <c:spPr>
            <a:ln w="28575" cap="rnd">
              <a:solidFill>
                <a:schemeClr val="accent1"/>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CarbonFootprint!$H$4:$H$63</c:f>
              <c:numCache>
                <c:formatCode>_("$"* #,##0.00_);_("$"* \(#,##0.00\);_("$"* "-"??_);_(@_)</c:formatCode>
                <c:ptCount val="60"/>
                <c:pt idx="0">
                  <c:v>6.9584333333333319</c:v>
                </c:pt>
                <c:pt idx="1">
                  <c:v>13.916866666666664</c:v>
                </c:pt>
                <c:pt idx="2">
                  <c:v>20.875300000000003</c:v>
                </c:pt>
                <c:pt idx="3">
                  <c:v>27.833733333333328</c:v>
                </c:pt>
                <c:pt idx="4">
                  <c:v>34.792166666666667</c:v>
                </c:pt>
                <c:pt idx="5">
                  <c:v>41.750599999999991</c:v>
                </c:pt>
                <c:pt idx="6">
                  <c:v>48.709033333333338</c:v>
                </c:pt>
                <c:pt idx="7">
                  <c:v>55.667466666666655</c:v>
                </c:pt>
                <c:pt idx="8">
                  <c:v>62.625900000000001</c:v>
                </c:pt>
                <c:pt idx="9">
                  <c:v>69.584333333333333</c:v>
                </c:pt>
                <c:pt idx="10">
                  <c:v>76.542766666666665</c:v>
                </c:pt>
                <c:pt idx="11">
                  <c:v>83.501199999999983</c:v>
                </c:pt>
                <c:pt idx="12">
                  <c:v>90.459633333333329</c:v>
                </c:pt>
                <c:pt idx="13">
                  <c:v>97.418066666666675</c:v>
                </c:pt>
                <c:pt idx="14">
                  <c:v>104.37649999999999</c:v>
                </c:pt>
                <c:pt idx="15">
                  <c:v>111.33493333333334</c:v>
                </c:pt>
                <c:pt idx="16">
                  <c:v>118.29336666666666</c:v>
                </c:pt>
                <c:pt idx="17">
                  <c:v>125.2518</c:v>
                </c:pt>
                <c:pt idx="18">
                  <c:v>132.21023333333332</c:v>
                </c:pt>
                <c:pt idx="19">
                  <c:v>139.16866666666667</c:v>
                </c:pt>
                <c:pt idx="20">
                  <c:v>146.12710000000001</c:v>
                </c:pt>
                <c:pt idx="21">
                  <c:v>153.08553333333333</c:v>
                </c:pt>
                <c:pt idx="22">
                  <c:v>160.04396666666665</c:v>
                </c:pt>
                <c:pt idx="23">
                  <c:v>167.00239999999997</c:v>
                </c:pt>
                <c:pt idx="24">
                  <c:v>173.96083333333331</c:v>
                </c:pt>
                <c:pt idx="25">
                  <c:v>180.91926666666666</c:v>
                </c:pt>
                <c:pt idx="26">
                  <c:v>187.8777</c:v>
                </c:pt>
                <c:pt idx="27">
                  <c:v>194.83613333333335</c:v>
                </c:pt>
                <c:pt idx="28">
                  <c:v>201.7945666666667</c:v>
                </c:pt>
                <c:pt idx="29">
                  <c:v>208.75299999999999</c:v>
                </c:pt>
                <c:pt idx="30">
                  <c:v>215.71143333333333</c:v>
                </c:pt>
                <c:pt idx="31">
                  <c:v>222.66986666666668</c:v>
                </c:pt>
                <c:pt idx="32">
                  <c:v>229.62830000000002</c:v>
                </c:pt>
                <c:pt idx="33">
                  <c:v>236.58673333333331</c:v>
                </c:pt>
                <c:pt idx="34">
                  <c:v>243.54516666666666</c:v>
                </c:pt>
                <c:pt idx="35">
                  <c:v>250.50360000000001</c:v>
                </c:pt>
                <c:pt idx="36">
                  <c:v>257.46203333333335</c:v>
                </c:pt>
                <c:pt idx="37">
                  <c:v>264.42046666666664</c:v>
                </c:pt>
                <c:pt idx="38">
                  <c:v>271.37889999999999</c:v>
                </c:pt>
                <c:pt idx="39">
                  <c:v>278.33733333333333</c:v>
                </c:pt>
                <c:pt idx="40">
                  <c:v>285.29576666666668</c:v>
                </c:pt>
                <c:pt idx="41">
                  <c:v>292.25420000000003</c:v>
                </c:pt>
                <c:pt idx="42">
                  <c:v>299.21263333333332</c:v>
                </c:pt>
                <c:pt idx="43">
                  <c:v>306.17106666666666</c:v>
                </c:pt>
                <c:pt idx="44">
                  <c:v>313.12950000000001</c:v>
                </c:pt>
                <c:pt idx="45">
                  <c:v>320.0879333333333</c:v>
                </c:pt>
                <c:pt idx="46">
                  <c:v>327.04636666666664</c:v>
                </c:pt>
                <c:pt idx="47">
                  <c:v>334.00479999999993</c:v>
                </c:pt>
                <c:pt idx="48">
                  <c:v>340.96323333333333</c:v>
                </c:pt>
                <c:pt idx="49">
                  <c:v>347.92166666666662</c:v>
                </c:pt>
                <c:pt idx="50">
                  <c:v>354.88009999999991</c:v>
                </c:pt>
                <c:pt idx="51">
                  <c:v>361.83853333333332</c:v>
                </c:pt>
                <c:pt idx="52">
                  <c:v>368.79696666666661</c:v>
                </c:pt>
                <c:pt idx="53">
                  <c:v>375.75540000000001</c:v>
                </c:pt>
                <c:pt idx="54">
                  <c:v>382.7138333333333</c:v>
                </c:pt>
                <c:pt idx="55">
                  <c:v>389.6722666666667</c:v>
                </c:pt>
                <c:pt idx="56">
                  <c:v>396.63070000000005</c:v>
                </c:pt>
                <c:pt idx="57">
                  <c:v>403.58913333333345</c:v>
                </c:pt>
                <c:pt idx="58">
                  <c:v>410.5475666666668</c:v>
                </c:pt>
                <c:pt idx="59">
                  <c:v>417.50600000000014</c:v>
                </c:pt>
              </c:numCache>
            </c:numRef>
          </c:val>
          <c:smooth val="0"/>
        </c:ser>
        <c:ser>
          <c:idx val="1"/>
          <c:order val="1"/>
          <c:tx>
            <c:strRef>
              <c:f>CarbonFootprint!$I$2:$I$3</c:f>
              <c:strCache>
                <c:ptCount val="2"/>
                <c:pt idx="1">
                  <c:v>Alberta's 2017 Carbon Tax ($30M/MT)</c:v>
                </c:pt>
              </c:strCache>
            </c:strRef>
          </c:tx>
          <c:spPr>
            <a:ln w="28575" cap="rnd">
              <a:solidFill>
                <a:schemeClr val="accent2"/>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CarbonFootprint!$I$4:$I$63</c:f>
              <c:numCache>
                <c:formatCode>_("$"* #,##0.00_);_("$"* \(#,##0.00\);_("$"* "-"??_);_(@_)</c:formatCode>
                <c:ptCount val="60"/>
                <c:pt idx="0">
                  <c:v>10.437649999999998</c:v>
                </c:pt>
                <c:pt idx="1">
                  <c:v>20.875299999999996</c:v>
                </c:pt>
                <c:pt idx="2">
                  <c:v>31.312950000000004</c:v>
                </c:pt>
                <c:pt idx="3">
                  <c:v>41.750599999999991</c:v>
                </c:pt>
                <c:pt idx="4">
                  <c:v>52.188249999999989</c:v>
                </c:pt>
                <c:pt idx="5">
                  <c:v>62.625899999999994</c:v>
                </c:pt>
                <c:pt idx="6">
                  <c:v>73.063550000000006</c:v>
                </c:pt>
                <c:pt idx="7">
                  <c:v>83.501199999999983</c:v>
                </c:pt>
                <c:pt idx="8">
                  <c:v>93.938850000000002</c:v>
                </c:pt>
                <c:pt idx="9">
                  <c:v>104.37649999999998</c:v>
                </c:pt>
                <c:pt idx="10">
                  <c:v>114.81415</c:v>
                </c:pt>
                <c:pt idx="11">
                  <c:v>125.25179999999999</c:v>
                </c:pt>
                <c:pt idx="12">
                  <c:v>135.68944999999999</c:v>
                </c:pt>
                <c:pt idx="13">
                  <c:v>146.12710000000001</c:v>
                </c:pt>
                <c:pt idx="14">
                  <c:v>156.56475</c:v>
                </c:pt>
                <c:pt idx="15">
                  <c:v>167.00239999999999</c:v>
                </c:pt>
                <c:pt idx="16">
                  <c:v>177.44005000000001</c:v>
                </c:pt>
                <c:pt idx="17">
                  <c:v>187.8777</c:v>
                </c:pt>
                <c:pt idx="18">
                  <c:v>198.31535</c:v>
                </c:pt>
                <c:pt idx="19">
                  <c:v>208.75299999999999</c:v>
                </c:pt>
                <c:pt idx="20">
                  <c:v>219.19065000000001</c:v>
                </c:pt>
                <c:pt idx="21">
                  <c:v>229.6283</c:v>
                </c:pt>
                <c:pt idx="22">
                  <c:v>240.06594999999996</c:v>
                </c:pt>
                <c:pt idx="23">
                  <c:v>250.50359999999998</c:v>
                </c:pt>
                <c:pt idx="24">
                  <c:v>260.94124999999997</c:v>
                </c:pt>
                <c:pt idx="25">
                  <c:v>271.37889999999999</c:v>
                </c:pt>
                <c:pt idx="26">
                  <c:v>281.81655000000001</c:v>
                </c:pt>
                <c:pt idx="27">
                  <c:v>292.25420000000003</c:v>
                </c:pt>
                <c:pt idx="28">
                  <c:v>302.69185000000004</c:v>
                </c:pt>
                <c:pt idx="29">
                  <c:v>313.12950000000001</c:v>
                </c:pt>
                <c:pt idx="30">
                  <c:v>323.56715000000003</c:v>
                </c:pt>
                <c:pt idx="31">
                  <c:v>334.00479999999999</c:v>
                </c:pt>
                <c:pt idx="32">
                  <c:v>344.44245000000001</c:v>
                </c:pt>
                <c:pt idx="33">
                  <c:v>354.88010000000003</c:v>
                </c:pt>
                <c:pt idx="34">
                  <c:v>365.31774999999999</c:v>
                </c:pt>
                <c:pt idx="35">
                  <c:v>375.75540000000001</c:v>
                </c:pt>
                <c:pt idx="36">
                  <c:v>386.19305000000003</c:v>
                </c:pt>
                <c:pt idx="37">
                  <c:v>396.63069999999999</c:v>
                </c:pt>
                <c:pt idx="38">
                  <c:v>407.06835000000001</c:v>
                </c:pt>
                <c:pt idx="39">
                  <c:v>417.50599999999997</c:v>
                </c:pt>
                <c:pt idx="40">
                  <c:v>427.94364999999999</c:v>
                </c:pt>
                <c:pt idx="41">
                  <c:v>438.38130000000001</c:v>
                </c:pt>
                <c:pt idx="42">
                  <c:v>448.81894999999997</c:v>
                </c:pt>
                <c:pt idx="43">
                  <c:v>459.25659999999999</c:v>
                </c:pt>
                <c:pt idx="44">
                  <c:v>469.69424999999995</c:v>
                </c:pt>
                <c:pt idx="45">
                  <c:v>480.13189999999992</c:v>
                </c:pt>
                <c:pt idx="46">
                  <c:v>490.56954999999999</c:v>
                </c:pt>
                <c:pt idx="47">
                  <c:v>501.00719999999995</c:v>
                </c:pt>
                <c:pt idx="48">
                  <c:v>511.44484999999997</c:v>
                </c:pt>
                <c:pt idx="49">
                  <c:v>521.88249999999994</c:v>
                </c:pt>
                <c:pt idx="50">
                  <c:v>532.3201499999999</c:v>
                </c:pt>
                <c:pt idx="51">
                  <c:v>542.75779999999997</c:v>
                </c:pt>
                <c:pt idx="52">
                  <c:v>553.19545000000005</c:v>
                </c:pt>
                <c:pt idx="53">
                  <c:v>563.63310000000001</c:v>
                </c:pt>
                <c:pt idx="54">
                  <c:v>574.07074999999998</c:v>
                </c:pt>
                <c:pt idx="55">
                  <c:v>584.50840000000005</c:v>
                </c:pt>
                <c:pt idx="56">
                  <c:v>594.94605000000013</c:v>
                </c:pt>
                <c:pt idx="57">
                  <c:v>605.38370000000009</c:v>
                </c:pt>
                <c:pt idx="58">
                  <c:v>615.82135000000028</c:v>
                </c:pt>
                <c:pt idx="59">
                  <c:v>626.25900000000024</c:v>
                </c:pt>
              </c:numCache>
            </c:numRef>
          </c:val>
          <c:smooth val="0"/>
        </c:ser>
        <c:ser>
          <c:idx val="2"/>
          <c:order val="2"/>
          <c:tx>
            <c:v>"Carbon Reinvestment" Tax</c:v>
          </c:tx>
          <c:spPr>
            <a:ln w="28575" cap="rnd">
              <a:solidFill>
                <a:schemeClr val="accent3"/>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CarbonFootprint!$J$4:$J$63</c:f>
              <c:numCache>
                <c:formatCode>_("$"* #,##0.00_);_("$"* \(#,##0.00\);_("$"* "-"??_);_(@_)</c:formatCode>
                <c:ptCount val="60"/>
                <c:pt idx="0">
                  <c:v>5.2012499999999999</c:v>
                </c:pt>
                <c:pt idx="1">
                  <c:v>5.6693625000000001</c:v>
                </c:pt>
                <c:pt idx="2">
                  <c:v>6.1787625000000004</c:v>
                </c:pt>
                <c:pt idx="3">
                  <c:v>6.7340625000000003</c:v>
                </c:pt>
                <c:pt idx="4">
                  <c:v>7.3397625</c:v>
                </c:pt>
                <c:pt idx="5">
                  <c:v>7.9994624999999999</c:v>
                </c:pt>
                <c:pt idx="6">
                  <c:v>8.7185625000000009</c:v>
                </c:pt>
                <c:pt idx="7">
                  <c:v>9.5024625</c:v>
                </c:pt>
                <c:pt idx="8">
                  <c:v>10.3574625</c:v>
                </c:pt>
                <c:pt idx="9">
                  <c:v>11.2889625</c:v>
                </c:pt>
                <c:pt idx="10">
                  <c:v>12.3041625</c:v>
                </c:pt>
                <c:pt idx="11">
                  <c:v>13.4111625</c:v>
                </c:pt>
                <c:pt idx="12">
                  <c:v>14.618062500000001</c:v>
                </c:pt>
                <c:pt idx="13">
                  <c:v>15.9329625</c:v>
                </c:pt>
                <c:pt idx="14">
                  <c:v>17.3666625</c:v>
                </c:pt>
                <c:pt idx="15">
                  <c:v>18.929062500000001</c:v>
                </c:pt>
                <c:pt idx="16">
                  <c:v>20.6318625</c:v>
                </c:pt>
                <c:pt idx="17">
                  <c:v>22.4885625</c:v>
                </c:pt>
                <c:pt idx="18">
                  <c:v>24.5117625</c:v>
                </c:pt>
                <c:pt idx="19">
                  <c:v>26.717662499999999</c:v>
                </c:pt>
                <c:pt idx="20">
                  <c:v>29.1215625</c:v>
                </c:pt>
                <c:pt idx="21">
                  <c:v>31.273462500000001</c:v>
                </c:pt>
                <c:pt idx="22">
                  <c:v>33.578362499999997</c:v>
                </c:pt>
                <c:pt idx="23">
                  <c:v>36.044362499999998</c:v>
                </c:pt>
                <c:pt idx="24">
                  <c:v>38.6822625</c:v>
                </c:pt>
                <c:pt idx="25">
                  <c:v>41.503762500000001</c:v>
                </c:pt>
                <c:pt idx="26">
                  <c:v>44.519662500000003</c:v>
                </c:pt>
                <c:pt idx="27">
                  <c:v>47.741662499999997</c:v>
                </c:pt>
                <c:pt idx="28">
                  <c:v>51.183262499999998</c:v>
                </c:pt>
                <c:pt idx="29">
                  <c:v>54.857962499999999</c:v>
                </c:pt>
                <c:pt idx="30">
                  <c:v>58.779262500000002</c:v>
                </c:pt>
                <c:pt idx="31">
                  <c:v>62.961562499999999</c:v>
                </c:pt>
                <c:pt idx="32">
                  <c:v>67.421062500000005</c:v>
                </c:pt>
                <c:pt idx="33">
                  <c:v>72.173962500000002</c:v>
                </c:pt>
                <c:pt idx="34">
                  <c:v>77.2355625</c:v>
                </c:pt>
                <c:pt idx="35">
                  <c:v>82.623862500000001</c:v>
                </c:pt>
                <c:pt idx="36">
                  <c:v>88.356862500000005</c:v>
                </c:pt>
                <c:pt idx="37">
                  <c:v>94.451662499999998</c:v>
                </c:pt>
                <c:pt idx="38">
                  <c:v>100.9289625</c:v>
                </c:pt>
                <c:pt idx="39">
                  <c:v>107.8058625</c:v>
                </c:pt>
                <c:pt idx="40">
                  <c:v>115.10396249999999</c:v>
                </c:pt>
                <c:pt idx="41">
                  <c:v>122.8421625</c:v>
                </c:pt>
                <c:pt idx="42">
                  <c:v>131.0834625</c:v>
                </c:pt>
                <c:pt idx="43">
                  <c:v>139.8593625</c:v>
                </c:pt>
                <c:pt idx="44">
                  <c:v>149.20226249999999</c:v>
                </c:pt>
                <c:pt idx="45">
                  <c:v>159.14906250000001</c:v>
                </c:pt>
                <c:pt idx="46">
                  <c:v>169.73666249999999</c:v>
                </c:pt>
                <c:pt idx="47">
                  <c:v>181.0064625</c:v>
                </c:pt>
                <c:pt idx="48">
                  <c:v>192.99986250000001</c:v>
                </c:pt>
                <c:pt idx="49">
                  <c:v>205.76276250000001</c:v>
                </c:pt>
                <c:pt idx="50">
                  <c:v>219.3446625</c:v>
                </c:pt>
                <c:pt idx="51">
                  <c:v>233.7959625</c:v>
                </c:pt>
                <c:pt idx="52">
                  <c:v>249.17066249999999</c:v>
                </c:pt>
                <c:pt idx="53">
                  <c:v>265.52816250000001</c:v>
                </c:pt>
                <c:pt idx="54">
                  <c:v>282.92966250000001</c:v>
                </c:pt>
                <c:pt idx="55">
                  <c:v>301.44176249999998</c:v>
                </c:pt>
                <c:pt idx="56">
                  <c:v>321.13556249999999</c:v>
                </c:pt>
                <c:pt idx="57">
                  <c:v>342.08576249999999</c:v>
                </c:pt>
                <c:pt idx="58">
                  <c:v>364.37246249999998</c:v>
                </c:pt>
                <c:pt idx="59">
                  <c:v>388.08296250000001</c:v>
                </c:pt>
              </c:numCache>
            </c:numRef>
          </c:val>
          <c:smooth val="0"/>
        </c:ser>
        <c:dLbls>
          <c:showLegendKey val="0"/>
          <c:showVal val="0"/>
          <c:showCatName val="0"/>
          <c:showSerName val="0"/>
          <c:showPercent val="0"/>
          <c:showBubbleSize val="0"/>
        </c:dLbls>
        <c:smooth val="0"/>
        <c:axId val="235757264"/>
        <c:axId val="235767056"/>
      </c:lineChart>
      <c:catAx>
        <c:axId val="23575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atin typeface="Arial" panose="020B0604020202020204" pitchFamily="34" charset="0"/>
                    <a:cs typeface="Arial" panose="020B0604020202020204" pitchFamily="34" charset="0"/>
                  </a:rPr>
                  <a:t>Years</a:t>
                </a:r>
              </a:p>
            </c:rich>
          </c:tx>
          <c:layout>
            <c:manualLayout>
              <c:xMode val="edge"/>
              <c:yMode val="edge"/>
              <c:x val="0.48168206180385198"/>
              <c:y val="0.894021773344224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767056"/>
        <c:crosses val="autoZero"/>
        <c:auto val="1"/>
        <c:lblAlgn val="ctr"/>
        <c:lblOffset val="100"/>
        <c:noMultiLvlLbl val="0"/>
      </c:catAx>
      <c:valAx>
        <c:axId val="23576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Amount Collected (Billions)</a:t>
                </a:r>
              </a:p>
            </c:rich>
          </c:tx>
          <c:layout>
            <c:manualLayout>
              <c:xMode val="edge"/>
              <c:yMode val="edge"/>
              <c:x val="1.3772325298528029E-2"/>
              <c:y val="0.29143499018217933"/>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757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Carbon Reinvestment</a:t>
            </a:r>
            <a:r>
              <a:rPr lang="en-CA" baseline="0"/>
              <a:t> Tax as a Percentage from the Carbon Tax</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CarbonFootprint!$K$2:$K$3</c:f>
              <c:strCache>
                <c:ptCount val="2"/>
                <c:pt idx="1">
                  <c:v>% of 2016 tax</c:v>
                </c:pt>
              </c:strCache>
            </c:strRef>
          </c:tx>
          <c:spPr>
            <a:ln w="28575" cap="rnd">
              <a:solidFill>
                <a:schemeClr val="accent1"/>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CarbonFootprint!$K$4:$K$63</c:f>
              <c:numCache>
                <c:formatCode>0%</c:formatCode>
                <c:ptCount val="60"/>
                <c:pt idx="0">
                  <c:v>0.74747428779466651</c:v>
                </c:pt>
                <c:pt idx="1">
                  <c:v>0.40737348684809327</c:v>
                </c:pt>
                <c:pt idx="2">
                  <c:v>0.29598436908691128</c:v>
                </c:pt>
                <c:pt idx="3">
                  <c:v>0.24193888830340168</c:v>
                </c:pt>
                <c:pt idx="4">
                  <c:v>0.21096020176955541</c:v>
                </c:pt>
                <c:pt idx="5">
                  <c:v>0.19160113866627071</c:v>
                </c:pt>
                <c:pt idx="6">
                  <c:v>0.1789927227735307</c:v>
                </c:pt>
                <c:pt idx="7">
                  <c:v>0.17070046598132724</c:v>
                </c:pt>
                <c:pt idx="8">
                  <c:v>0.16538624594616605</c:v>
                </c:pt>
                <c:pt idx="9">
                  <c:v>0.16223425531609126</c:v>
                </c:pt>
                <c:pt idx="10">
                  <c:v>0.16074886022323903</c:v>
                </c:pt>
                <c:pt idx="11">
                  <c:v>0.16061041637724971</c:v>
                </c:pt>
                <c:pt idx="12">
                  <c:v>0.16159763157710494</c:v>
                </c:pt>
                <c:pt idx="13">
                  <c:v>0.16355243996493463</c:v>
                </c:pt>
                <c:pt idx="14">
                  <c:v>0.16638479447001961</c:v>
                </c:pt>
                <c:pt idx="15">
                  <c:v>0.17001907607315822</c:v>
                </c:pt>
                <c:pt idx="16">
                  <c:v>0.17441267487244286</c:v>
                </c:pt>
                <c:pt idx="17">
                  <c:v>0.17954682088401125</c:v>
                </c:pt>
                <c:pt idx="18">
                  <c:v>0.18539988835962523</c:v>
                </c:pt>
                <c:pt idx="19">
                  <c:v>0.19198044459241304</c:v>
                </c:pt>
                <c:pt idx="20">
                  <c:v>0.19928926598830743</c:v>
                </c:pt>
                <c:pt idx="21">
                  <c:v>0.20428751051155281</c:v>
                </c:pt>
                <c:pt idx="22">
                  <c:v>0.20980711237891089</c:v>
                </c:pt>
                <c:pt idx="23">
                  <c:v>0.21583140421934061</c:v>
                </c:pt>
                <c:pt idx="24">
                  <c:v>0.22236190617619869</c:v>
                </c:pt>
                <c:pt idx="25">
                  <c:v>0.2294048791191946</c:v>
                </c:pt>
                <c:pt idx="26">
                  <c:v>0.23696086603146621</c:v>
                </c:pt>
                <c:pt idx="27">
                  <c:v>0.24503495159350999</c:v>
                </c:pt>
                <c:pt idx="28">
                  <c:v>0.25364043911324335</c:v>
                </c:pt>
                <c:pt idx="29">
                  <c:v>0.26278885812419461</c:v>
                </c:pt>
                <c:pt idx="30">
                  <c:v>0.27249025047814651</c:v>
                </c:pt>
                <c:pt idx="31">
                  <c:v>0.28275744465349001</c:v>
                </c:pt>
                <c:pt idx="32">
                  <c:v>0.29360955291660479</c:v>
                </c:pt>
                <c:pt idx="33">
                  <c:v>0.3050634390319435</c:v>
                </c:pt>
                <c:pt idx="34">
                  <c:v>0.31713034406348994</c:v>
                </c:pt>
                <c:pt idx="35">
                  <c:v>0.32983103835633498</c:v>
                </c:pt>
                <c:pt idx="36">
                  <c:v>0.34318404681285691</c:v>
                </c:pt>
                <c:pt idx="37">
                  <c:v>0.35720254067574703</c:v>
                </c:pt>
                <c:pt idx="38">
                  <c:v>0.37191160587650701</c:v>
                </c:pt>
                <c:pt idx="39">
                  <c:v>0.38732088580762913</c:v>
                </c:pt>
                <c:pt idx="40">
                  <c:v>0.40345485614753246</c:v>
                </c:pt>
                <c:pt idx="41">
                  <c:v>0.42032642302488721</c:v>
                </c:pt>
                <c:pt idx="42">
                  <c:v>0.43809467882316466</c:v>
                </c:pt>
                <c:pt idx="43">
                  <c:v>0.45680136932163851</c:v>
                </c:pt>
                <c:pt idx="44">
                  <c:v>0.47648740377383791</c:v>
                </c:pt>
                <c:pt idx="45">
                  <c:v>0.49720419274370242</c:v>
                </c:pt>
                <c:pt idx="46">
                  <c:v>0.51899877142802686</c:v>
                </c:pt>
                <c:pt idx="47">
                  <c:v>0.54192772828414448</c:v>
                </c:pt>
                <c:pt idx="48">
                  <c:v>0.56604303230348296</c:v>
                </c:pt>
                <c:pt idx="49">
                  <c:v>0.59140542890401582</c:v>
                </c:pt>
                <c:pt idx="50">
                  <c:v>0.61808104342847081</c:v>
                </c:pt>
                <c:pt idx="51">
                  <c:v>0.64613340195203095</c:v>
                </c:pt>
                <c:pt idx="52">
                  <c:v>0.67563099759768463</c:v>
                </c:pt>
                <c:pt idx="53">
                  <c:v>0.70665162097470857</c:v>
                </c:pt>
                <c:pt idx="54">
                  <c:v>0.73927210844656355</c:v>
                </c:pt>
                <c:pt idx="55">
                  <c:v>0.77357766586416876</c:v>
                </c:pt>
                <c:pt idx="56">
                  <c:v>0.80965886528702879</c:v>
                </c:pt>
                <c:pt idx="57">
                  <c:v>0.84760895238837752</c:v>
                </c:pt>
                <c:pt idx="58">
                  <c:v>0.88752800426617195</c:v>
                </c:pt>
                <c:pt idx="59">
                  <c:v>0.92952667147298451</c:v>
                </c:pt>
              </c:numCache>
            </c:numRef>
          </c:val>
          <c:smooth val="0"/>
        </c:ser>
        <c:ser>
          <c:idx val="1"/>
          <c:order val="1"/>
          <c:tx>
            <c:strRef>
              <c:f>CarbonFootprint!$L$2:$L$3</c:f>
              <c:strCache>
                <c:ptCount val="2"/>
                <c:pt idx="1">
                  <c:v>% of 2017 tax</c:v>
                </c:pt>
              </c:strCache>
            </c:strRef>
          </c:tx>
          <c:spPr>
            <a:ln w="28575" cap="rnd">
              <a:solidFill>
                <a:schemeClr val="accent2"/>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CarbonFootprint!$L$4:$L$63</c:f>
              <c:numCache>
                <c:formatCode>0%</c:formatCode>
                <c:ptCount val="60"/>
                <c:pt idx="0">
                  <c:v>0.49831619186311105</c:v>
                </c:pt>
                <c:pt idx="1">
                  <c:v>0.27158232456539555</c:v>
                </c:pt>
                <c:pt idx="2">
                  <c:v>0.19732291272460753</c:v>
                </c:pt>
                <c:pt idx="3">
                  <c:v>0.1612925922022678</c:v>
                </c:pt>
                <c:pt idx="4">
                  <c:v>0.14064013451303697</c:v>
                </c:pt>
                <c:pt idx="5">
                  <c:v>0.12773409244418046</c:v>
                </c:pt>
                <c:pt idx="6">
                  <c:v>0.11932848184902048</c:v>
                </c:pt>
                <c:pt idx="7">
                  <c:v>0.11380031065421817</c:v>
                </c:pt>
                <c:pt idx="8">
                  <c:v>0.11025749729744404</c:v>
                </c:pt>
                <c:pt idx="9">
                  <c:v>0.10815617021072753</c:v>
                </c:pt>
                <c:pt idx="10">
                  <c:v>0.10716590681549269</c:v>
                </c:pt>
                <c:pt idx="11">
                  <c:v>0.10707361091816646</c:v>
                </c:pt>
                <c:pt idx="12">
                  <c:v>0.10773175438473663</c:v>
                </c:pt>
                <c:pt idx="13">
                  <c:v>0.10903495997662309</c:v>
                </c:pt>
                <c:pt idx="14">
                  <c:v>0.11092319631334639</c:v>
                </c:pt>
                <c:pt idx="15">
                  <c:v>0.11334605071543882</c:v>
                </c:pt>
                <c:pt idx="16">
                  <c:v>0.11627511658162855</c:v>
                </c:pt>
                <c:pt idx="17">
                  <c:v>0.11969788058934083</c:v>
                </c:pt>
                <c:pt idx="18">
                  <c:v>0.12359992557308348</c:v>
                </c:pt>
                <c:pt idx="19">
                  <c:v>0.1279869630616087</c:v>
                </c:pt>
                <c:pt idx="20">
                  <c:v>0.13285951065887161</c:v>
                </c:pt>
                <c:pt idx="21">
                  <c:v>0.13619167367436855</c:v>
                </c:pt>
                <c:pt idx="22">
                  <c:v>0.13987140825260727</c:v>
                </c:pt>
                <c:pt idx="23">
                  <c:v>0.1438876028128937</c:v>
                </c:pt>
                <c:pt idx="24">
                  <c:v>0.14824127078413246</c:v>
                </c:pt>
                <c:pt idx="25">
                  <c:v>0.15293658607946309</c:v>
                </c:pt>
                <c:pt idx="26">
                  <c:v>0.15797391068764416</c:v>
                </c:pt>
                <c:pt idx="27">
                  <c:v>0.16335663439567333</c:v>
                </c:pt>
                <c:pt idx="28">
                  <c:v>0.16909362607549555</c:v>
                </c:pt>
                <c:pt idx="29">
                  <c:v>0.1751925720827964</c:v>
                </c:pt>
                <c:pt idx="30">
                  <c:v>0.181660166985431</c:v>
                </c:pt>
                <c:pt idx="31">
                  <c:v>0.18850496310232667</c:v>
                </c:pt>
                <c:pt idx="32">
                  <c:v>0.19573970194440321</c:v>
                </c:pt>
                <c:pt idx="33">
                  <c:v>0.20337562602129564</c:v>
                </c:pt>
                <c:pt idx="34">
                  <c:v>0.21142022937565996</c:v>
                </c:pt>
                <c:pt idx="35">
                  <c:v>0.21988735890422334</c:v>
                </c:pt>
                <c:pt idx="36">
                  <c:v>0.22878936454190463</c:v>
                </c:pt>
                <c:pt idx="37">
                  <c:v>0.23813502711716467</c:v>
                </c:pt>
                <c:pt idx="38">
                  <c:v>0.24794107058433798</c:v>
                </c:pt>
                <c:pt idx="39">
                  <c:v>0.25821392387175279</c:v>
                </c:pt>
                <c:pt idx="40">
                  <c:v>0.26896990409835497</c:v>
                </c:pt>
                <c:pt idx="41">
                  <c:v>0.28021761534992484</c:v>
                </c:pt>
                <c:pt idx="42">
                  <c:v>0.29206311921544315</c:v>
                </c:pt>
                <c:pt idx="43">
                  <c:v>0.30453424621442565</c:v>
                </c:pt>
                <c:pt idx="44">
                  <c:v>0.31765826918255868</c:v>
                </c:pt>
                <c:pt idx="45">
                  <c:v>0.33146946182913495</c:v>
                </c:pt>
                <c:pt idx="46">
                  <c:v>0.34599918095201793</c:v>
                </c:pt>
                <c:pt idx="47">
                  <c:v>0.36128515218942964</c:v>
                </c:pt>
                <c:pt idx="48">
                  <c:v>0.37736202153565535</c:v>
                </c:pt>
                <c:pt idx="49">
                  <c:v>0.39427028593601054</c:v>
                </c:pt>
                <c:pt idx="50">
                  <c:v>0.41205402895231386</c:v>
                </c:pt>
                <c:pt idx="51">
                  <c:v>0.43075560130135399</c:v>
                </c:pt>
                <c:pt idx="52">
                  <c:v>0.45042066506512296</c:v>
                </c:pt>
                <c:pt idx="53">
                  <c:v>0.47110108064980571</c:v>
                </c:pt>
                <c:pt idx="54">
                  <c:v>0.49284807229770899</c:v>
                </c:pt>
                <c:pt idx="55">
                  <c:v>0.51571844390944588</c:v>
                </c:pt>
                <c:pt idx="56">
                  <c:v>0.53977257685801916</c:v>
                </c:pt>
                <c:pt idx="57">
                  <c:v>0.56507263492558513</c:v>
                </c:pt>
                <c:pt idx="58">
                  <c:v>0.5916853361774479</c:v>
                </c:pt>
                <c:pt idx="59">
                  <c:v>0.61968444764865627</c:v>
                </c:pt>
              </c:numCache>
            </c:numRef>
          </c:val>
          <c:smooth val="0"/>
        </c:ser>
        <c:dLbls>
          <c:showLegendKey val="0"/>
          <c:showVal val="0"/>
          <c:showCatName val="0"/>
          <c:showSerName val="0"/>
          <c:showPercent val="0"/>
          <c:showBubbleSize val="0"/>
        </c:dLbls>
        <c:smooth val="0"/>
        <c:axId val="235759440"/>
        <c:axId val="235762160"/>
      </c:lineChart>
      <c:catAx>
        <c:axId val="235759440"/>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8334012511675478"/>
              <c:y val="0.855512315768221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762160"/>
        <c:crosses val="autoZero"/>
        <c:auto val="1"/>
        <c:lblAlgn val="ctr"/>
        <c:lblOffset val="100"/>
        <c:noMultiLvlLbl val="0"/>
      </c:catAx>
      <c:valAx>
        <c:axId val="23576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Percentage of the Carbon Tax</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75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absoluteAnchor>
    <xdr:pos x="304800" y="457200"/>
    <xdr:ext cx="2047875" cy="3048000"/>
    <xdr:pic>
      <xdr:nvPicPr>
        <xdr:cNvPr id="2" name="image03.png" descr="http://upload.wikimedia.org/wikipedia/commons/thumb/7/7a/Athabasca_Oil_Sands_map.png/220px-Athabasca_Oil_Sands_map.png"/>
        <xdr:cNvPicPr preferRelativeResize="0"/>
      </xdr:nvPicPr>
      <xdr:blipFill>
        <a:blip xmlns:r="http://schemas.openxmlformats.org/officeDocument/2006/relationships" r:embed="rId1" cstate="print"/>
        <a:stretch>
          <a:fillRect/>
        </a:stretch>
      </xdr:blipFill>
      <xdr:spPr>
        <a:xfrm>
          <a:off x="0" y="0"/>
          <a:ext cx="2047875" cy="3048000"/>
        </a:xfrm>
        <a:prstGeom prst="rect">
          <a:avLst/>
        </a:prstGeom>
        <a:noFill/>
      </xdr:spPr>
    </xdr:pic>
    <xdr:clientData fLocksWithSheet="0"/>
  </xdr:absoluteAnchor>
  <xdr:absoluteAnchor>
    <xdr:pos x="5943600" y="590550"/>
    <xdr:ext cx="4724400" cy="5715000"/>
    <xdr:pic>
      <xdr:nvPicPr>
        <xdr:cNvPr id="3" name="image02.gif" descr="File:Insolation.gif"/>
        <xdr:cNvPicPr preferRelativeResize="0"/>
      </xdr:nvPicPr>
      <xdr:blipFill>
        <a:blip xmlns:r="http://schemas.openxmlformats.org/officeDocument/2006/relationships" r:embed="rId2" cstate="print"/>
        <a:stretch>
          <a:fillRect/>
        </a:stretch>
      </xdr:blipFill>
      <xdr:spPr>
        <a:xfrm>
          <a:off x="5943600" y="590550"/>
          <a:ext cx="4724400" cy="5715000"/>
        </a:xfrm>
        <a:prstGeom prst="rect">
          <a:avLst/>
        </a:prstGeom>
        <a:noFill/>
      </xdr:spPr>
    </xdr:pic>
    <xdr:clientData fLocksWithSheet="0"/>
  </xdr:absoluteAnchor>
  <xdr:absoluteAnchor>
    <xdr:pos x="323850" y="6877050"/>
    <xdr:ext cx="7448550" cy="4533900"/>
    <xdr:pic>
      <xdr:nvPicPr>
        <xdr:cNvPr id="4" name="image04.png"/>
        <xdr:cNvPicPr preferRelativeResize="0"/>
      </xdr:nvPicPr>
      <xdr:blipFill>
        <a:blip xmlns:r="http://schemas.openxmlformats.org/officeDocument/2006/relationships" r:embed="rId3" cstate="print"/>
        <a:stretch>
          <a:fillRect/>
        </a:stretch>
      </xdr:blipFill>
      <xdr:spPr>
        <a:xfrm>
          <a:off x="0" y="0"/>
          <a:ext cx="7448550" cy="4533900"/>
        </a:xfrm>
        <a:prstGeom prst="rect">
          <a:avLst/>
        </a:prstGeom>
        <a:noFill/>
      </xdr:spPr>
    </xdr:pic>
    <xdr:clientData fLocksWithSheet="0"/>
  </xdr:absoluteAnchor>
  <xdr:absoluteAnchor>
    <xdr:pos x="76200" y="4267200"/>
    <xdr:ext cx="5705475" cy="2171700"/>
    <xdr:pic>
      <xdr:nvPicPr>
        <xdr:cNvPr id="5" name="image01.png" descr="http://fs.weatherspark.com.s3.amazonaws.com/production/reports/year/000/028/151/9154c163/daily_hours_of_daylight_and_twilight_hours_h.png"/>
        <xdr:cNvPicPr preferRelativeResize="0"/>
      </xdr:nvPicPr>
      <xdr:blipFill>
        <a:blip xmlns:r="http://schemas.openxmlformats.org/officeDocument/2006/relationships" r:embed="rId4" cstate="print"/>
        <a:stretch>
          <a:fillRect/>
        </a:stretch>
      </xdr:blipFill>
      <xdr:spPr>
        <a:xfrm>
          <a:off x="76200" y="4267200"/>
          <a:ext cx="5705475" cy="2171700"/>
        </a:xfrm>
        <a:prstGeom prst="rect">
          <a:avLst/>
        </a:prstGeom>
        <a:noFill/>
      </xdr:spPr>
    </xdr:pic>
    <xdr:clientData fLocksWithSheet="0"/>
  </xdr:absoluteAnchor>
</xdr:wsDr>
</file>

<file path=xl/drawings/drawing2.xml><?xml version="1.0" encoding="utf-8"?>
<xdr:wsDr xmlns:xdr="http://schemas.openxmlformats.org/drawingml/2006/spreadsheetDrawing" xmlns:a="http://schemas.openxmlformats.org/drawingml/2006/main">
  <xdr:absoluteAnchor>
    <xdr:pos x="6867525" y="438150"/>
    <xdr:ext cx="5600700" cy="342900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3.xml><?xml version="1.0" encoding="utf-8"?>
<xdr:wsDr xmlns:xdr="http://schemas.openxmlformats.org/drawingml/2006/spreadsheetDrawing" xmlns:a="http://schemas.openxmlformats.org/drawingml/2006/main">
  <xdr:absoluteAnchor>
    <xdr:pos x="3914775" y="2009774"/>
    <xdr:ext cx="9029700" cy="349567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dr:absoluteAnchor>
    <xdr:pos x="338667" y="13008428"/>
    <xdr:ext cx="7926915" cy="39624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absoluteAnchor>
    <xdr:pos x="9144000" y="12943416"/>
    <xdr:ext cx="6823226" cy="3989917"/>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dr:absoluteAnchor>
    <xdr:pos x="4219575" y="1600200"/>
    <xdr:ext cx="6762750" cy="4114800"/>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dr:absoluteAnchor>
    <xdr:pos x="266700" y="12658725"/>
    <xdr:ext cx="7324725" cy="3829050"/>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absoluteAnchor>
    <xdr:pos x="9039225" y="12649200"/>
    <xdr:ext cx="7277100" cy="3790950"/>
    <xdr:graphicFrame macro="">
      <xdr:nvGraphicFramePr>
        <xdr:cNvPr id="7"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absoluteAnchor>
</xdr:wsDr>
</file>

<file path=xl/drawings/drawing7.xml><?xml version="1.0" encoding="utf-8"?>
<xdr:wsDr xmlns:xdr="http://schemas.openxmlformats.org/drawingml/2006/spreadsheetDrawing" xmlns:a="http://schemas.openxmlformats.org/drawingml/2006/main">
  <xdr:twoCellAnchor>
    <xdr:from>
      <xdr:col>2</xdr:col>
      <xdr:colOff>61913</xdr:colOff>
      <xdr:row>63</xdr:row>
      <xdr:rowOff>133349</xdr:rowOff>
    </xdr:from>
    <xdr:to>
      <xdr:col>7</xdr:col>
      <xdr:colOff>85725</xdr:colOff>
      <xdr:row>83</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300036</xdr:colOff>
      <xdr:row>63</xdr:row>
      <xdr:rowOff>114300</xdr:rowOff>
    </xdr:from>
    <xdr:to>
      <xdr:col>12</xdr:col>
      <xdr:colOff>304800</xdr:colOff>
      <xdr:row>84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absoluteAnchor>
    <xdr:pos x="13468350" y="1190625"/>
    <xdr:ext cx="3200400" cy="5124450"/>
    <xdr:pic>
      <xdr:nvPicPr>
        <xdr:cNvPr id="2" name="image05.png"/>
        <xdr:cNvPicPr preferRelativeResize="0"/>
      </xdr:nvPicPr>
      <xdr:blipFill>
        <a:blip xmlns:r="http://schemas.openxmlformats.org/officeDocument/2006/relationships" r:embed="rId1" cstate="print"/>
        <a:stretch>
          <a:fillRect/>
        </a:stretch>
      </xdr:blipFill>
      <xdr:spPr>
        <a:xfrm>
          <a:off x="0" y="0"/>
          <a:ext cx="3200400" cy="5124450"/>
        </a:xfrm>
        <a:prstGeom prst="rect">
          <a:avLst/>
        </a:prstGeom>
        <a:noFill/>
      </xdr:spPr>
    </xdr:pic>
    <xdr:clientData fLocksWithSheet="0"/>
  </xdr:absoluteAnchor>
  <xdr:absoluteAnchor>
    <xdr:pos x="9067800" y="1162050"/>
    <xdr:ext cx="4314825" cy="6153150"/>
    <xdr:pic>
      <xdr:nvPicPr>
        <xdr:cNvPr id="3" name="image00.png"/>
        <xdr:cNvPicPr preferRelativeResize="0"/>
      </xdr:nvPicPr>
      <xdr:blipFill>
        <a:blip xmlns:r="http://schemas.openxmlformats.org/officeDocument/2006/relationships" r:embed="rId2" cstate="print"/>
        <a:stretch>
          <a:fillRect/>
        </a:stretch>
      </xdr:blipFill>
      <xdr:spPr>
        <a:xfrm>
          <a:off x="0" y="0"/>
          <a:ext cx="4314825" cy="6153150"/>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eatherspark.com/averages/28151/Fort-McMurray-Alberta-Canada" TargetMode="External"/><Relationship Id="rId13" Type="http://schemas.openxmlformats.org/officeDocument/2006/relationships/hyperlink" Target="http://www.cenovus.com/operations/docs/foster-creek/phase-j/appendix-3-2C.pdf"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www.epa.gov/cleanenergy/energy-resources/refs.html" TargetMode="External"/><Relationship Id="rId12" Type="http://schemas.openxmlformats.org/officeDocument/2006/relationships/hyperlink" Target="http://www.cenovus.com/operations/docs/foster-creek/phase-j/appendix-3-2C.pdf"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scientificamerican.com/article.cfm?id=tar-sands-and-keystone-xl-pipeline-impact-on-global-warming" TargetMode="External"/><Relationship Id="rId11" Type="http://schemas.openxmlformats.org/officeDocument/2006/relationships/hyperlink" Target="http://www.cenovus.com/operations/docs/foster-creek/phase-j/appendix-3-2C.pdf" TargetMode="External"/><Relationship Id="rId5" Type="http://schemas.openxmlformats.org/officeDocument/2006/relationships/hyperlink" Target="http://cleantechnica.com/2012/07/27/wind-turbine-net-capacity-factor-50-the-new-normal/" TargetMode="External"/><Relationship Id="rId15" Type="http://schemas.openxmlformats.org/officeDocument/2006/relationships/hyperlink" Target="http://www.cenovus.com/operations/docs/foster-creek/phase-j/appendix-3-2C.pdf"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power-technology.com/features/featurethe-worlds-biggest-wind-turbines-4154395/" TargetMode="External"/><Relationship Id="rId9" Type="http://schemas.openxmlformats.org/officeDocument/2006/relationships/hyperlink" Target="https://weatherspark.com/averages/28151/Fort-McMurray-Alberta-Canada" TargetMode="External"/><Relationship Id="rId14" Type="http://schemas.openxmlformats.org/officeDocument/2006/relationships/hyperlink" Target="http://www.cenovus.com/operations/docs/foster-creek/phase-j/appendix-3-2C.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hyperlink" Target="http://en.wikipedia.org/wiki/Electricity_sector_in_Canada" TargetMode="External"/><Relationship Id="rId2" Type="http://schemas.openxmlformats.org/officeDocument/2006/relationships/hyperlink" Target="http://en.wikipedia.org/wiki/Electricity_sector_in_Canada" TargetMode="External"/><Relationship Id="rId1" Type="http://schemas.openxmlformats.org/officeDocument/2006/relationships/hyperlink" Target="http://www.energy.alberta.ca/Electricity/682.asp" TargetMode="External"/><Relationship Id="rId4"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epa.gov/cleanenergy/energy-resources/refs.html" TargetMode="External"/><Relationship Id="rId2" Type="http://schemas.openxmlformats.org/officeDocument/2006/relationships/hyperlink" Target="http://www.scientificamerican.com/article.cfm?id=tar-sands-and-keystone-xl-pipeline-impact-on-global-warming" TargetMode="External"/><Relationship Id="rId1" Type="http://schemas.openxmlformats.org/officeDocument/2006/relationships/hyperlink" Target="http://oilprice.com/Energy/Energy-General/Keystone-XLs-Miniscule-CO2-Impact-and-the-Bigger-Picture.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rena.org/DocumentDownloads/Publications/RE_Technologies_Cost_Analysis-WIND_POWER.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seia.org/policy/environment/pv-recycl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showGridLines="0" tabSelected="1" topLeftCell="A27" workbookViewId="0">
      <selection activeCell="E27" sqref="E27"/>
    </sheetView>
  </sheetViews>
  <sheetFormatPr defaultColWidth="17.28515625" defaultRowHeight="15" customHeight="1"/>
  <cols>
    <col min="1" max="1" width="3.28515625" style="184" customWidth="1"/>
    <col min="2" max="2" width="83.42578125" customWidth="1"/>
    <col min="3" max="3" width="16.85546875" customWidth="1"/>
    <col min="4" max="4" width="5.140625" style="184" customWidth="1"/>
    <col min="5" max="5" width="8.85546875" customWidth="1"/>
    <col min="6" max="6" width="22.42578125" customWidth="1"/>
    <col min="7" max="7" width="11" customWidth="1"/>
    <col min="8" max="12" width="8.85546875" customWidth="1"/>
    <col min="13" max="13" width="9.42578125" customWidth="1"/>
  </cols>
  <sheetData>
    <row r="1" spans="1:13" ht="24.75" customHeight="1">
      <c r="A1" s="183"/>
      <c r="B1" s="362" t="s">
        <v>360</v>
      </c>
      <c r="C1" s="363"/>
      <c r="D1" s="363"/>
      <c r="E1" s="363"/>
      <c r="F1" s="363"/>
      <c r="G1" s="363"/>
      <c r="H1" s="363"/>
      <c r="I1" s="363"/>
      <c r="J1" s="363"/>
      <c r="K1" s="363"/>
      <c r="L1" s="363"/>
      <c r="M1" s="364"/>
    </row>
    <row r="2" spans="1:13">
      <c r="A2" s="183"/>
      <c r="B2" s="16"/>
      <c r="C2" s="15"/>
      <c r="D2" s="190"/>
      <c r="E2" s="15"/>
      <c r="F2" s="15"/>
      <c r="G2" s="15"/>
      <c r="H2" s="15"/>
      <c r="I2" s="15"/>
      <c r="J2" s="15"/>
      <c r="K2" s="15"/>
      <c r="L2" s="15"/>
      <c r="M2" s="15"/>
    </row>
    <row r="3" spans="1:13">
      <c r="A3" s="183"/>
      <c r="B3" s="16" t="s">
        <v>18</v>
      </c>
      <c r="C3" s="15"/>
      <c r="D3" s="190"/>
      <c r="E3" s="15"/>
      <c r="F3" s="15"/>
      <c r="G3" s="15"/>
      <c r="H3" s="15"/>
      <c r="I3" s="15"/>
      <c r="J3" s="15"/>
      <c r="K3" s="15"/>
      <c r="L3" s="15"/>
      <c r="M3" s="15"/>
    </row>
    <row r="4" spans="1:13">
      <c r="A4" s="183"/>
      <c r="B4" s="210" t="s">
        <v>19</v>
      </c>
      <c r="C4" s="15"/>
      <c r="D4" s="190"/>
      <c r="E4" s="15"/>
      <c r="F4" s="15"/>
      <c r="G4" s="15"/>
      <c r="H4" s="15"/>
      <c r="I4" s="15"/>
      <c r="J4" s="15"/>
      <c r="K4" s="15"/>
      <c r="L4" s="15"/>
      <c r="M4" s="15"/>
    </row>
    <row r="5" spans="1:13">
      <c r="A5" s="183"/>
      <c r="B5" s="209" t="s">
        <v>356</v>
      </c>
      <c r="C5" s="15"/>
      <c r="D5" s="190"/>
      <c r="E5" s="15"/>
      <c r="F5" s="15"/>
      <c r="G5" s="15"/>
      <c r="H5" s="15"/>
      <c r="I5" s="15"/>
      <c r="J5" s="15"/>
      <c r="K5" s="15"/>
      <c r="L5" s="15"/>
      <c r="M5" s="15"/>
    </row>
    <row r="6" spans="1:13">
      <c r="A6" s="183"/>
      <c r="B6" s="15" t="s">
        <v>20</v>
      </c>
      <c r="C6" s="15"/>
      <c r="D6" s="190"/>
      <c r="E6" s="15"/>
      <c r="F6" s="15"/>
      <c r="G6" s="15"/>
      <c r="H6" s="15"/>
      <c r="I6" s="15"/>
      <c r="J6" s="15"/>
      <c r="K6" s="15"/>
      <c r="L6" s="15"/>
      <c r="M6" s="15"/>
    </row>
    <row r="7" spans="1:13">
      <c r="A7" s="183"/>
      <c r="B7" s="15" t="s">
        <v>21</v>
      </c>
      <c r="C7" s="15"/>
      <c r="D7" s="190"/>
      <c r="E7" s="15"/>
      <c r="F7" s="15"/>
      <c r="G7" s="15"/>
      <c r="H7" s="15"/>
      <c r="I7" s="15"/>
      <c r="J7" s="15"/>
      <c r="K7" s="15"/>
      <c r="L7" s="15"/>
      <c r="M7" s="15"/>
    </row>
    <row r="8" spans="1:13">
      <c r="A8" s="183"/>
      <c r="B8" s="15" t="s">
        <v>22</v>
      </c>
      <c r="C8" s="15"/>
      <c r="D8" s="190"/>
      <c r="E8" s="15"/>
      <c r="F8" s="15"/>
      <c r="G8" s="15"/>
      <c r="H8" s="15"/>
      <c r="I8" s="15"/>
      <c r="J8" s="15"/>
      <c r="K8" s="15"/>
      <c r="L8" s="15"/>
      <c r="M8" s="15"/>
    </row>
    <row r="9" spans="1:13" s="184" customFormat="1" ht="15.75" customHeight="1">
      <c r="A9" s="183"/>
      <c r="B9" s="183"/>
      <c r="C9" s="183"/>
      <c r="D9" s="183"/>
      <c r="E9" s="183"/>
      <c r="F9" s="183"/>
      <c r="G9" s="183"/>
      <c r="H9" s="183"/>
      <c r="I9" s="183"/>
      <c r="J9" s="183"/>
      <c r="K9" s="183"/>
      <c r="L9" s="183"/>
      <c r="M9" s="183"/>
    </row>
    <row r="10" spans="1:13">
      <c r="A10" s="183"/>
      <c r="B10" s="18" t="s">
        <v>23</v>
      </c>
      <c r="C10" s="34"/>
      <c r="D10" s="191"/>
      <c r="E10" s="6" t="s">
        <v>13</v>
      </c>
      <c r="F10" s="2"/>
      <c r="G10" s="2"/>
      <c r="H10" s="2"/>
      <c r="I10" s="2"/>
      <c r="J10" s="2"/>
      <c r="K10" s="2"/>
      <c r="L10" s="2"/>
      <c r="M10" s="2"/>
    </row>
    <row r="11" spans="1:13">
      <c r="A11" s="183"/>
      <c r="B11" s="63" t="s">
        <v>73</v>
      </c>
      <c r="C11" s="65"/>
      <c r="D11" s="183"/>
      <c r="E11" s="2"/>
      <c r="F11" s="2"/>
      <c r="G11" s="2"/>
      <c r="H11" s="2"/>
      <c r="I11" s="2"/>
      <c r="J11" s="2"/>
      <c r="K11" s="2"/>
      <c r="L11" s="2"/>
      <c r="M11" s="2"/>
    </row>
    <row r="12" spans="1:13">
      <c r="A12" s="183"/>
      <c r="B12" s="71" t="s">
        <v>157</v>
      </c>
      <c r="C12" s="73">
        <v>140200</v>
      </c>
      <c r="D12" s="192"/>
      <c r="E12" s="6" t="s">
        <v>189</v>
      </c>
      <c r="F12" s="2"/>
      <c r="G12" s="2"/>
      <c r="H12" s="2"/>
      <c r="I12" s="2"/>
      <c r="J12" s="2"/>
      <c r="K12" s="2"/>
      <c r="L12" s="2"/>
      <c r="M12" s="2"/>
    </row>
    <row r="13" spans="1:13" ht="15.75" customHeight="1">
      <c r="A13" s="183"/>
      <c r="B13" s="74" t="s">
        <v>190</v>
      </c>
      <c r="C13" s="75">
        <f>C12*1000000*Forests!C5/1000000000</f>
        <v>3.6722828783628572</v>
      </c>
      <c r="D13" s="188"/>
      <c r="E13" s="6" t="s">
        <v>7</v>
      </c>
      <c r="F13" s="2"/>
      <c r="G13" s="2"/>
      <c r="H13" s="2"/>
      <c r="I13" s="2"/>
      <c r="J13" s="2"/>
      <c r="K13" s="2"/>
      <c r="L13" s="2"/>
      <c r="M13" s="2"/>
    </row>
    <row r="14" spans="1:13" s="184" customFormat="1">
      <c r="A14" s="183"/>
      <c r="B14" s="186"/>
      <c r="C14" s="187"/>
      <c r="D14" s="188"/>
      <c r="E14" s="189"/>
      <c r="F14" s="183"/>
      <c r="G14" s="183"/>
      <c r="H14" s="183"/>
      <c r="I14" s="183"/>
      <c r="J14" s="183"/>
      <c r="K14" s="183"/>
      <c r="L14" s="183"/>
      <c r="M14" s="183"/>
    </row>
    <row r="15" spans="1:13">
      <c r="A15" s="183"/>
      <c r="B15" s="90" t="s">
        <v>207</v>
      </c>
      <c r="C15" s="91"/>
      <c r="D15" s="193"/>
      <c r="E15" s="2"/>
      <c r="F15" s="2"/>
      <c r="G15" s="2"/>
      <c r="H15" s="2"/>
      <c r="I15" s="2"/>
      <c r="J15" s="2"/>
      <c r="K15" s="2"/>
      <c r="L15" s="2"/>
      <c r="M15" s="2"/>
    </row>
    <row r="16" spans="1:13">
      <c r="A16" s="183"/>
      <c r="B16" s="71" t="s">
        <v>208</v>
      </c>
      <c r="C16" s="73">
        <v>5</v>
      </c>
      <c r="D16" s="192"/>
      <c r="E16" s="95" t="s">
        <v>209</v>
      </c>
      <c r="F16" s="2"/>
      <c r="G16" s="2"/>
      <c r="H16" s="2"/>
      <c r="I16" s="2"/>
      <c r="J16" s="2"/>
      <c r="K16" s="2"/>
      <c r="L16" s="2"/>
      <c r="M16" s="2"/>
    </row>
    <row r="17" spans="1:13">
      <c r="A17" s="183"/>
      <c r="B17" s="71" t="s">
        <v>215</v>
      </c>
      <c r="C17" s="96">
        <v>0.4</v>
      </c>
      <c r="D17" s="194"/>
      <c r="E17" s="95" t="s">
        <v>216</v>
      </c>
      <c r="F17" s="2"/>
      <c r="G17" s="2"/>
      <c r="H17" s="2"/>
      <c r="I17" s="2"/>
      <c r="J17" s="2"/>
      <c r="K17" s="2"/>
      <c r="L17" s="2"/>
      <c r="M17" s="2"/>
    </row>
    <row r="18" spans="1:13">
      <c r="A18" s="183"/>
      <c r="B18" s="71" t="s">
        <v>218</v>
      </c>
      <c r="C18" s="73">
        <v>1</v>
      </c>
      <c r="D18" s="192"/>
      <c r="E18" s="2"/>
      <c r="F18" s="2"/>
      <c r="G18" s="2"/>
      <c r="H18" s="2"/>
      <c r="I18" s="2"/>
      <c r="J18" s="2"/>
      <c r="K18" s="2"/>
      <c r="L18" s="2"/>
      <c r="M18" s="2"/>
    </row>
    <row r="19" spans="1:13">
      <c r="A19" s="183"/>
      <c r="B19" s="71" t="s">
        <v>219</v>
      </c>
      <c r="C19" s="96">
        <v>0.5</v>
      </c>
      <c r="D19" s="194"/>
      <c r="E19" s="2"/>
      <c r="F19" s="2"/>
      <c r="G19" s="2"/>
      <c r="H19" s="2"/>
      <c r="I19" s="2"/>
      <c r="J19" s="2"/>
      <c r="K19" s="2"/>
      <c r="L19" s="2"/>
      <c r="M19" s="2"/>
    </row>
    <row r="20" spans="1:13">
      <c r="A20" s="183"/>
      <c r="B20" s="71" t="s">
        <v>220</v>
      </c>
      <c r="C20" s="98">
        <f>C19*C12</f>
        <v>70100</v>
      </c>
      <c r="D20" s="195"/>
      <c r="E20" s="2"/>
      <c r="F20" s="2"/>
      <c r="G20" s="2"/>
      <c r="H20" s="2"/>
      <c r="I20" s="2"/>
      <c r="J20" s="2"/>
      <c r="K20" s="2"/>
      <c r="L20" s="2"/>
      <c r="M20" s="2"/>
    </row>
    <row r="21" spans="1:13">
      <c r="A21" s="183"/>
      <c r="B21" s="101" t="s">
        <v>223</v>
      </c>
      <c r="C21" s="98">
        <f>C20/1.6^2</f>
        <v>27382.812499999996</v>
      </c>
      <c r="D21" s="195"/>
      <c r="E21" s="2"/>
      <c r="F21" s="2"/>
      <c r="G21" s="2"/>
      <c r="H21" s="2"/>
      <c r="I21" s="2"/>
      <c r="J21" s="2"/>
      <c r="K21" s="2"/>
      <c r="L21" s="2"/>
      <c r="M21" s="2"/>
    </row>
    <row r="22" spans="1:13">
      <c r="A22" s="183"/>
      <c r="B22" s="101" t="s">
        <v>227</v>
      </c>
      <c r="C22" s="98">
        <f>SQRT(C21)</f>
        <v>165.47752868592158</v>
      </c>
      <c r="D22" s="195"/>
      <c r="E22" s="2"/>
      <c r="F22" s="2"/>
      <c r="G22" s="2"/>
      <c r="H22" s="2"/>
      <c r="I22" s="2"/>
      <c r="J22" s="2"/>
      <c r="K22" s="2"/>
      <c r="L22" s="2"/>
      <c r="M22" s="2"/>
    </row>
    <row r="23" spans="1:13">
      <c r="A23" s="183"/>
      <c r="B23" s="71" t="s">
        <v>229</v>
      </c>
      <c r="C23" s="103">
        <f>C12/C18*C19</f>
        <v>70100</v>
      </c>
      <c r="D23" s="196"/>
      <c r="E23" s="2"/>
      <c r="F23" s="2"/>
      <c r="G23" s="2"/>
      <c r="H23" s="2"/>
      <c r="I23" s="2"/>
      <c r="J23" s="2"/>
      <c r="K23" s="2"/>
      <c r="L23" s="2"/>
      <c r="M23" s="2"/>
    </row>
    <row r="24" spans="1:13">
      <c r="A24" s="183"/>
      <c r="B24" s="71" t="s">
        <v>230</v>
      </c>
      <c r="C24" s="98">
        <f>C23*C17*C16/1000</f>
        <v>140.19999999999999</v>
      </c>
      <c r="D24" s="195"/>
      <c r="E24" s="2"/>
      <c r="F24" s="2"/>
      <c r="G24" s="2"/>
      <c r="H24" s="2"/>
      <c r="I24" s="2"/>
      <c r="J24" s="2"/>
      <c r="K24" s="2"/>
      <c r="L24" s="2"/>
      <c r="M24" s="2"/>
    </row>
    <row r="25" spans="1:13">
      <c r="A25" s="183"/>
      <c r="B25" s="71" t="s">
        <v>231</v>
      </c>
      <c r="C25" s="98">
        <f>C24*365*24/1000</f>
        <v>1228.1519999999998</v>
      </c>
      <c r="D25" s="195"/>
      <c r="E25" s="2"/>
      <c r="F25" s="2"/>
      <c r="G25" s="2"/>
      <c r="H25" s="2"/>
      <c r="I25" s="2"/>
      <c r="J25" s="2"/>
      <c r="K25" s="2"/>
      <c r="L25" s="2"/>
      <c r="M25" s="2"/>
    </row>
    <row r="26" spans="1:13">
      <c r="A26" s="183"/>
      <c r="B26" s="71" t="s">
        <v>233</v>
      </c>
      <c r="C26" s="98">
        <f>C27/C24*1000</f>
        <v>6374.9861527019293</v>
      </c>
      <c r="D26" s="195"/>
      <c r="E26" s="2"/>
      <c r="F26" s="2"/>
      <c r="G26" s="2"/>
      <c r="H26" s="2"/>
      <c r="I26" s="2"/>
      <c r="J26" s="2"/>
      <c r="K26" s="2"/>
      <c r="L26" s="2"/>
      <c r="M26" s="2"/>
    </row>
    <row r="27" spans="1:13">
      <c r="A27" s="183"/>
      <c r="B27" s="106" t="s">
        <v>235</v>
      </c>
      <c r="C27" s="108">
        <f>C25*1000000000*'CO2 Values'!C3/1000/1000000</f>
        <v>893.7730586088104</v>
      </c>
      <c r="D27" s="195"/>
      <c r="E27" s="2"/>
      <c r="F27" s="2"/>
      <c r="G27" s="2"/>
      <c r="H27" s="2"/>
      <c r="I27" s="2"/>
      <c r="J27" s="2"/>
      <c r="K27" s="2"/>
      <c r="L27" s="2"/>
      <c r="M27" s="2"/>
    </row>
    <row r="28" spans="1:13" ht="15.75" customHeight="1">
      <c r="A28" s="183"/>
      <c r="B28" s="113"/>
      <c r="C28" s="114"/>
      <c r="D28" s="195"/>
      <c r="E28" s="2"/>
      <c r="F28" s="2"/>
      <c r="G28" s="2"/>
      <c r="H28" s="2"/>
      <c r="I28" s="2"/>
      <c r="J28" s="2"/>
      <c r="K28" s="2"/>
      <c r="L28" s="2"/>
      <c r="M28" s="2"/>
    </row>
    <row r="29" spans="1:13" s="184" customFormat="1">
      <c r="A29" s="183"/>
      <c r="B29" s="186"/>
      <c r="C29" s="187">
        <f>C24/C23*1000</f>
        <v>2</v>
      </c>
      <c r="D29" s="183"/>
      <c r="E29" s="203">
        <f>C24/C23*1000</f>
        <v>2</v>
      </c>
      <c r="F29" s="183"/>
      <c r="G29" s="183"/>
      <c r="H29" s="183"/>
      <c r="I29" s="183"/>
      <c r="J29" s="183"/>
      <c r="K29" s="183"/>
      <c r="L29" s="183"/>
      <c r="M29" s="204">
        <f>C27/C23</f>
        <v>1.2749972305403857E-2</v>
      </c>
    </row>
    <row r="30" spans="1:13">
      <c r="A30" s="183"/>
      <c r="B30" s="117" t="s">
        <v>289</v>
      </c>
      <c r="C30" s="91"/>
      <c r="D30" s="193"/>
      <c r="E30" s="2"/>
      <c r="F30" s="2"/>
      <c r="G30" s="2"/>
      <c r="H30" s="2"/>
      <c r="I30" s="2"/>
      <c r="J30" s="2"/>
      <c r="K30" s="2"/>
      <c r="L30" s="2"/>
      <c r="M30" s="2"/>
    </row>
    <row r="31" spans="1:13">
      <c r="A31" s="183"/>
      <c r="B31" s="71" t="s">
        <v>308</v>
      </c>
      <c r="C31" s="121">
        <f>1.9*365</f>
        <v>693.5</v>
      </c>
      <c r="D31" s="192"/>
      <c r="E31" s="6" t="s">
        <v>314</v>
      </c>
      <c r="F31" s="2"/>
      <c r="G31" s="2"/>
      <c r="H31" s="2"/>
      <c r="I31" s="2"/>
      <c r="J31" s="2"/>
      <c r="K31" s="2"/>
      <c r="L31" s="2"/>
      <c r="M31" s="2"/>
    </row>
    <row r="32" spans="1:13">
      <c r="A32" s="183"/>
      <c r="B32" s="71" t="s">
        <v>315</v>
      </c>
      <c r="C32" s="98">
        <f>C31*'CO2 Values'!C4</f>
        <v>49.716666666666669</v>
      </c>
      <c r="D32" s="195"/>
      <c r="E32" s="6" t="s">
        <v>13</v>
      </c>
      <c r="F32" s="2"/>
      <c r="G32" s="2"/>
      <c r="H32" s="2"/>
      <c r="I32" s="2"/>
      <c r="J32" s="2"/>
      <c r="K32" s="2"/>
      <c r="L32" s="2"/>
      <c r="M32" s="2"/>
    </row>
    <row r="33" spans="1:13">
      <c r="A33" s="183"/>
      <c r="B33" s="71" t="s">
        <v>316</v>
      </c>
      <c r="C33" s="98">
        <f>C31*'CO2 Values'!C6</f>
        <v>298.20499999999998</v>
      </c>
      <c r="D33" s="197"/>
      <c r="E33" s="6" t="s">
        <v>15</v>
      </c>
      <c r="F33" s="2"/>
      <c r="G33" s="2"/>
      <c r="H33" s="2"/>
      <c r="I33" s="2"/>
      <c r="J33" s="2"/>
      <c r="K33" s="2"/>
      <c r="L33" s="2"/>
      <c r="M33" s="2"/>
    </row>
    <row r="34" spans="1:13">
      <c r="A34" s="183"/>
      <c r="B34" s="343" t="s">
        <v>374</v>
      </c>
      <c r="C34" s="108">
        <f>C33+C32</f>
        <v>347.92166666666662</v>
      </c>
      <c r="D34" s="195"/>
      <c r="E34" s="2"/>
      <c r="F34" s="2"/>
      <c r="G34" s="2"/>
      <c r="H34" s="2"/>
      <c r="I34" s="2"/>
      <c r="J34" s="2"/>
      <c r="K34" s="2"/>
      <c r="L34" s="2"/>
      <c r="M34" s="2"/>
    </row>
    <row r="35" spans="1:13" ht="15.75" customHeight="1">
      <c r="A35" s="185"/>
      <c r="B35" s="113"/>
      <c r="C35" s="114"/>
      <c r="D35" s="195"/>
      <c r="E35" s="2"/>
      <c r="F35" s="2"/>
      <c r="G35" s="2"/>
      <c r="H35" s="2"/>
      <c r="I35" s="2"/>
      <c r="J35" s="2"/>
      <c r="K35" s="2"/>
      <c r="L35" s="2"/>
      <c r="M35" s="2"/>
    </row>
    <row r="36" spans="1:13" s="184" customFormat="1">
      <c r="A36" s="183"/>
      <c r="B36" s="186"/>
      <c r="C36" s="205"/>
      <c r="D36" s="195"/>
      <c r="E36" s="183"/>
      <c r="F36" s="183"/>
      <c r="G36" s="183"/>
      <c r="H36" s="183"/>
      <c r="I36" s="183"/>
      <c r="J36" s="183"/>
      <c r="K36" s="183"/>
      <c r="L36" s="183"/>
      <c r="M36" s="183"/>
    </row>
    <row r="37" spans="1:13">
      <c r="A37" s="183"/>
      <c r="B37" s="90" t="s">
        <v>317</v>
      </c>
      <c r="C37" s="123"/>
      <c r="D37" s="198"/>
      <c r="E37" s="2"/>
      <c r="F37" s="2"/>
      <c r="G37" s="2"/>
      <c r="H37" s="2"/>
      <c r="I37" s="2"/>
      <c r="J37" s="2"/>
      <c r="K37" s="2"/>
      <c r="L37" s="2"/>
      <c r="M37" s="2"/>
    </row>
    <row r="38" spans="1:13">
      <c r="A38" s="183"/>
      <c r="B38" s="125" t="s">
        <v>318</v>
      </c>
      <c r="C38" s="126">
        <f>'PV Output'!I15</f>
        <v>134.094269765219</v>
      </c>
      <c r="D38" s="188"/>
      <c r="E38" s="2"/>
      <c r="F38" s="2"/>
      <c r="G38" s="2"/>
      <c r="H38" s="2"/>
      <c r="I38" s="2"/>
      <c r="J38" s="2"/>
      <c r="K38" s="2"/>
      <c r="L38" s="2"/>
      <c r="M38" s="2"/>
    </row>
    <row r="39" spans="1:13">
      <c r="A39" s="183"/>
      <c r="B39" s="127" t="s">
        <v>319</v>
      </c>
      <c r="C39" s="126">
        <f>'PV Output'!I9/1000000</f>
        <v>1174665.8031433185</v>
      </c>
      <c r="D39" s="188"/>
      <c r="E39" s="2"/>
      <c r="F39" s="2"/>
      <c r="G39" s="2"/>
      <c r="H39" s="2"/>
      <c r="I39" s="2"/>
      <c r="J39" s="2"/>
      <c r="K39" s="2"/>
      <c r="L39" s="2"/>
      <c r="M39" s="2"/>
    </row>
    <row r="40" spans="1:13">
      <c r="A40" s="183"/>
      <c r="B40" s="127" t="s">
        <v>320</v>
      </c>
      <c r="C40" s="126">
        <f>C39/365</f>
        <v>3218.2624743652564</v>
      </c>
      <c r="D40" s="188"/>
      <c r="E40" s="2"/>
      <c r="F40" s="2"/>
      <c r="G40" s="2"/>
      <c r="H40" s="2"/>
      <c r="I40" s="2"/>
      <c r="J40" s="2"/>
      <c r="K40" s="2"/>
      <c r="L40" s="2"/>
      <c r="M40" s="2"/>
    </row>
    <row r="41" spans="1:13">
      <c r="A41" s="183"/>
      <c r="B41" s="127" t="s">
        <v>321</v>
      </c>
      <c r="C41" s="126">
        <f>(C40/C43)</f>
        <v>357.58471937391738</v>
      </c>
      <c r="D41" s="188"/>
      <c r="E41" s="2" t="s">
        <v>322</v>
      </c>
      <c r="F41" s="2"/>
      <c r="G41" s="2"/>
      <c r="H41" s="2"/>
      <c r="I41" s="2"/>
      <c r="J41" s="2"/>
      <c r="K41" s="2"/>
      <c r="L41" s="2"/>
      <c r="M41" s="2"/>
    </row>
    <row r="42" spans="1:13">
      <c r="A42" s="183"/>
      <c r="B42" s="127" t="s">
        <v>323</v>
      </c>
      <c r="C42" s="126">
        <f>C40/24</f>
        <v>134.09426976521902</v>
      </c>
      <c r="D42" s="188"/>
      <c r="E42" s="2" t="s">
        <v>324</v>
      </c>
      <c r="F42" s="2"/>
      <c r="G42" s="2"/>
      <c r="H42" s="2"/>
      <c r="I42" s="2"/>
      <c r="J42" s="2"/>
      <c r="K42" s="2"/>
      <c r="L42" s="2"/>
      <c r="M42" s="2"/>
    </row>
    <row r="43" spans="1:13">
      <c r="A43" s="183"/>
      <c r="B43" s="127" t="s">
        <v>325</v>
      </c>
      <c r="C43" s="131">
        <f>(C44+C45)/2</f>
        <v>9</v>
      </c>
      <c r="D43" s="188"/>
      <c r="E43" s="2"/>
      <c r="F43" s="2"/>
      <c r="G43" s="2"/>
      <c r="H43" s="2"/>
      <c r="I43" s="2"/>
      <c r="J43" s="2"/>
      <c r="K43" s="2"/>
      <c r="L43" s="2"/>
      <c r="M43" s="2"/>
    </row>
    <row r="44" spans="1:13">
      <c r="A44" s="183"/>
      <c r="B44" s="133" t="s">
        <v>326</v>
      </c>
      <c r="C44" s="134">
        <v>14</v>
      </c>
      <c r="D44" s="188"/>
      <c r="E44" s="6" t="s">
        <v>327</v>
      </c>
      <c r="F44" s="2"/>
      <c r="G44" s="2"/>
      <c r="H44" s="2"/>
      <c r="I44" s="2"/>
      <c r="J44" s="2"/>
      <c r="K44" s="2"/>
      <c r="L44" s="2"/>
      <c r="M44" s="2"/>
    </row>
    <row r="45" spans="1:13">
      <c r="A45" s="183"/>
      <c r="B45" s="133" t="s">
        <v>328</v>
      </c>
      <c r="C45" s="134">
        <v>4</v>
      </c>
      <c r="D45" s="188"/>
      <c r="E45" s="6" t="s">
        <v>327</v>
      </c>
      <c r="F45" s="2"/>
      <c r="G45" s="2"/>
      <c r="H45" s="2"/>
      <c r="I45" s="2"/>
      <c r="J45" s="2"/>
      <c r="K45" s="2"/>
      <c r="L45" s="2"/>
      <c r="M45" s="2"/>
    </row>
    <row r="46" spans="1:13">
      <c r="A46" s="183"/>
      <c r="B46" s="136" t="s">
        <v>329</v>
      </c>
      <c r="C46" s="137">
        <v>1000</v>
      </c>
      <c r="D46" s="188"/>
      <c r="E46" s="6"/>
      <c r="F46" s="2"/>
      <c r="G46" s="2"/>
      <c r="H46" s="2"/>
      <c r="I46" s="2"/>
      <c r="J46" s="2"/>
      <c r="K46" s="2"/>
      <c r="L46" s="2"/>
      <c r="M46" s="2"/>
    </row>
    <row r="47" spans="1:13">
      <c r="A47" s="183"/>
      <c r="B47" s="136" t="s">
        <v>330</v>
      </c>
      <c r="C47" s="137">
        <v>200</v>
      </c>
      <c r="D47" s="188"/>
      <c r="E47" s="369"/>
      <c r="F47" s="366"/>
      <c r="G47" s="366"/>
      <c r="H47" s="366"/>
      <c r="I47" s="366"/>
      <c r="J47" s="366"/>
      <c r="K47" s="366"/>
      <c r="L47" s="366"/>
      <c r="M47" s="366"/>
    </row>
    <row r="48" spans="1:13">
      <c r="A48" s="183"/>
      <c r="B48" s="136" t="s">
        <v>331</v>
      </c>
      <c r="C48" s="126">
        <f>C63*(C47/C46)</f>
        <v>28.356481481481481</v>
      </c>
      <c r="D48" s="188"/>
      <c r="E48" s="139"/>
      <c r="F48" s="139"/>
      <c r="G48" s="139"/>
      <c r="H48" s="139"/>
      <c r="I48" s="139"/>
      <c r="J48" s="139"/>
      <c r="K48" s="139"/>
      <c r="L48" s="139"/>
      <c r="M48" s="139"/>
    </row>
    <row r="49" spans="1:13">
      <c r="A49" s="183"/>
      <c r="B49" s="133" t="s">
        <v>332</v>
      </c>
      <c r="C49" s="141">
        <f>C48/1000000</f>
        <v>2.8356481481481479E-5</v>
      </c>
      <c r="D49" s="199"/>
      <c r="E49" s="6"/>
      <c r="F49" s="2"/>
      <c r="G49" s="2"/>
      <c r="H49" s="2"/>
      <c r="I49" s="2"/>
      <c r="J49" s="2"/>
      <c r="K49" s="2"/>
      <c r="L49" s="2"/>
      <c r="M49" s="2"/>
    </row>
    <row r="50" spans="1:13">
      <c r="A50" s="183"/>
      <c r="B50" s="136" t="s">
        <v>333</v>
      </c>
      <c r="C50" s="134">
        <v>1</v>
      </c>
      <c r="D50" s="199"/>
      <c r="E50" s="6"/>
      <c r="F50" s="2"/>
      <c r="G50" s="2"/>
      <c r="H50" s="2"/>
      <c r="I50" s="2"/>
      <c r="J50" s="2"/>
      <c r="K50" s="2"/>
      <c r="L50" s="2"/>
      <c r="M50" s="2"/>
    </row>
    <row r="51" spans="1:13">
      <c r="A51" s="183"/>
      <c r="B51" s="136" t="s">
        <v>334</v>
      </c>
      <c r="C51" s="142">
        <v>0.15</v>
      </c>
      <c r="D51" s="194"/>
      <c r="E51" s="2"/>
      <c r="F51" s="2"/>
      <c r="G51" s="2"/>
      <c r="H51" s="2"/>
      <c r="I51" s="2"/>
      <c r="J51" s="2"/>
      <c r="K51" s="2"/>
      <c r="L51" s="2"/>
      <c r="M51" s="2"/>
    </row>
    <row r="52" spans="1:13">
      <c r="A52" s="183"/>
      <c r="B52" s="136" t="s">
        <v>335</v>
      </c>
      <c r="C52" s="126">
        <f>C51*C12</f>
        <v>21030</v>
      </c>
      <c r="D52" s="195"/>
      <c r="E52" s="2"/>
      <c r="F52" s="2"/>
      <c r="G52" s="2"/>
      <c r="H52" s="2"/>
      <c r="I52" s="2"/>
      <c r="J52" s="2"/>
      <c r="K52" s="2"/>
      <c r="L52" s="2"/>
      <c r="M52" s="2"/>
    </row>
    <row r="53" spans="1:13">
      <c r="A53" s="183"/>
      <c r="B53" s="133" t="s">
        <v>336</v>
      </c>
      <c r="C53" s="126">
        <f>1.6*C55</f>
        <v>145.01724035437994</v>
      </c>
      <c r="D53" s="195"/>
      <c r="E53" s="2"/>
      <c r="F53" s="2"/>
      <c r="G53" s="2"/>
      <c r="H53" s="2"/>
      <c r="I53" s="2"/>
      <c r="J53" s="2"/>
      <c r="K53" s="2"/>
      <c r="L53" s="2"/>
      <c r="M53" s="2"/>
    </row>
    <row r="54" spans="1:13">
      <c r="A54" s="183"/>
      <c r="B54" s="133" t="s">
        <v>223</v>
      </c>
      <c r="C54" s="143">
        <f>C52/1.6^2</f>
        <v>8214.8437499999982</v>
      </c>
      <c r="D54" s="196"/>
      <c r="E54" s="2"/>
      <c r="F54" s="2"/>
      <c r="G54" s="2"/>
      <c r="H54" s="2"/>
      <c r="I54" s="2"/>
      <c r="J54" s="2"/>
      <c r="K54" s="2"/>
      <c r="L54" s="2"/>
      <c r="M54" s="2"/>
    </row>
    <row r="55" spans="1:13">
      <c r="A55" s="183"/>
      <c r="B55" s="133" t="s">
        <v>227</v>
      </c>
      <c r="C55" s="143">
        <f>SQRT(C54)</f>
        <v>90.635775221487449</v>
      </c>
      <c r="D55" s="196"/>
      <c r="E55" s="2"/>
      <c r="F55" s="2"/>
      <c r="G55" s="2"/>
      <c r="H55" s="2"/>
      <c r="I55" s="2"/>
      <c r="J55" s="2"/>
      <c r="K55" s="2"/>
      <c r="L55" s="2"/>
      <c r="M55" s="2"/>
    </row>
    <row r="56" spans="1:13">
      <c r="A56" s="183"/>
      <c r="B56" s="144" t="s">
        <v>337</v>
      </c>
      <c r="C56" s="143"/>
      <c r="D56" s="196"/>
      <c r="E56" s="2"/>
      <c r="F56" s="2"/>
      <c r="G56" s="2"/>
      <c r="H56" s="2"/>
      <c r="I56" s="2"/>
      <c r="J56" s="2"/>
      <c r="K56" s="2"/>
      <c r="L56" s="2"/>
      <c r="M56" s="2"/>
    </row>
    <row r="57" spans="1:13">
      <c r="A57" s="183"/>
      <c r="B57" s="136" t="s">
        <v>338</v>
      </c>
      <c r="C57" s="143">
        <f>C59*C52*1000000</f>
        <v>6309000000</v>
      </c>
      <c r="D57" s="196"/>
      <c r="E57" s="2"/>
      <c r="F57" s="2"/>
      <c r="G57" s="2"/>
      <c r="H57" s="2"/>
      <c r="I57" s="2"/>
      <c r="J57" s="2"/>
      <c r="K57" s="2"/>
      <c r="L57" s="2"/>
      <c r="M57" s="2"/>
    </row>
    <row r="58" spans="1:13">
      <c r="A58" s="183"/>
      <c r="B58" s="136" t="s">
        <v>339</v>
      </c>
      <c r="C58" s="145">
        <f>C57/C50</f>
        <v>6309000000</v>
      </c>
      <c r="D58" s="196"/>
      <c r="E58" s="2"/>
      <c r="F58" s="2"/>
      <c r="G58" s="2"/>
      <c r="H58" s="2"/>
      <c r="I58" s="2"/>
      <c r="J58" s="2"/>
      <c r="K58" s="2"/>
      <c r="L58" s="2"/>
      <c r="M58" s="2"/>
    </row>
    <row r="59" spans="1:13">
      <c r="A59" s="183"/>
      <c r="B59" s="136" t="s">
        <v>340</v>
      </c>
      <c r="C59" s="142">
        <v>0.3</v>
      </c>
      <c r="D59" s="194"/>
      <c r="E59" s="2"/>
      <c r="F59" s="2"/>
      <c r="G59" s="2"/>
      <c r="H59" s="2"/>
      <c r="I59" s="2"/>
      <c r="J59" s="2"/>
      <c r="K59" s="2"/>
      <c r="L59" s="2"/>
      <c r="M59" s="2"/>
    </row>
    <row r="60" spans="1:13">
      <c r="A60" s="183"/>
      <c r="B60" s="146" t="s">
        <v>341</v>
      </c>
      <c r="C60" s="147">
        <v>0.2</v>
      </c>
      <c r="D60" s="196"/>
      <c r="E60" s="6" t="s">
        <v>342</v>
      </c>
      <c r="F60" s="2"/>
      <c r="G60" s="2"/>
      <c r="H60" s="148"/>
      <c r="I60" s="2"/>
      <c r="J60" s="2"/>
      <c r="K60" s="2"/>
      <c r="L60" s="2"/>
      <c r="M60" s="2"/>
    </row>
    <row r="61" spans="1:13">
      <c r="A61" s="183"/>
      <c r="B61" s="146" t="s">
        <v>343</v>
      </c>
      <c r="C61" s="147">
        <f>'PV Output'!I13</f>
        <v>0.7495443766899198</v>
      </c>
      <c r="D61" s="194"/>
      <c r="E61" s="2"/>
      <c r="F61" s="2"/>
      <c r="G61" s="2"/>
      <c r="H61" s="2"/>
      <c r="I61" s="2"/>
      <c r="J61" s="2"/>
      <c r="K61" s="2"/>
      <c r="L61" s="2"/>
      <c r="M61" s="2"/>
    </row>
    <row r="62" spans="1:13">
      <c r="A62" s="183"/>
      <c r="B62" s="136" t="s">
        <v>344</v>
      </c>
      <c r="C62" s="142">
        <f>C60*C61</f>
        <v>0.14990887533798397</v>
      </c>
      <c r="D62" s="194"/>
      <c r="E62" s="6"/>
      <c r="F62" s="2"/>
      <c r="G62" s="2"/>
      <c r="H62" s="2"/>
      <c r="I62" s="2"/>
      <c r="J62" s="2"/>
      <c r="K62" s="2"/>
      <c r="L62" s="2"/>
      <c r="M62" s="2"/>
    </row>
    <row r="63" spans="1:13">
      <c r="A63" s="183"/>
      <c r="B63" s="136" t="s">
        <v>345</v>
      </c>
      <c r="C63" s="126">
        <f>1000*C64/(365*24)</f>
        <v>141.78240740740739</v>
      </c>
      <c r="D63" s="197"/>
      <c r="E63" s="365"/>
      <c r="F63" s="366"/>
      <c r="G63" s="366"/>
      <c r="H63" s="2"/>
      <c r="I63" s="2"/>
      <c r="J63" s="2"/>
      <c r="K63" s="2"/>
      <c r="L63" s="2"/>
      <c r="M63" s="2"/>
    </row>
    <row r="64" spans="1:13">
      <c r="A64" s="183"/>
      <c r="B64" s="136" t="s">
        <v>346</v>
      </c>
      <c r="C64" s="126">
        <f>(C65+C66)/2</f>
        <v>1242.0138888888887</v>
      </c>
      <c r="D64" s="197"/>
      <c r="E64" s="366"/>
      <c r="F64" s="366"/>
      <c r="G64" s="366"/>
      <c r="H64" s="2"/>
      <c r="I64" s="2"/>
      <c r="J64" s="2"/>
      <c r="K64" s="2"/>
      <c r="L64" s="2"/>
      <c r="M64" s="2"/>
    </row>
    <row r="65" spans="1:14">
      <c r="A65" s="183"/>
      <c r="B65" s="133" t="s">
        <v>326</v>
      </c>
      <c r="C65" s="149">
        <f t="shared" ref="C65:C66" si="0">C81</f>
        <v>2230.5555555555552</v>
      </c>
      <c r="D65" s="192"/>
      <c r="E65" s="6" t="s">
        <v>347</v>
      </c>
      <c r="F65" s="2"/>
      <c r="G65" s="2"/>
      <c r="H65" s="2"/>
      <c r="I65" s="2"/>
      <c r="J65" s="2"/>
      <c r="K65" s="2"/>
      <c r="L65" s="2"/>
      <c r="M65" s="2"/>
    </row>
    <row r="66" spans="1:14">
      <c r="A66" s="183"/>
      <c r="B66" s="133" t="s">
        <v>328</v>
      </c>
      <c r="C66" s="149">
        <f t="shared" si="0"/>
        <v>253.4722222222222</v>
      </c>
      <c r="D66" s="192"/>
      <c r="E66" s="6" t="s">
        <v>347</v>
      </c>
      <c r="F66" s="2"/>
      <c r="G66" s="2"/>
      <c r="H66" s="2"/>
      <c r="I66" s="2"/>
      <c r="J66" s="2"/>
      <c r="K66" s="2"/>
      <c r="L66" s="2"/>
      <c r="M66" s="2"/>
    </row>
    <row r="67" spans="1:14">
      <c r="A67" s="183"/>
      <c r="B67" s="136" t="s">
        <v>348</v>
      </c>
      <c r="C67" s="150"/>
      <c r="D67" s="192"/>
      <c r="E67" s="2"/>
      <c r="F67" s="2"/>
      <c r="G67" s="2"/>
      <c r="H67" s="2"/>
      <c r="I67" s="2"/>
      <c r="J67" s="2"/>
      <c r="K67" s="2"/>
      <c r="L67" s="2"/>
      <c r="M67" s="2"/>
    </row>
    <row r="68" spans="1:14">
      <c r="A68" s="183"/>
      <c r="B68" s="133" t="s">
        <v>326</v>
      </c>
      <c r="C68" s="151">
        <f>C65*1000*C57*C62/(24*365*1000000000)</f>
        <v>240.8223620273321</v>
      </c>
      <c r="D68" s="200"/>
      <c r="E68" s="152">
        <f>C65*C62*C57/24/1000000000</f>
        <v>87.900162139976217</v>
      </c>
      <c r="F68" s="2" t="s">
        <v>349</v>
      </c>
      <c r="G68" s="2"/>
      <c r="H68" s="2"/>
      <c r="I68" s="2"/>
      <c r="J68" s="2"/>
      <c r="K68" s="2"/>
      <c r="L68" s="2"/>
      <c r="M68" s="2"/>
    </row>
    <row r="69" spans="1:14">
      <c r="A69" s="183"/>
      <c r="B69" s="133" t="s">
        <v>328</v>
      </c>
      <c r="C69" s="126">
        <f>C66*1000*C57*C62/(24*365*1000000000)</f>
        <v>27.366177503105927</v>
      </c>
      <c r="D69" s="195"/>
      <c r="E69" s="2"/>
      <c r="F69" s="2"/>
      <c r="G69" s="2"/>
      <c r="H69" s="2"/>
      <c r="I69" s="2"/>
      <c r="J69" s="2"/>
      <c r="K69" s="2"/>
      <c r="L69" s="2"/>
      <c r="M69" s="2"/>
    </row>
    <row r="70" spans="1:14">
      <c r="A70" s="183"/>
      <c r="B70" s="133" t="s">
        <v>350</v>
      </c>
      <c r="C70" s="126">
        <f>(C68+C69)/2</f>
        <v>134.09426976521902</v>
      </c>
      <c r="D70" s="195"/>
      <c r="E70" s="2"/>
      <c r="F70" s="2"/>
      <c r="G70" s="2"/>
      <c r="H70" s="2"/>
      <c r="I70" s="2"/>
      <c r="J70" s="2"/>
      <c r="K70" s="2"/>
      <c r="L70" s="2"/>
      <c r="M70" s="2"/>
    </row>
    <row r="71" spans="1:14">
      <c r="A71" s="183"/>
      <c r="B71" s="153" t="s">
        <v>351</v>
      </c>
      <c r="C71" s="154">
        <f>C27*C70/C24</f>
        <v>854.84911290994819</v>
      </c>
      <c r="D71" s="195"/>
      <c r="E71" s="155" t="s">
        <v>352</v>
      </c>
      <c r="F71" s="2"/>
      <c r="G71" s="2"/>
      <c r="H71" s="2"/>
      <c r="I71" s="2"/>
      <c r="J71" s="2"/>
      <c r="K71" s="2"/>
      <c r="L71" s="2"/>
      <c r="M71" s="2"/>
    </row>
    <row r="72" spans="1:14" ht="15.75" customHeight="1">
      <c r="A72" s="183"/>
      <c r="B72" s="58"/>
      <c r="C72" s="156"/>
      <c r="D72" s="183"/>
      <c r="E72" s="2"/>
      <c r="F72" s="2"/>
      <c r="G72" s="2"/>
      <c r="H72" s="2"/>
      <c r="I72" s="2"/>
      <c r="J72" s="2"/>
      <c r="K72" s="2"/>
      <c r="L72" s="2"/>
      <c r="M72" s="2"/>
    </row>
    <row r="73" spans="1:14" s="184" customFormat="1">
      <c r="A73" s="183"/>
      <c r="B73" s="183"/>
      <c r="C73" s="183"/>
      <c r="D73" s="183"/>
      <c r="E73" s="183"/>
      <c r="F73" s="206"/>
      <c r="G73" s="183"/>
      <c r="H73" s="183"/>
      <c r="I73" s="183"/>
      <c r="J73" s="183"/>
      <c r="K73" s="183"/>
      <c r="L73" s="183"/>
      <c r="M73" s="183"/>
    </row>
    <row r="74" spans="1:14" s="184" customFormat="1">
      <c r="A74" s="183"/>
      <c r="B74" s="183"/>
      <c r="C74" s="183"/>
      <c r="D74" s="183"/>
      <c r="E74" s="183"/>
      <c r="F74" s="183"/>
      <c r="G74" s="183"/>
      <c r="H74" s="183"/>
      <c r="I74" s="183"/>
      <c r="J74" s="183"/>
      <c r="K74" s="183"/>
      <c r="L74" s="183"/>
      <c r="M74" s="183"/>
    </row>
    <row r="75" spans="1:14" s="184" customFormat="1">
      <c r="A75" s="183"/>
      <c r="B75" s="183"/>
      <c r="C75" s="183"/>
      <c r="D75" s="183"/>
      <c r="E75" s="183"/>
      <c r="F75" s="207"/>
      <c r="G75" s="183"/>
      <c r="H75" s="183"/>
      <c r="I75" s="183"/>
      <c r="J75" s="183"/>
      <c r="K75" s="183"/>
      <c r="L75" s="183"/>
      <c r="M75" s="183"/>
    </row>
    <row r="76" spans="1:14" s="184" customFormat="1">
      <c r="A76" s="183"/>
      <c r="B76" s="183"/>
      <c r="C76" s="183"/>
      <c r="D76" s="183"/>
      <c r="E76" s="183"/>
      <c r="F76" s="183"/>
      <c r="G76" s="183"/>
      <c r="H76" s="183"/>
      <c r="I76" s="183"/>
      <c r="J76" s="183"/>
      <c r="K76" s="183"/>
      <c r="L76" s="183"/>
      <c r="M76" s="183"/>
    </row>
    <row r="77" spans="1:14">
      <c r="A77" s="183"/>
      <c r="B77" s="208" t="s">
        <v>353</v>
      </c>
      <c r="C77" s="157"/>
      <c r="D77" s="183"/>
      <c r="E77" s="183"/>
      <c r="F77" s="207"/>
      <c r="G77" s="183"/>
      <c r="H77" s="201"/>
      <c r="I77" s="183"/>
      <c r="J77" s="183"/>
      <c r="K77" s="183"/>
      <c r="L77" s="183"/>
      <c r="M77" s="183"/>
      <c r="N77" s="184"/>
    </row>
    <row r="78" spans="1:14">
      <c r="A78" s="183"/>
      <c r="B78" s="158" t="s">
        <v>326</v>
      </c>
      <c r="C78" s="159">
        <v>22</v>
      </c>
      <c r="D78" s="201"/>
      <c r="E78" s="367" t="s">
        <v>347</v>
      </c>
      <c r="F78" s="366"/>
      <c r="G78" s="366"/>
      <c r="H78" s="366"/>
      <c r="I78" s="366"/>
      <c r="J78" s="366"/>
      <c r="K78" s="183"/>
      <c r="L78" s="183"/>
      <c r="M78" s="183"/>
      <c r="N78" s="184"/>
    </row>
    <row r="79" spans="1:14">
      <c r="A79" s="183"/>
      <c r="B79" s="158" t="s">
        <v>328</v>
      </c>
      <c r="C79" s="159">
        <v>2.5</v>
      </c>
      <c r="D79" s="183"/>
      <c r="E79" s="366"/>
      <c r="F79" s="366"/>
      <c r="G79" s="366"/>
      <c r="H79" s="366"/>
      <c r="I79" s="366"/>
      <c r="J79" s="366"/>
      <c r="K79" s="183"/>
      <c r="L79" s="183"/>
      <c r="M79" s="183"/>
      <c r="N79" s="184"/>
    </row>
    <row r="80" spans="1:14">
      <c r="A80" s="183"/>
      <c r="B80" s="208" t="s">
        <v>354</v>
      </c>
      <c r="C80" s="157"/>
      <c r="D80" s="183"/>
      <c r="E80" s="183"/>
      <c r="F80" s="183"/>
      <c r="G80" s="183"/>
      <c r="H80" s="183"/>
      <c r="I80" s="183"/>
      <c r="J80" s="183"/>
      <c r="K80" s="183"/>
      <c r="L80" s="183"/>
      <c r="M80" s="183"/>
      <c r="N80" s="184"/>
    </row>
    <row r="81" spans="1:14">
      <c r="A81" s="183"/>
      <c r="B81" s="158" t="s">
        <v>326</v>
      </c>
      <c r="C81" s="160">
        <f t="shared" ref="C81:C82" si="1">C78*1000/3600*365</f>
        <v>2230.5555555555552</v>
      </c>
      <c r="D81" s="183"/>
      <c r="E81" s="183"/>
      <c r="F81" s="183"/>
      <c r="G81" s="183"/>
      <c r="H81" s="183"/>
      <c r="I81" s="183"/>
      <c r="J81" s="183"/>
      <c r="K81" s="183"/>
      <c r="L81" s="183"/>
      <c r="M81" s="183"/>
      <c r="N81" s="184"/>
    </row>
    <row r="82" spans="1:14">
      <c r="A82" s="183"/>
      <c r="B82" s="158" t="s">
        <v>328</v>
      </c>
      <c r="C82" s="160">
        <f t="shared" si="1"/>
        <v>253.4722222222222</v>
      </c>
      <c r="D82" s="183"/>
      <c r="E82" s="183"/>
      <c r="F82" s="183"/>
      <c r="G82" s="183"/>
      <c r="H82" s="183"/>
      <c r="I82" s="183"/>
      <c r="J82" s="183"/>
      <c r="K82" s="183"/>
      <c r="L82" s="183"/>
      <c r="M82" s="183"/>
      <c r="N82" s="184"/>
    </row>
    <row r="83" spans="1:14" s="184" customFormat="1">
      <c r="A83" s="183"/>
      <c r="B83" s="183"/>
      <c r="C83" s="183"/>
      <c r="D83" s="183"/>
      <c r="E83" s="183"/>
      <c r="F83" s="183"/>
      <c r="G83" s="183"/>
      <c r="H83" s="183"/>
      <c r="I83" s="183"/>
      <c r="J83" s="183"/>
      <c r="K83" s="183"/>
      <c r="L83" s="183"/>
      <c r="M83" s="183"/>
    </row>
    <row r="84" spans="1:14">
      <c r="A84" s="183"/>
      <c r="B84" s="368" t="s">
        <v>386</v>
      </c>
      <c r="C84" s="161">
        <v>6250</v>
      </c>
      <c r="D84" s="202"/>
      <c r="E84" s="162" t="s">
        <v>347</v>
      </c>
      <c r="F84" s="163"/>
      <c r="G84" s="163"/>
      <c r="H84" s="163"/>
      <c r="I84" s="163"/>
      <c r="J84" s="163"/>
      <c r="K84" s="183"/>
      <c r="L84" s="183"/>
      <c r="M84" s="183"/>
      <c r="N84" s="184"/>
    </row>
    <row r="85" spans="1:14">
      <c r="A85" s="183"/>
      <c r="B85" s="366"/>
      <c r="C85" s="161">
        <v>1389</v>
      </c>
      <c r="D85" s="202"/>
      <c r="E85" s="162" t="s">
        <v>347</v>
      </c>
      <c r="F85" s="163"/>
      <c r="G85" s="163"/>
      <c r="H85" s="163"/>
      <c r="I85" s="163"/>
      <c r="J85" s="163"/>
      <c r="K85" s="183"/>
      <c r="L85" s="183"/>
      <c r="M85" s="183"/>
      <c r="N85" s="184"/>
    </row>
    <row r="86" spans="1:14" ht="15" customHeight="1">
      <c r="K86" s="184"/>
      <c r="L86" s="184"/>
      <c r="M86" s="184"/>
      <c r="N86" s="184"/>
    </row>
    <row r="87" spans="1:14" ht="15" customHeight="1">
      <c r="K87" s="184"/>
      <c r="L87" s="184"/>
      <c r="M87" s="184"/>
      <c r="N87" s="184"/>
    </row>
    <row r="88" spans="1:14" ht="15" customHeight="1">
      <c r="K88" s="184"/>
      <c r="L88" s="184"/>
      <c r="M88" s="184"/>
      <c r="N88" s="184"/>
    </row>
  </sheetData>
  <mergeCells count="5">
    <mergeCell ref="B1:M1"/>
    <mergeCell ref="E63:G64"/>
    <mergeCell ref="E78:J79"/>
    <mergeCell ref="B84:B85"/>
    <mergeCell ref="E47:M47"/>
  </mergeCells>
  <hyperlinks>
    <hyperlink ref="E10" r:id="rId1"/>
    <hyperlink ref="E12" r:id="rId2"/>
    <hyperlink ref="E13" r:id="rId3"/>
    <hyperlink ref="E16" r:id="rId4"/>
    <hyperlink ref="E17" r:id="rId5"/>
    <hyperlink ref="E32" r:id="rId6"/>
    <hyperlink ref="E33" r:id="rId7"/>
    <hyperlink ref="E44" r:id="rId8"/>
    <hyperlink ref="E45" r:id="rId9"/>
    <hyperlink ref="E60" r:id="rId10"/>
    <hyperlink ref="E65" r:id="rId11"/>
    <hyperlink ref="E66" r:id="rId12"/>
    <hyperlink ref="E78" r:id="rId13"/>
    <hyperlink ref="E84" r:id="rId14"/>
    <hyperlink ref="E85" r:id="rId1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showGridLines="0" topLeftCell="F56" workbookViewId="0">
      <selection activeCell="Q11" sqref="Q11"/>
    </sheetView>
  </sheetViews>
  <sheetFormatPr defaultColWidth="17.28515625" defaultRowHeight="15" customHeight="1"/>
  <cols>
    <col min="1" max="1" width="2.85546875" style="184" customWidth="1"/>
    <col min="2" max="2" width="8.85546875" customWidth="1"/>
    <col min="3" max="3" width="20.140625" bestFit="1" customWidth="1"/>
    <col min="4" max="4" width="19.140625" bestFit="1" customWidth="1"/>
    <col min="5" max="5" width="21.140625" bestFit="1" customWidth="1"/>
    <col min="6" max="6" width="18.5703125" bestFit="1" customWidth="1"/>
    <col min="7" max="7" width="21.140625" bestFit="1" customWidth="1"/>
    <col min="8" max="8" width="20.140625" bestFit="1" customWidth="1"/>
    <col min="9" max="9" width="13.42578125" style="184" customWidth="1"/>
    <col min="10" max="10" width="18.42578125" customWidth="1"/>
    <col min="11" max="11" width="20.140625" bestFit="1" customWidth="1"/>
    <col min="12" max="12" width="19.140625" bestFit="1" customWidth="1"/>
    <col min="13" max="13" width="21.140625" bestFit="1" customWidth="1"/>
    <col min="14" max="14" width="18.5703125" bestFit="1" customWidth="1"/>
    <col min="15" max="15" width="21.140625" bestFit="1" customWidth="1"/>
    <col min="16" max="16" width="20.140625" bestFit="1" customWidth="1"/>
  </cols>
  <sheetData>
    <row r="1" spans="1:16" ht="25.5" customHeight="1">
      <c r="A1" s="183"/>
      <c r="B1" s="370" t="s">
        <v>31</v>
      </c>
      <c r="C1" s="370"/>
      <c r="D1" s="370"/>
      <c r="E1" s="370"/>
      <c r="F1" s="370"/>
      <c r="G1" s="370"/>
      <c r="H1" s="370"/>
      <c r="I1" s="370"/>
      <c r="J1" s="370"/>
      <c r="K1" s="370"/>
      <c r="L1" s="370"/>
      <c r="M1" s="370"/>
      <c r="N1" s="370"/>
      <c r="O1" s="370"/>
      <c r="P1" s="370"/>
    </row>
    <row r="2" spans="1:16" s="184" customFormat="1" ht="15.75" thickBot="1">
      <c r="A2" s="183"/>
      <c r="B2" s="183"/>
      <c r="C2" s="183"/>
      <c r="D2" s="183"/>
      <c r="E2" s="183"/>
      <c r="F2" s="183"/>
      <c r="G2" s="183"/>
      <c r="H2" s="183"/>
      <c r="I2" s="183"/>
      <c r="J2" s="183"/>
      <c r="K2" s="183"/>
      <c r="L2" s="183"/>
      <c r="M2" s="183"/>
      <c r="N2" s="183"/>
      <c r="O2" s="183"/>
    </row>
    <row r="3" spans="1:16" ht="15.75" customHeight="1" thickBot="1">
      <c r="A3" s="183"/>
      <c r="B3" s="384" t="s">
        <v>33</v>
      </c>
      <c r="C3" s="385"/>
      <c r="D3" s="385"/>
      <c r="E3" s="385"/>
      <c r="F3" s="385"/>
      <c r="G3" s="385"/>
      <c r="H3" s="386"/>
      <c r="J3" s="384" t="s">
        <v>44</v>
      </c>
      <c r="K3" s="385"/>
      <c r="L3" s="385"/>
      <c r="M3" s="385"/>
      <c r="N3" s="385"/>
      <c r="O3" s="385"/>
      <c r="P3" s="386"/>
    </row>
    <row r="4" spans="1:16" ht="15.75" customHeight="1" thickBot="1">
      <c r="A4" s="183"/>
      <c r="B4" s="43" t="s">
        <v>45</v>
      </c>
      <c r="C4" s="219" t="s">
        <v>368</v>
      </c>
      <c r="D4" s="7" t="s">
        <v>364</v>
      </c>
      <c r="E4" s="7" t="s">
        <v>365</v>
      </c>
      <c r="F4" s="7" t="s">
        <v>47</v>
      </c>
      <c r="G4" s="7" t="s">
        <v>366</v>
      </c>
      <c r="H4" s="7" t="s">
        <v>367</v>
      </c>
      <c r="I4" s="183"/>
      <c r="J4" s="43" t="s">
        <v>45</v>
      </c>
      <c r="K4" s="219" t="s">
        <v>368</v>
      </c>
      <c r="L4" s="7" t="s">
        <v>364</v>
      </c>
      <c r="M4" s="7" t="s">
        <v>365</v>
      </c>
      <c r="N4" s="7" t="s">
        <v>47</v>
      </c>
      <c r="O4" s="7" t="s">
        <v>366</v>
      </c>
      <c r="P4" s="7" t="s">
        <v>367</v>
      </c>
    </row>
    <row r="5" spans="1:16">
      <c r="A5" s="183"/>
      <c r="B5" s="52">
        <v>1</v>
      </c>
      <c r="C5" s="48">
        <v>0</v>
      </c>
      <c r="D5" s="48">
        <v>0</v>
      </c>
      <c r="E5" s="48">
        <v>0</v>
      </c>
      <c r="F5" s="48">
        <v>0</v>
      </c>
      <c r="G5" s="48">
        <v>0</v>
      </c>
      <c r="H5" s="48">
        <v>0</v>
      </c>
      <c r="I5" s="183"/>
      <c r="J5" s="52">
        <v>1</v>
      </c>
      <c r="K5" s="48">
        <v>0</v>
      </c>
      <c r="L5" s="48">
        <v>0</v>
      </c>
      <c r="M5" s="48">
        <v>0</v>
      </c>
      <c r="N5" s="48">
        <v>0</v>
      </c>
      <c r="O5" s="48">
        <v>0</v>
      </c>
      <c r="P5" s="48">
        <v>0</v>
      </c>
    </row>
    <row r="6" spans="1:16">
      <c r="A6" s="183"/>
      <c r="B6" s="54">
        <v>2</v>
      </c>
      <c r="C6" s="48">
        <v>1.2660043823194366E-3</v>
      </c>
      <c r="D6" s="48">
        <v>2.5320087646388731E-3</v>
      </c>
      <c r="E6" s="48">
        <v>3.7980131469583095E-3</v>
      </c>
      <c r="F6" s="48">
        <v>5.0640175292777463E-3</v>
      </c>
      <c r="G6" s="48">
        <v>6.3300219115971839E-3</v>
      </c>
      <c r="H6" s="48">
        <v>7.596026293916619E-3</v>
      </c>
      <c r="I6" s="183"/>
      <c r="J6" s="54">
        <v>2</v>
      </c>
      <c r="K6" s="48">
        <v>1.2660043823194366E-3</v>
      </c>
      <c r="L6" s="48">
        <v>2.5320087646388731E-3</v>
      </c>
      <c r="M6" s="48">
        <v>3.7980131469583095E-3</v>
      </c>
      <c r="N6" s="48">
        <v>5.0640175292777463E-3</v>
      </c>
      <c r="O6" s="48">
        <v>6.3300219115971839E-3</v>
      </c>
      <c r="P6" s="48">
        <v>7.596026293916619E-3</v>
      </c>
    </row>
    <row r="7" spans="1:16">
      <c r="A7" s="183"/>
      <c r="B7" s="54">
        <v>3</v>
      </c>
      <c r="C7" s="48">
        <v>2.5359373031114785E-3</v>
      </c>
      <c r="D7" s="48">
        <v>5.0718746062229569E-3</v>
      </c>
      <c r="E7" s="48">
        <v>7.6078120391498321E-3</v>
      </c>
      <c r="F7" s="48">
        <v>1.0143749342261308E-2</v>
      </c>
      <c r="G7" s="48">
        <v>1.2679686775188187E-2</v>
      </c>
      <c r="H7" s="48">
        <v>1.5215624078299664E-2</v>
      </c>
      <c r="I7" s="183"/>
      <c r="J7" s="54">
        <v>3</v>
      </c>
      <c r="K7" s="48">
        <v>2.5375087185005194E-3</v>
      </c>
      <c r="L7" s="48">
        <v>5.0750175668164378E-3</v>
      </c>
      <c r="M7" s="48">
        <v>7.6125262853169572E-3</v>
      </c>
      <c r="N7" s="48">
        <v>1.0150035133632876E-2</v>
      </c>
      <c r="O7" s="48">
        <v>1.2687543981948794E-2</v>
      </c>
      <c r="P7" s="48">
        <v>1.5225052700449311E-2</v>
      </c>
    </row>
    <row r="8" spans="1:16">
      <c r="A8" s="183"/>
      <c r="B8" s="54">
        <v>4</v>
      </c>
      <c r="C8" s="48">
        <v>3.8098125390352046E-3</v>
      </c>
      <c r="D8" s="48">
        <v>7.6196250780704092E-3</v>
      </c>
      <c r="E8" s="48">
        <v>1.1429437811828707E-2</v>
      </c>
      <c r="F8" s="48">
        <v>1.5239250448225461E-2</v>
      </c>
      <c r="G8" s="48">
        <v>1.9049063181983766E-2</v>
      </c>
      <c r="H8" s="48">
        <v>2.2858875721018964E-2</v>
      </c>
      <c r="I8" s="183"/>
      <c r="J8" s="54">
        <v>4</v>
      </c>
      <c r="K8" s="48">
        <v>3.8145399290113458E-3</v>
      </c>
      <c r="L8" s="48">
        <v>7.629080150107337E-3</v>
      </c>
      <c r="M8" s="48">
        <v>1.1443620176480231E-2</v>
      </c>
      <c r="N8" s="48">
        <v>1.5258160397576222E-2</v>
      </c>
      <c r="O8" s="48">
        <v>1.9072700618672212E-2</v>
      </c>
      <c r="P8" s="48">
        <v>2.2887240645045107E-2</v>
      </c>
    </row>
    <row r="9" spans="1:16">
      <c r="A9" s="183"/>
      <c r="B9" s="54">
        <v>5</v>
      </c>
      <c r="C9" s="48">
        <v>5.0876438278050764E-3</v>
      </c>
      <c r="D9" s="48">
        <v>1.017528773349939E-2</v>
      </c>
      <c r="E9" s="48">
        <v>1.5262931794972181E-2</v>
      </c>
      <c r="F9" s="48">
        <v>2.035057585644497E-2</v>
      </c>
      <c r="G9" s="48">
        <v>2.5438219995807004E-2</v>
      </c>
      <c r="H9" s="48">
        <v>3.0525863823612082E-2</v>
      </c>
      <c r="I9" s="183"/>
      <c r="J9" s="54">
        <v>5</v>
      </c>
      <c r="K9" s="48">
        <v>5.0971251290431079E-3</v>
      </c>
      <c r="L9" s="48">
        <v>1.0194250647532408E-2</v>
      </c>
      <c r="M9" s="48">
        <v>1.5291375932353992E-2</v>
      </c>
      <c r="N9" s="48">
        <v>2.038850145084329E-2</v>
      </c>
      <c r="O9" s="48">
        <v>2.5485626969332594E-2</v>
      </c>
      <c r="P9" s="48">
        <v>3.0582752254154175E-2</v>
      </c>
    </row>
    <row r="10" spans="1:16">
      <c r="A10" s="183"/>
      <c r="B10" s="54">
        <v>6</v>
      </c>
      <c r="C10" s="48">
        <v>6.3694450304601809E-3</v>
      </c>
      <c r="D10" s="48">
        <v>1.2738890190735758E-2</v>
      </c>
      <c r="E10" s="48">
        <v>1.9108335480826733E-2</v>
      </c>
      <c r="F10" s="48">
        <v>2.5477780835825411E-2</v>
      </c>
      <c r="G10" s="48">
        <v>3.1847226255731789E-2</v>
      </c>
      <c r="H10" s="48">
        <v>3.8216671351099671E-2</v>
      </c>
      <c r="I10" s="183"/>
      <c r="J10" s="54">
        <v>6</v>
      </c>
      <c r="K10" s="48">
        <v>6.3852914013331477E-3</v>
      </c>
      <c r="L10" s="48">
        <v>1.2770583321927886E-2</v>
      </c>
      <c r="M10" s="48">
        <v>1.915587498289183E-2</v>
      </c>
      <c r="N10" s="48">
        <v>2.5541166903486564E-2</v>
      </c>
      <c r="O10" s="48">
        <v>3.1926458824081301E-2</v>
      </c>
      <c r="P10" s="48">
        <v>3.8311750485045246E-2</v>
      </c>
    </row>
    <row r="11" spans="1:16">
      <c r="A11" s="183"/>
      <c r="B11" s="54">
        <v>7</v>
      </c>
      <c r="C11" s="48">
        <v>7.6552299876400465E-3</v>
      </c>
      <c r="D11" s="48">
        <v>1.531046019782077E-2</v>
      </c>
      <c r="E11" s="48">
        <v>2.2965690463636671E-2</v>
      </c>
      <c r="F11" s="48">
        <v>3.0620920896358081E-2</v>
      </c>
      <c r="G11" s="48">
        <v>3.8276151329079487E-2</v>
      </c>
      <c r="H11" s="48">
        <v>4.593138148362505E-2</v>
      </c>
      <c r="I11" s="183"/>
      <c r="J11" s="54">
        <v>7</v>
      </c>
      <c r="K11" s="48">
        <v>7.6790660975221327E-3</v>
      </c>
      <c r="L11" s="48">
        <v>1.5358132807031142E-2</v>
      </c>
      <c r="M11" s="48">
        <v>2.3037199238364298E-2</v>
      </c>
      <c r="N11" s="48">
        <v>3.0716266003508474E-2</v>
      </c>
      <c r="O11" s="48">
        <v>3.8395332713017483E-2</v>
      </c>
      <c r="P11" s="48">
        <v>4.6074399144350631E-2</v>
      </c>
    </row>
    <row r="12" spans="1:16">
      <c r="A12" s="183"/>
      <c r="B12" s="54">
        <v>8</v>
      </c>
      <c r="C12" s="48">
        <v>8.9450126296959087E-3</v>
      </c>
      <c r="D12" s="48">
        <v>1.7890025551476459E-2</v>
      </c>
      <c r="E12" s="48">
        <v>2.6835038521937787E-2</v>
      </c>
      <c r="F12" s="48">
        <v>3.5780051687122214E-2</v>
      </c>
      <c r="G12" s="48">
        <v>4.4725064852306637E-2</v>
      </c>
      <c r="H12" s="48">
        <v>5.3670077725406419E-2</v>
      </c>
      <c r="I12" s="183"/>
      <c r="J12" s="54">
        <v>8</v>
      </c>
      <c r="K12" s="48">
        <v>8.9784766700894761E-3</v>
      </c>
      <c r="L12" s="48">
        <v>1.7956954021709791E-2</v>
      </c>
      <c r="M12" s="48">
        <v>2.6935431081245468E-2</v>
      </c>
      <c r="N12" s="48">
        <v>3.5913908530227329E-2</v>
      </c>
      <c r="O12" s="48">
        <v>4.4892385881847637E-2</v>
      </c>
      <c r="P12" s="48">
        <v>5.3870862941383303E-2</v>
      </c>
    </row>
    <row r="13" spans="1:16">
      <c r="A13" s="183"/>
      <c r="B13" s="54">
        <v>9</v>
      </c>
      <c r="C13" s="48">
        <v>1.023880692685088E-2</v>
      </c>
      <c r="D13" s="48">
        <v>2.0477614243147948E-2</v>
      </c>
      <c r="E13" s="48">
        <v>3.0716421559445019E-2</v>
      </c>
      <c r="F13" s="48">
        <v>4.0955229135372882E-2</v>
      </c>
      <c r="G13" s="48">
        <v>5.119403666802895E-2</v>
      </c>
      <c r="H13" s="48">
        <v>6.1432843941054235E-2</v>
      </c>
      <c r="I13" s="183"/>
      <c r="J13" s="54">
        <v>9</v>
      </c>
      <c r="K13" s="48">
        <v>1.0283550702875413E-2</v>
      </c>
      <c r="L13" s="48">
        <v>2.0567102141371411E-2</v>
      </c>
      <c r="M13" s="48">
        <v>3.0850653276964821E-2</v>
      </c>
      <c r="N13" s="48">
        <v>4.1134204845276218E-2</v>
      </c>
      <c r="O13" s="48">
        <v>5.1417756283772216E-2</v>
      </c>
      <c r="P13" s="48">
        <v>6.1701307419365616E-2</v>
      </c>
    </row>
    <row r="14" spans="1:16">
      <c r="A14" s="183"/>
      <c r="B14" s="54">
        <v>10</v>
      </c>
      <c r="C14" s="48">
        <v>1.1536626908208626E-2</v>
      </c>
      <c r="D14" s="48">
        <v>2.3073254283752676E-2</v>
      </c>
      <c r="E14" s="48">
        <v>3.460988165929673E-2</v>
      </c>
      <c r="F14" s="48">
        <v>4.6146509307453121E-2</v>
      </c>
      <c r="G14" s="48">
        <v>5.7683136916664886E-2</v>
      </c>
      <c r="H14" s="48">
        <v>6.9219764253264329E-2</v>
      </c>
      <c r="I14" s="183"/>
      <c r="J14" s="54">
        <v>10</v>
      </c>
      <c r="K14" s="48">
        <v>1.159431592328982E-2</v>
      </c>
      <c r="L14" s="48">
        <v>2.3188632625472022E-2</v>
      </c>
      <c r="M14" s="48">
        <v>3.4782949016097284E-2</v>
      </c>
      <c r="N14" s="48">
        <v>4.6377265874057959E-2</v>
      </c>
      <c r="O14" s="48">
        <v>5.7971582576240167E-2</v>
      </c>
      <c r="P14" s="48">
        <v>6.9565898966865422E-2</v>
      </c>
    </row>
    <row r="15" spans="1:16">
      <c r="A15" s="183"/>
      <c r="B15" s="54">
        <v>11</v>
      </c>
      <c r="C15" s="48">
        <v>1.2838486634989476E-2</v>
      </c>
      <c r="D15" s="48">
        <v>2.5676973836446137E-2</v>
      </c>
      <c r="E15" s="48">
        <v>3.85154610379028E-2</v>
      </c>
      <c r="F15" s="48">
        <v>5.1353948522593056E-2</v>
      </c>
      <c r="G15" s="48">
        <v>6.4192435971879111E-2</v>
      </c>
      <c r="H15" s="48">
        <v>7.7030923137931584E-2</v>
      </c>
      <c r="I15" s="183"/>
      <c r="J15" s="54">
        <v>11</v>
      </c>
      <c r="K15" s="48">
        <v>1.2910800207861697E-2</v>
      </c>
      <c r="L15" s="48">
        <v>2.5821601230019975E-2</v>
      </c>
      <c r="M15" s="48">
        <v>3.8732401933540467E-2</v>
      </c>
      <c r="N15" s="48">
        <v>5.1643203132719737E-2</v>
      </c>
      <c r="O15" s="48">
        <v>6.4554004154878025E-2</v>
      </c>
      <c r="P15" s="48">
        <v>7.7464804858398503E-2</v>
      </c>
    </row>
    <row r="16" spans="1:16">
      <c r="A16" s="183"/>
      <c r="B16" s="54">
        <v>12</v>
      </c>
      <c r="C16" s="48">
        <v>1.4144400252056185E-2</v>
      </c>
      <c r="D16" s="48">
        <v>2.8288801153189356E-2</v>
      </c>
      <c r="E16" s="48">
        <v>4.2433202086776381E-2</v>
      </c>
      <c r="F16" s="48">
        <v>5.6577603279994192E-2</v>
      </c>
      <c r="G16" s="48">
        <v>7.0722004473212002E-2</v>
      </c>
      <c r="H16" s="48">
        <v>8.4866405341891341E-2</v>
      </c>
      <c r="I16" s="183"/>
      <c r="J16" s="54">
        <v>12</v>
      </c>
      <c r="K16" s="48">
        <v>1.4233031552560036E-2</v>
      </c>
      <c r="L16" s="48">
        <v>2.8466063981374003E-2</v>
      </c>
      <c r="M16" s="48">
        <v>4.2699096085649486E-2</v>
      </c>
      <c r="N16" s="48">
        <v>5.6932128709186548E-2</v>
      </c>
      <c r="O16" s="48">
        <v>7.1165161138000518E-2</v>
      </c>
      <c r="P16" s="48">
        <v>8.5398193209822143E-2</v>
      </c>
    </row>
    <row r="17" spans="1:16">
      <c r="A17" s="183"/>
      <c r="B17" s="54">
        <v>13</v>
      </c>
      <c r="C17" s="48">
        <v>1.5454381925786366E-2</v>
      </c>
      <c r="D17" s="48">
        <v>3.0908764600507718E-2</v>
      </c>
      <c r="E17" s="48">
        <v>4.6363147335143871E-2</v>
      </c>
      <c r="F17" s="48">
        <v>6.1817530309439213E-2</v>
      </c>
      <c r="G17" s="48">
        <v>7.7271913313691959E-2</v>
      </c>
      <c r="H17" s="48">
        <v>9.2726295958455926E-2</v>
      </c>
      <c r="I17" s="183"/>
      <c r="J17" s="54">
        <v>13</v>
      </c>
      <c r="K17" s="48">
        <v>1.5561038146684976E-2</v>
      </c>
      <c r="L17" s="48">
        <v>3.1122077222049332E-2</v>
      </c>
      <c r="M17" s="48">
        <v>4.6683115967882306E-2</v>
      </c>
      <c r="N17" s="48">
        <v>6.2244155282905847E-2</v>
      </c>
      <c r="O17" s="48">
        <v>7.7805194358270199E-2</v>
      </c>
      <c r="P17" s="48">
        <v>9.3366233074145766E-2</v>
      </c>
    </row>
    <row r="18" spans="1:16">
      <c r="A18" s="183"/>
      <c r="B18" s="54">
        <v>14</v>
      </c>
      <c r="C18" s="48">
        <v>1.676844591984137E-2</v>
      </c>
      <c r="D18" s="48">
        <v>3.353689267421029E-2</v>
      </c>
      <c r="E18" s="48">
        <v>5.0305339512031977E-2</v>
      </c>
      <c r="F18" s="48">
        <v>6.7073786572394337E-2</v>
      </c>
      <c r="G18" s="48">
        <v>8.3842233688391873E-2</v>
      </c>
      <c r="H18" s="48">
        <v>0.10061068041494321</v>
      </c>
      <c r="I18" s="183"/>
      <c r="J18" s="54">
        <v>14</v>
      </c>
      <c r="K18" s="48">
        <v>1.6894848303820945E-2</v>
      </c>
      <c r="L18" s="48">
        <v>3.3789697581257376E-2</v>
      </c>
      <c r="M18" s="48">
        <v>5.0684546552700376E-2</v>
      </c>
      <c r="N18" s="48">
        <v>6.757939610831265E-2</v>
      </c>
      <c r="O18" s="48">
        <v>8.4474245413566657E-2</v>
      </c>
      <c r="P18" s="48">
        <v>0.10136909432937448</v>
      </c>
    </row>
    <row r="19" spans="1:16">
      <c r="A19" s="183"/>
      <c r="B19" s="54">
        <v>15</v>
      </c>
      <c r="C19" s="48">
        <v>1.808660651081221E-2</v>
      </c>
      <c r="D19" s="48">
        <v>3.6173213930332203E-2</v>
      </c>
      <c r="E19" s="48">
        <v>5.4259821479667597E-2</v>
      </c>
      <c r="F19" s="48">
        <v>7.2346429210744537E-2</v>
      </c>
      <c r="G19" s="48">
        <v>9.0433037019710727E-2</v>
      </c>
      <c r="H19" s="48">
        <v>0.10851964443923072</v>
      </c>
      <c r="I19" s="183"/>
      <c r="J19" s="54">
        <v>15</v>
      </c>
      <c r="K19" s="48">
        <v>1.8234490498297829E-2</v>
      </c>
      <c r="L19" s="48">
        <v>3.6468982009155756E-2</v>
      </c>
      <c r="M19" s="48">
        <v>5.4703473234419819E-2</v>
      </c>
      <c r="N19" s="48">
        <v>7.2937965056834711E-2</v>
      </c>
      <c r="O19" s="48">
        <v>9.1172456619618772E-2</v>
      </c>
      <c r="P19" s="48">
        <v>0.1094069477669936</v>
      </c>
    </row>
    <row r="20" spans="1:16">
      <c r="A20" s="183"/>
      <c r="B20" s="54">
        <v>16</v>
      </c>
      <c r="C20" s="48">
        <v>1.9408878032859827E-2</v>
      </c>
      <c r="D20" s="48">
        <v>3.8817757063675511E-2</v>
      </c>
      <c r="E20" s="48">
        <v>5.8226636240533536E-2</v>
      </c>
      <c r="F20" s="48">
        <v>7.7635515587774248E-2</v>
      </c>
      <c r="G20" s="48">
        <v>9.7044395032376538E-2</v>
      </c>
      <c r="H20" s="48">
        <v>0.11645327406319221</v>
      </c>
      <c r="I20" s="183"/>
      <c r="J20" s="54">
        <v>16</v>
      </c>
      <c r="K20" s="48">
        <v>1.9579993339298375E-2</v>
      </c>
      <c r="L20" s="48">
        <v>3.9159987725233388E-2</v>
      </c>
      <c r="M20" s="48">
        <v>5.8739981843424161E-2</v>
      </c>
      <c r="N20" s="48">
        <v>7.8319976594464977E-2</v>
      </c>
      <c r="O20" s="48">
        <v>9.7899971053421131E-2</v>
      </c>
      <c r="P20" s="48">
        <v>0.11747996507425035</v>
      </c>
    </row>
    <row r="21" spans="1:16">
      <c r="A21" s="183"/>
      <c r="B21" s="54">
        <v>17</v>
      </c>
      <c r="C21" s="48">
        <v>2.0735274883691333E-2</v>
      </c>
      <c r="D21" s="48">
        <v>4.1470550844086837E-2</v>
      </c>
      <c r="E21" s="48">
        <v>6.220582698775115E-2</v>
      </c>
      <c r="F21" s="48">
        <v>8.294110326886707E-2</v>
      </c>
      <c r="G21" s="48">
        <v>0.10367637968743458</v>
      </c>
      <c r="H21" s="48">
        <v>0.12441165564783008</v>
      </c>
      <c r="I21" s="183"/>
      <c r="J21" s="54">
        <v>17</v>
      </c>
      <c r="K21" s="48">
        <v>2.0931385577012799E-2</v>
      </c>
      <c r="L21" s="48">
        <v>4.1862772253638374E-2</v>
      </c>
      <c r="M21" s="48">
        <v>6.279415867826936E-2</v>
      </c>
      <c r="N21" s="48">
        <v>8.3725545767249734E-2</v>
      </c>
      <c r="O21" s="48">
        <v>0.1046569325355097</v>
      </c>
      <c r="P21" s="48">
        <v>0.12558831884559768</v>
      </c>
    </row>
    <row r="22" spans="1:16">
      <c r="A22" s="183"/>
      <c r="B22" s="54">
        <v>18</v>
      </c>
      <c r="C22" s="48">
        <v>2.2065811506908332E-2</v>
      </c>
      <c r="D22" s="48">
        <v>4.4131624182155244E-2</v>
      </c>
      <c r="E22" s="48">
        <v>6.6197437073761148E-2</v>
      </c>
      <c r="F22" s="48">
        <v>8.8263250051910658E-2</v>
      </c>
      <c r="G22" s="48">
        <v>0.11032906322478327</v>
      </c>
      <c r="H22" s="48">
        <v>0.13239487590003016</v>
      </c>
      <c r="I22" s="183"/>
      <c r="J22" s="54">
        <v>18</v>
      </c>
      <c r="K22" s="48">
        <v>2.228869612837775E-2</v>
      </c>
      <c r="L22" s="48">
        <v>4.4577393425094071E-2</v>
      </c>
      <c r="M22" s="48">
        <v>6.6866090483815505E-2</v>
      </c>
      <c r="N22" s="48">
        <v>8.9154788234885735E-2</v>
      </c>
      <c r="O22" s="48">
        <v>0.11144348563978151</v>
      </c>
      <c r="P22" s="48">
        <v>0.13373218256868757</v>
      </c>
    </row>
    <row r="23" spans="1:16">
      <c r="A23" s="183"/>
      <c r="B23" s="54">
        <v>19</v>
      </c>
      <c r="C23" s="48">
        <v>2.3400502400426564E-2</v>
      </c>
      <c r="D23" s="48">
        <v>4.6801006071677538E-2</v>
      </c>
      <c r="E23" s="48">
        <v>7.0201509988894531E-2</v>
      </c>
      <c r="F23" s="48">
        <v>9.3602013947105878E-2</v>
      </c>
      <c r="G23" s="48">
        <v>0.11700251815128324</v>
      </c>
      <c r="H23" s="48">
        <v>0.14040302182253422</v>
      </c>
      <c r="I23" s="183"/>
      <c r="J23" s="54">
        <v>19</v>
      </c>
      <c r="K23" s="48">
        <v>2.3651954074189983E-2</v>
      </c>
      <c r="L23" s="48">
        <v>4.7303909378210045E-2</v>
      </c>
      <c r="M23" s="48">
        <v>7.0955864456761261E-2</v>
      </c>
      <c r="N23" s="48">
        <v>9.4607820252713345E-2</v>
      </c>
      <c r="O23" s="48">
        <v>0.11825977567971639</v>
      </c>
      <c r="P23" s="48">
        <v>0.14191173063528462</v>
      </c>
    </row>
    <row r="24" spans="1:16">
      <c r="A24" s="183"/>
      <c r="B24" s="54">
        <v>20</v>
      </c>
      <c r="C24" s="48">
        <v>2.4739362122369681E-2</v>
      </c>
      <c r="D24" s="48">
        <v>4.9478725627273352E-2</v>
      </c>
      <c r="E24" s="48">
        <v>7.4218089404789356E-2</v>
      </c>
      <c r="F24" s="48">
        <v>9.8957453182305352E-2</v>
      </c>
      <c r="G24" s="48">
        <v>0.12369681725190601</v>
      </c>
      <c r="H24" s="48">
        <v>0.14843618075680967</v>
      </c>
      <c r="I24" s="183"/>
      <c r="J24" s="54">
        <v>20</v>
      </c>
      <c r="K24" s="48">
        <v>2.5021188618141357E-2</v>
      </c>
      <c r="L24" s="48">
        <v>5.0042378540927454E-2</v>
      </c>
      <c r="M24" s="48">
        <v>7.5063568249518153E-2</v>
      </c>
      <c r="N24" s="48">
        <v>0.10008475869805662</v>
      </c>
      <c r="O24" s="48">
        <v>0.12510594875714884</v>
      </c>
      <c r="P24" s="48">
        <v>0.1501271383489057</v>
      </c>
    </row>
    <row r="25" spans="1:16">
      <c r="A25" s="183"/>
      <c r="B25" s="54">
        <v>21</v>
      </c>
      <c r="C25" s="48">
        <v>2.608240529527911E-2</v>
      </c>
      <c r="D25" s="48">
        <v>5.2164812074162764E-2</v>
      </c>
      <c r="E25" s="48">
        <v>7.824721914976733E-2</v>
      </c>
      <c r="F25" s="48">
        <v>0.10432962620682683</v>
      </c>
      <c r="G25" s="48">
        <v>0.13041203357915232</v>
      </c>
      <c r="H25" s="48">
        <v>0.15649444035803595</v>
      </c>
      <c r="I25" s="183"/>
      <c r="J25" s="54">
        <v>21</v>
      </c>
      <c r="K25" s="48">
        <v>2.639642913173831E-2</v>
      </c>
      <c r="L25" s="48">
        <v>5.2792859654355886E-2</v>
      </c>
      <c r="M25" s="48">
        <v>7.9189289972977819E-2</v>
      </c>
      <c r="N25" s="48">
        <v>0.10558572105194711</v>
      </c>
      <c r="O25" s="48">
        <v>0.13198215172292507</v>
      </c>
      <c r="P25" s="48">
        <v>0.15837858193027671</v>
      </c>
    </row>
    <row r="26" spans="1:16">
      <c r="A26" s="183"/>
      <c r="B26" s="54">
        <v>22</v>
      </c>
      <c r="C26" s="48">
        <v>2.7429646573771518E-2</v>
      </c>
      <c r="D26" s="48">
        <v>5.4859294740732013E-2</v>
      </c>
      <c r="E26" s="48">
        <v>8.2288943226330291E-2</v>
      </c>
      <c r="F26" s="48">
        <v>0.10971859167652438</v>
      </c>
      <c r="G26" s="48">
        <v>0.13714824046305837</v>
      </c>
      <c r="H26" s="48">
        <v>0.16457788863001885</v>
      </c>
      <c r="I26" s="183"/>
      <c r="J26" s="54">
        <v>22</v>
      </c>
      <c r="K26" s="48">
        <v>2.7777705151566384E-2</v>
      </c>
      <c r="L26" s="48">
        <v>5.5555411772407047E-2</v>
      </c>
      <c r="M26" s="48">
        <v>8.3333118198524611E-2</v>
      </c>
      <c r="N26" s="48">
        <v>0.11111082540353456</v>
      </c>
      <c r="O26" s="48">
        <v>0.13888853218369407</v>
      </c>
      <c r="P26" s="48">
        <v>0.16666623852130116</v>
      </c>
    </row>
    <row r="27" spans="1:16">
      <c r="A27" s="183"/>
      <c r="B27" s="54">
        <v>23</v>
      </c>
      <c r="C27" s="48">
        <v>2.878110068836329E-2</v>
      </c>
      <c r="D27" s="48">
        <v>5.7562203069970903E-2</v>
      </c>
      <c r="E27" s="48">
        <v>8.6343305790227379E-2</v>
      </c>
      <c r="F27" s="48">
        <v>0.11512440847661898</v>
      </c>
      <c r="G27" s="48">
        <v>0.14390551150165942</v>
      </c>
      <c r="H27" s="48">
        <v>0.17268661388326703</v>
      </c>
      <c r="I27" s="183"/>
      <c r="J27" s="54">
        <v>23</v>
      </c>
      <c r="K27" s="48">
        <v>2.9165046343403469E-2</v>
      </c>
      <c r="L27" s="48">
        <v>5.8330094244591707E-2</v>
      </c>
      <c r="M27" s="48">
        <v>8.7495141959523071E-2</v>
      </c>
      <c r="N27" s="48">
        <v>0.11666019047027927</v>
      </c>
      <c r="O27" s="48">
        <v>0.14582523854079188</v>
      </c>
      <c r="P27" s="48">
        <v>0.17499028618799353</v>
      </c>
    </row>
    <row r="28" spans="1:16">
      <c r="A28" s="183"/>
      <c r="B28" s="54">
        <v>24</v>
      </c>
      <c r="C28" s="48">
        <v>3.0136782413431151E-2</v>
      </c>
      <c r="D28" s="48">
        <v>6.0273566611824023E-2</v>
      </c>
      <c r="E28" s="48">
        <v>9.0410351167209232E-2</v>
      </c>
      <c r="F28" s="48">
        <v>0.12054713570636753</v>
      </c>
      <c r="G28" s="48">
        <v>0.1506839205700643</v>
      </c>
      <c r="H28" s="48">
        <v>0.18082070476845716</v>
      </c>
      <c r="I28" s="183"/>
      <c r="J28" s="54">
        <v>24</v>
      </c>
      <c r="K28" s="48">
        <v>3.0558482540212414E-2</v>
      </c>
      <c r="L28" s="48">
        <v>6.1116966735571147E-2</v>
      </c>
      <c r="M28" s="48">
        <v>9.1675450752433704E-2</v>
      </c>
      <c r="N28" s="48">
        <v>0.12223393558064251</v>
      </c>
      <c r="O28" s="48">
        <v>0.15279241995449735</v>
      </c>
      <c r="P28" s="48">
        <v>0.18335090392267919</v>
      </c>
    </row>
    <row r="29" spans="1:16">
      <c r="A29" s="183"/>
      <c r="B29" s="54">
        <v>25</v>
      </c>
      <c r="C29" s="48">
        <v>3.1496706574017944E-2</v>
      </c>
      <c r="D29" s="48">
        <v>6.2993415032955455E-2</v>
      </c>
      <c r="E29" s="48">
        <v>9.4490123850183474E-2</v>
      </c>
      <c r="F29" s="48">
        <v>0.12598683268298932</v>
      </c>
      <c r="G29" s="48">
        <v>0.15748354181177432</v>
      </c>
      <c r="H29" s="48">
        <v>0.1889802502707118</v>
      </c>
      <c r="I29" s="183"/>
      <c r="J29" s="54">
        <v>25</v>
      </c>
      <c r="K29" s="48">
        <v>3.1958043739859741E-2</v>
      </c>
      <c r="L29" s="48">
        <v>6.3916089224438435E-2</v>
      </c>
      <c r="M29" s="48">
        <v>9.5874134553238635E-2</v>
      </c>
      <c r="N29" s="48">
        <v>0.12783218069208693</v>
      </c>
      <c r="O29" s="48">
        <v>0.15979022637917759</v>
      </c>
      <c r="P29" s="48">
        <v>0.19174827166124431</v>
      </c>
    </row>
    <row r="30" spans="1:16">
      <c r="A30" s="183"/>
      <c r="B30" s="54">
        <v>26</v>
      </c>
      <c r="C30" s="48">
        <v>3.2860888051067835E-2</v>
      </c>
      <c r="D30" s="48">
        <v>6.5721778094302741E-2</v>
      </c>
      <c r="E30" s="48">
        <v>9.8582668497026446E-2</v>
      </c>
      <c r="F30" s="48">
        <v>0.13144355894468623</v>
      </c>
      <c r="G30" s="48">
        <v>0.16430444966196264</v>
      </c>
      <c r="H30" s="48">
        <v>0.19716533970519751</v>
      </c>
      <c r="I30" s="183"/>
      <c r="J30" s="54">
        <v>26</v>
      </c>
      <c r="K30" s="48">
        <v>3.336376008838212E-2</v>
      </c>
      <c r="L30" s="48">
        <v>6.6727522004165596E-2</v>
      </c>
      <c r="M30" s="48">
        <v>0.10009128380011947</v>
      </c>
      <c r="N30" s="48">
        <v>0.13345504640492314</v>
      </c>
      <c r="O30" s="48">
        <v>0.16681880854538708</v>
      </c>
      <c r="P30" s="48">
        <v>0.20018257029640493</v>
      </c>
    </row>
    <row r="31" spans="1:16">
      <c r="A31" s="183"/>
      <c r="B31" s="54">
        <v>27</v>
      </c>
      <c r="C31" s="48">
        <v>3.4135563675892197E-2</v>
      </c>
      <c r="D31" s="48">
        <v>6.8271129472102551E-2</v>
      </c>
      <c r="E31" s="48">
        <v>0.10240669561448731</v>
      </c>
      <c r="F31" s="48">
        <v>0.13654226184341567</v>
      </c>
      <c r="G31" s="48">
        <v>0.17067782830312694</v>
      </c>
      <c r="H31" s="48">
        <v>0.2048133940993373</v>
      </c>
      <c r="I31" s="183"/>
      <c r="J31" s="54">
        <v>27</v>
      </c>
      <c r="K31" s="48">
        <v>3.4681883786213195E-2</v>
      </c>
      <c r="L31" s="48">
        <v>6.9363769490809482E-2</v>
      </c>
      <c r="M31" s="48">
        <v>0.10404565509443824</v>
      </c>
      <c r="N31" s="48">
        <v>0.1387275415202312</v>
      </c>
      <c r="O31" s="48">
        <v>0.17340942745561039</v>
      </c>
      <c r="P31" s="48">
        <v>0.20809131303039133</v>
      </c>
    </row>
    <row r="32" spans="1:16">
      <c r="A32" s="183"/>
      <c r="B32" s="54">
        <v>28</v>
      </c>
      <c r="C32" s="48">
        <v>3.5329954277508777E-2</v>
      </c>
      <c r="D32" s="48">
        <v>7.0659910794333161E-2</v>
      </c>
      <c r="E32" s="48">
        <v>0.10598986764496859</v>
      </c>
      <c r="F32" s="48">
        <v>0.14131982462078313</v>
      </c>
      <c r="G32" s="48">
        <v>0.17664978179132079</v>
      </c>
      <c r="H32" s="48">
        <v>0.21197973830814512</v>
      </c>
      <c r="I32" s="183"/>
      <c r="J32" s="54">
        <v>28</v>
      </c>
      <c r="K32" s="48">
        <v>3.5921314385077063E-2</v>
      </c>
      <c r="L32" s="48">
        <v>7.1842630759111445E-2</v>
      </c>
      <c r="M32" s="48">
        <v>0.10776394706360191</v>
      </c>
      <c r="N32" s="48">
        <v>0.1436852642026199</v>
      </c>
      <c r="O32" s="48">
        <v>0.17960658081310377</v>
      </c>
      <c r="P32" s="48">
        <v>0.21552789710368545</v>
      </c>
    </row>
    <row r="33" spans="1:16">
      <c r="A33" s="183"/>
      <c r="B33" s="54">
        <v>29</v>
      </c>
      <c r="C33" s="48">
        <v>3.6452005274288497E-2</v>
      </c>
      <c r="D33" s="48">
        <v>7.2904012898683326E-2</v>
      </c>
      <c r="E33" s="48">
        <v>0.10935602085880766</v>
      </c>
      <c r="F33" s="48">
        <v>0.14580802896665293</v>
      </c>
      <c r="G33" s="48">
        <v>0.18226003723564838</v>
      </c>
      <c r="H33" s="48">
        <v>0.21871204487347237</v>
      </c>
      <c r="I33" s="183"/>
      <c r="J33" s="54">
        <v>29</v>
      </c>
      <c r="K33" s="48">
        <v>3.7089717130586633E-2</v>
      </c>
      <c r="L33" s="48">
        <v>7.4179436315837649E-2</v>
      </c>
      <c r="M33" s="48">
        <v>0.11126915547423033</v>
      </c>
      <c r="N33" s="48">
        <v>0.14835887546523213</v>
      </c>
      <c r="O33" s="48">
        <v>0.18544859489220836</v>
      </c>
      <c r="P33" s="48">
        <v>0.22253831403717189</v>
      </c>
    </row>
    <row r="34" spans="1:16">
      <c r="A34" s="183"/>
      <c r="B34" s="54">
        <v>30</v>
      </c>
      <c r="C34" s="48">
        <v>3.7508599242396579E-2</v>
      </c>
      <c r="D34" s="48">
        <v>7.5017200938304163E-2</v>
      </c>
      <c r="E34" s="48">
        <v>0.11252580298471335</v>
      </c>
      <c r="F34" s="48">
        <v>0.15003440518690098</v>
      </c>
      <c r="G34" s="48">
        <v>0.18754300750592251</v>
      </c>
      <c r="H34" s="48">
        <v>0.22505160924077466</v>
      </c>
      <c r="I34" s="183"/>
      <c r="J34" s="54">
        <v>30</v>
      </c>
      <c r="K34" s="48">
        <v>3.8193728628002695E-2</v>
      </c>
      <c r="L34" s="48">
        <v>7.6387459397959434E-2</v>
      </c>
      <c r="M34" s="48">
        <v>0.11458119016791619</v>
      </c>
      <c r="N34" s="48">
        <v>0.15277492176869154</v>
      </c>
      <c r="O34" s="48">
        <v>0.19096865277231595</v>
      </c>
      <c r="P34" s="48">
        <v>0.22916238352929119</v>
      </c>
    </row>
    <row r="35" spans="1:16">
      <c r="A35" s="183"/>
      <c r="B35" s="54">
        <v>31</v>
      </c>
      <c r="C35" s="48">
        <v>3.8505727316829177E-2</v>
      </c>
      <c r="D35" s="48">
        <v>7.7011457183902773E-2</v>
      </c>
      <c r="E35" s="48">
        <v>0.11551718741529704</v>
      </c>
      <c r="F35" s="48">
        <v>0.1540229178100074</v>
      </c>
      <c r="G35" s="48">
        <v>0.19252864828009447</v>
      </c>
      <c r="H35" s="48">
        <v>0.23103437819741915</v>
      </c>
      <c r="I35" s="183"/>
      <c r="J35" s="54">
        <v>31</v>
      </c>
      <c r="K35" s="48">
        <v>3.9239122726842546E-2</v>
      </c>
      <c r="L35" s="48">
        <v>7.8478247664734435E-2</v>
      </c>
      <c r="M35" s="48">
        <v>0.11771737262775189</v>
      </c>
      <c r="N35" s="48">
        <v>0.15695649841991291</v>
      </c>
      <c r="O35" s="48">
        <v>0.1961956235839348</v>
      </c>
      <c r="P35" s="48">
        <v>0.2354347485343895</v>
      </c>
    </row>
    <row r="36" spans="1:16">
      <c r="A36" s="183"/>
      <c r="B36" s="54">
        <v>32</v>
      </c>
      <c r="C36" s="48">
        <v>3.9448628454755698E-2</v>
      </c>
      <c r="D36" s="48">
        <v>7.8897259538273187E-2</v>
      </c>
      <c r="E36" s="48">
        <v>0.11834589101123691</v>
      </c>
      <c r="F36" s="48">
        <v>0.15779452264241309</v>
      </c>
      <c r="G36" s="48">
        <v>0.19724315432227008</v>
      </c>
      <c r="H36" s="48">
        <v>0.23669178546663849</v>
      </c>
      <c r="I36" s="183"/>
      <c r="J36" s="54">
        <v>32</v>
      </c>
      <c r="K36" s="48">
        <v>4.0230945192592814E-2</v>
      </c>
      <c r="L36" s="48">
        <v>8.0461892673181989E-2</v>
      </c>
      <c r="M36" s="48">
        <v>0.12069284020245197</v>
      </c>
      <c r="N36" s="48">
        <v>0.16092378853495476</v>
      </c>
      <c r="O36" s="48">
        <v>0.20115473623460739</v>
      </c>
      <c r="P36" s="48">
        <v>0.24138568375170716</v>
      </c>
    </row>
    <row r="37" spans="1:16">
      <c r="A37" s="183"/>
      <c r="B37" s="54">
        <v>33</v>
      </c>
      <c r="C37" s="48">
        <v>4.0341903366451937E-2</v>
      </c>
      <c r="D37" s="48">
        <v>8.0683809447225821E-2</v>
      </c>
      <c r="E37" s="48">
        <v>0.1210257159174459</v>
      </c>
      <c r="F37" s="48">
        <v>0.16136762256468698</v>
      </c>
      <c r="G37" s="48">
        <v>0.20170952922372945</v>
      </c>
      <c r="H37" s="48">
        <v>0.24205143536351026</v>
      </c>
      <c r="I37" s="183"/>
      <c r="J37" s="54">
        <v>33</v>
      </c>
      <c r="K37" s="48">
        <v>4.1173624010670248E-2</v>
      </c>
      <c r="L37" s="48">
        <v>8.2347250393421834E-2</v>
      </c>
      <c r="M37" s="48">
        <v>0.12352087683518044</v>
      </c>
      <c r="N37" s="48">
        <v>0.16469450406763286</v>
      </c>
      <c r="O37" s="48">
        <v>0.20586813066280965</v>
      </c>
      <c r="P37" s="48">
        <v>0.24704175709276682</v>
      </c>
    </row>
    <row r="38" spans="1:16">
      <c r="A38" s="183"/>
      <c r="B38" s="54">
        <v>34</v>
      </c>
      <c r="C38" s="48">
        <v>4.118960837513741E-2</v>
      </c>
      <c r="D38" s="48">
        <v>8.2379219533669654E-2</v>
      </c>
      <c r="E38" s="48">
        <v>0.12356883110455673</v>
      </c>
      <c r="F38" s="48">
        <v>0.16475844284725827</v>
      </c>
      <c r="G38" s="48">
        <v>0.20594805458995982</v>
      </c>
      <c r="H38" s="48">
        <v>0.24713766580576352</v>
      </c>
      <c r="I38" s="183"/>
      <c r="J38" s="54">
        <v>34</v>
      </c>
      <c r="K38" s="48">
        <v>4.2071060167706217E-2</v>
      </c>
      <c r="L38" s="48">
        <v>8.4142122786632578E-2</v>
      </c>
      <c r="M38" s="48">
        <v>0.12621318548573907</v>
      </c>
      <c r="N38" s="48">
        <v>0.16828424895228367</v>
      </c>
      <c r="O38" s="48">
        <v>0.21035531178884173</v>
      </c>
      <c r="P38" s="48">
        <v>0.25242637446503957</v>
      </c>
    </row>
    <row r="39" spans="1:16">
      <c r="A39" s="183"/>
      <c r="B39" s="54">
        <v>35</v>
      </c>
      <c r="C39" s="48">
        <v>4.1995333153173706E-2</v>
      </c>
      <c r="D39" s="48">
        <v>8.3990669154868136E-2</v>
      </c>
      <c r="E39" s="48">
        <v>0.12598600557938988</v>
      </c>
      <c r="F39" s="48">
        <v>0.16798134218194413</v>
      </c>
      <c r="G39" s="48">
        <v>0.20997667876224435</v>
      </c>
      <c r="H39" s="48">
        <v>0.25197201481957388</v>
      </c>
      <c r="I39" s="183"/>
      <c r="J39" s="54">
        <v>35</v>
      </c>
      <c r="K39" s="48">
        <v>4.2926702870325281E-2</v>
      </c>
      <c r="L39" s="48">
        <v>8.5853408277614313E-2</v>
      </c>
      <c r="M39" s="48">
        <v>0.12878011377391965</v>
      </c>
      <c r="N39" s="48">
        <v>0.17170682002686335</v>
      </c>
      <c r="O39" s="48">
        <v>0.21463352564556604</v>
      </c>
      <c r="P39" s="48">
        <v>0.25756023111961723</v>
      </c>
    </row>
    <row r="40" spans="1:16">
      <c r="A40" s="183"/>
      <c r="B40" s="54">
        <v>36</v>
      </c>
      <c r="C40" s="48">
        <v>4.2762265513047758E-2</v>
      </c>
      <c r="D40" s="48">
        <v>8.5524533936124011E-2</v>
      </c>
      <c r="E40" s="48">
        <v>0.12828680278110033</v>
      </c>
      <c r="F40" s="48">
        <v>0.1710490718207997</v>
      </c>
      <c r="G40" s="48">
        <v>0.21381134080640937</v>
      </c>
      <c r="H40" s="48">
        <v>0.25657360928357531</v>
      </c>
      <c r="I40" s="183"/>
      <c r="J40" s="54">
        <v>36</v>
      </c>
      <c r="K40" s="48">
        <v>4.3743612238278572E-2</v>
      </c>
      <c r="L40" s="48">
        <v>8.7487227105318949E-2</v>
      </c>
      <c r="M40" s="48">
        <v>0.1312308420589029</v>
      </c>
      <c r="N40" s="48">
        <v>0.17497445776974344</v>
      </c>
      <c r="O40" s="48">
        <v>0.21871807284232483</v>
      </c>
      <c r="P40" s="48">
        <v>0.26246168777427287</v>
      </c>
    </row>
    <row r="41" spans="1:16">
      <c r="A41" s="183"/>
      <c r="B41" s="54">
        <v>37</v>
      </c>
      <c r="C41" s="48">
        <v>4.3493245691709127E-2</v>
      </c>
      <c r="D41" s="48">
        <v>8.6986494351629792E-2</v>
      </c>
      <c r="E41" s="48">
        <v>0.13047974342204782</v>
      </c>
      <c r="F41" s="48">
        <v>0.17397299272402839</v>
      </c>
      <c r="G41" s="48">
        <v>0.21746624192075326</v>
      </c>
      <c r="H41" s="48">
        <v>0.26095949063330176</v>
      </c>
      <c r="I41" s="183"/>
      <c r="J41" s="54">
        <v>37</v>
      </c>
      <c r="K41" s="48">
        <v>4.452451184164876E-2</v>
      </c>
      <c r="L41" s="48">
        <v>8.9049026388369729E-2</v>
      </c>
      <c r="M41" s="48">
        <v>0.13357354101929528</v>
      </c>
      <c r="N41" s="48">
        <v>0.17809805640806214</v>
      </c>
      <c r="O41" s="48">
        <v>0.22262257115476897</v>
      </c>
      <c r="P41" s="48">
        <v>0.26714708577516894</v>
      </c>
    </row>
    <row r="42" spans="1:16">
      <c r="A42" s="183"/>
      <c r="B42" s="54">
        <v>38</v>
      </c>
      <c r="C42" s="48">
        <v>4.4190812073944818E-2</v>
      </c>
      <c r="D42" s="48">
        <v>8.838162716097335E-2</v>
      </c>
      <c r="E42" s="48">
        <v>0.13257244264769669</v>
      </c>
      <c r="F42" s="48">
        <v>0.17676325840088314</v>
      </c>
      <c r="G42" s="48">
        <v>0.22095407400034089</v>
      </c>
      <c r="H42" s="48">
        <v>0.26514488914886086</v>
      </c>
      <c r="I42" s="183"/>
      <c r="J42" s="54">
        <v>38</v>
      </c>
      <c r="K42" s="48">
        <v>4.5271832891463915E-2</v>
      </c>
      <c r="L42" s="48">
        <v>9.0543668560294097E-2</v>
      </c>
      <c r="M42" s="48">
        <v>0.13581550432136152</v>
      </c>
      <c r="N42" s="48">
        <v>0.1810873408203271</v>
      </c>
      <c r="O42" s="48">
        <v>0.22635917668388039</v>
      </c>
      <c r="P42" s="48">
        <v>0.27163101243469923</v>
      </c>
    </row>
    <row r="43" spans="1:16">
      <c r="A43" s="183"/>
      <c r="B43" s="54">
        <v>39</v>
      </c>
      <c r="C43" s="48">
        <v>4.4857239841445413E-2</v>
      </c>
      <c r="D43" s="48">
        <v>8.9714482748531388E-2</v>
      </c>
      <c r="E43" s="48">
        <v>0.13457172604506357</v>
      </c>
      <c r="F43" s="48">
        <v>0.17942896964116969</v>
      </c>
      <c r="G43" s="48">
        <v>0.22428621303755986</v>
      </c>
      <c r="H43" s="48">
        <v>0.26914345600456058</v>
      </c>
      <c r="I43" s="183"/>
      <c r="J43" s="54">
        <v>39</v>
      </c>
      <c r="K43" s="48">
        <v>4.5987751691670131E-2</v>
      </c>
      <c r="L43" s="48">
        <v>9.1975506239279012E-2</v>
      </c>
      <c r="M43" s="48">
        <v>0.13796326087676009</v>
      </c>
      <c r="N43" s="48">
        <v>0.18395101624320465</v>
      </c>
      <c r="O43" s="48">
        <v>0.22993877097055793</v>
      </c>
      <c r="P43" s="48">
        <v>0.27592652560803899</v>
      </c>
    </row>
    <row r="44" spans="1:16">
      <c r="A44" s="183"/>
      <c r="B44" s="54">
        <v>40</v>
      </c>
      <c r="C44" s="48">
        <v>4.5494573892664487E-2</v>
      </c>
      <c r="D44" s="48">
        <v>9.0989150910634684E-2</v>
      </c>
      <c r="E44" s="48">
        <v>0.13648372829857877</v>
      </c>
      <c r="F44" s="48">
        <v>0.18197830602728823</v>
      </c>
      <c r="G44" s="48">
        <v>0.22747288351259387</v>
      </c>
      <c r="H44" s="48">
        <v>0.27296746057924476</v>
      </c>
      <c r="I44" s="183"/>
      <c r="J44" s="54">
        <v>40</v>
      </c>
      <c r="K44" s="48">
        <v>4.6674221444099918E-2</v>
      </c>
      <c r="L44" s="48">
        <v>9.3348445838254746E-2</v>
      </c>
      <c r="M44" s="48">
        <v>0.14002267031029883</v>
      </c>
      <c r="N44" s="48">
        <v>0.18669689550281843</v>
      </c>
      <c r="O44" s="48">
        <v>0.23337112005275173</v>
      </c>
      <c r="P44" s="48">
        <v>0.28004534453453195</v>
      </c>
    </row>
    <row r="45" spans="1:16">
      <c r="A45" s="183"/>
      <c r="B45" s="54">
        <v>41</v>
      </c>
      <c r="C45" s="48">
        <v>4.6104656897644085E-2</v>
      </c>
      <c r="D45" s="48">
        <v>9.2209316967849855E-2</v>
      </c>
      <c r="E45" s="48">
        <v>0.13831397739900575</v>
      </c>
      <c r="F45" s="48">
        <v>0.18441863820061047</v>
      </c>
      <c r="G45" s="48">
        <v>0.23052329871725458</v>
      </c>
      <c r="H45" s="48">
        <v>0.27662795883495372</v>
      </c>
      <c r="I45" s="183"/>
      <c r="J45" s="54">
        <v>41</v>
      </c>
      <c r="K45" s="48">
        <v>4.7332999418052212E-2</v>
      </c>
      <c r="L45" s="48">
        <v>9.4666001875684455E-2</v>
      </c>
      <c r="M45" s="48">
        <v>0.14199900439980753</v>
      </c>
      <c r="N45" s="48">
        <v>0.18933200762683355</v>
      </c>
      <c r="O45" s="48">
        <v>0.23666501021744743</v>
      </c>
      <c r="P45" s="48">
        <v>0.28399801277006653</v>
      </c>
    </row>
    <row r="46" spans="1:16">
      <c r="A46" s="183"/>
      <c r="B46" s="54">
        <v>42</v>
      </c>
      <c r="C46" s="48">
        <v>4.6689153335735561E-2</v>
      </c>
      <c r="D46" s="48">
        <v>9.3378309889038488E-2</v>
      </c>
      <c r="E46" s="48">
        <v>0.14006746678542498</v>
      </c>
      <c r="F46" s="48">
        <v>0.1867566240898027</v>
      </c>
      <c r="G46" s="48">
        <v>0.23344578106036942</v>
      </c>
      <c r="H46" s="48">
        <v>0.28013493766003489</v>
      </c>
      <c r="I46" s="183"/>
      <c r="J46" s="54">
        <v>42</v>
      </c>
      <c r="K46" s="48">
        <v>4.7965670201413811E-2</v>
      </c>
      <c r="L46" s="48">
        <v>9.5931343527669674E-2</v>
      </c>
      <c r="M46" s="48">
        <v>0.14389701690028822</v>
      </c>
      <c r="N46" s="48">
        <v>0.19186269096834643</v>
      </c>
      <c r="O46" s="48">
        <v>0.23982836439660013</v>
      </c>
      <c r="P46" s="48">
        <v>0.2877940378248538</v>
      </c>
    </row>
    <row r="47" spans="1:16">
      <c r="A47" s="183"/>
      <c r="B47" s="54">
        <v>43</v>
      </c>
      <c r="C47" s="48">
        <v>4.7249570206390389E-2</v>
      </c>
      <c r="D47" s="48">
        <v>9.4499143664203658E-2</v>
      </c>
      <c r="E47" s="48">
        <v>0.14174871745712181</v>
      </c>
      <c r="F47" s="48">
        <v>0.18899829169382745</v>
      </c>
      <c r="G47" s="48">
        <v>0.23624786555014379</v>
      </c>
      <c r="H47" s="48">
        <v>0.28349743905324143</v>
      </c>
      <c r="I47" s="183"/>
      <c r="J47" s="54">
        <v>43</v>
      </c>
      <c r="K47" s="48">
        <v>4.8573665734608883E-2</v>
      </c>
      <c r="L47" s="48">
        <v>9.7147334666299268E-2</v>
      </c>
      <c r="M47" s="48">
        <v>0.14572100363421725</v>
      </c>
      <c r="N47" s="48">
        <v>0.1942946732814019</v>
      </c>
      <c r="O47" s="48">
        <v>0.2428683422946043</v>
      </c>
      <c r="P47" s="48">
        <v>0.29144201133497732</v>
      </c>
    </row>
    <row r="48" spans="1:16">
      <c r="A48" s="183"/>
      <c r="B48" s="54">
        <v>44</v>
      </c>
      <c r="C48" s="48">
        <v>4.7787274906901267E-2</v>
      </c>
      <c r="D48" s="48">
        <v>9.5574553097542023E-2</v>
      </c>
      <c r="E48" s="48">
        <v>0.14336183161567165</v>
      </c>
      <c r="F48" s="48">
        <v>0.19114911061175793</v>
      </c>
      <c r="G48" s="48">
        <v>0.23893638918299384</v>
      </c>
      <c r="H48" s="48">
        <v>0.28672366741788979</v>
      </c>
      <c r="I48" s="183"/>
      <c r="J48" s="54">
        <v>44</v>
      </c>
      <c r="K48" s="48">
        <v>4.915828260379522E-2</v>
      </c>
      <c r="L48" s="48">
        <v>9.8316568473627811E-2</v>
      </c>
      <c r="M48" s="48">
        <v>0.14747485437001356</v>
      </c>
      <c r="N48" s="48">
        <v>0.19663314093022816</v>
      </c>
      <c r="O48" s="48">
        <v>0.24579142686201808</v>
      </c>
      <c r="P48" s="48">
        <v>0.29494971283806326</v>
      </c>
    </row>
    <row r="49" spans="1:16">
      <c r="A49" s="183"/>
      <c r="B49" s="54">
        <v>45</v>
      </c>
      <c r="C49" s="48">
        <v>4.8303510735098712E-2</v>
      </c>
      <c r="D49" s="48">
        <v>9.6607024776162898E-2</v>
      </c>
      <c r="E49" s="48">
        <v>0.1449105391374384</v>
      </c>
      <c r="F49" s="48">
        <v>0.1932140540093211</v>
      </c>
      <c r="G49" s="48">
        <v>0.24151756841386843</v>
      </c>
      <c r="H49" s="48">
        <v>0.28982108249820432</v>
      </c>
      <c r="I49" s="183"/>
      <c r="J49" s="54">
        <v>45</v>
      </c>
      <c r="K49" s="48">
        <v>4.9720697036955412E-2</v>
      </c>
      <c r="L49" s="48">
        <v>9.9441397405839363E-2</v>
      </c>
      <c r="M49" s="48">
        <v>0.14916209779203204</v>
      </c>
      <c r="N49" s="48">
        <v>0.19888279881864743</v>
      </c>
      <c r="O49" s="48">
        <v>0.24860349923080316</v>
      </c>
      <c r="P49" s="48">
        <v>0.29832419970353941</v>
      </c>
    </row>
    <row r="50" spans="1:16">
      <c r="A50" s="183"/>
      <c r="B50" s="54">
        <v>46</v>
      </c>
      <c r="C50" s="48">
        <v>4.8799410336091947E-2</v>
      </c>
      <c r="D50" s="48">
        <v>9.7598824007875201E-2</v>
      </c>
      <c r="E50" s="48">
        <v>0.14639823798444243</v>
      </c>
      <c r="F50" s="48">
        <v>0.19519765250284782</v>
      </c>
      <c r="G50" s="48">
        <v>0.24399706651327999</v>
      </c>
      <c r="H50" s="48">
        <v>0.2927964802273943</v>
      </c>
      <c r="I50" s="183"/>
      <c r="J50" s="54">
        <v>46</v>
      </c>
      <c r="K50" s="48">
        <v>5.0261977935509856E-2</v>
      </c>
      <c r="L50" s="48">
        <v>0.10052395925750833</v>
      </c>
      <c r="M50" s="48">
        <v>0.15078594059643929</v>
      </c>
      <c r="N50" s="48">
        <v>0.20104792254493822</v>
      </c>
      <c r="O50" s="48">
        <v>0.25130990389233537</v>
      </c>
      <c r="P50" s="48">
        <v>0.30157188532439472</v>
      </c>
    </row>
    <row r="51" spans="1:16">
      <c r="A51" s="183"/>
      <c r="B51" s="54">
        <v>47</v>
      </c>
      <c r="C51" s="48">
        <v>4.9276007482121062E-2</v>
      </c>
      <c r="D51" s="48">
        <v>9.8552018328394358E-2</v>
      </c>
      <c r="E51" s="48">
        <v>0.14782802947296686</v>
      </c>
      <c r="F51" s="48">
        <v>0.19710404118099339</v>
      </c>
      <c r="G51" s="48">
        <v>0.24638005234213811</v>
      </c>
      <c r="H51" s="48">
        <v>0.29565606322984178</v>
      </c>
      <c r="I51" s="183"/>
      <c r="J51" s="54">
        <v>47</v>
      </c>
      <c r="K51" s="48">
        <v>5.0783098234033465E-2</v>
      </c>
      <c r="L51" s="48">
        <v>0.10156619990679396</v>
      </c>
      <c r="M51" s="48">
        <v>0.15234930159612667</v>
      </c>
      <c r="N51" s="48">
        <v>0.20313240387377171</v>
      </c>
      <c r="O51" s="48">
        <v>0.25391550555481829</v>
      </c>
      <c r="P51" s="48">
        <v>0.30469860733529791</v>
      </c>
    </row>
    <row r="52" spans="1:16">
      <c r="A52" s="183"/>
      <c r="B52" s="54">
        <v>48</v>
      </c>
      <c r="C52" s="48">
        <v>4.9734247339360403E-2</v>
      </c>
      <c r="D52" s="48">
        <v>9.9468498078261539E-2</v>
      </c>
      <c r="E52" s="48">
        <v>0.14920274910924733</v>
      </c>
      <c r="F52" s="48">
        <v>0.19893700071628892</v>
      </c>
      <c r="G52" s="48">
        <v>0.2486712517472747</v>
      </c>
      <c r="H52" s="48">
        <v>0.29840550252674314</v>
      </c>
      <c r="I52" s="183"/>
      <c r="J52" s="54">
        <v>48</v>
      </c>
      <c r="K52" s="48">
        <v>5.1284944864348307E-2</v>
      </c>
      <c r="L52" s="48">
        <v>0.10256989320937196</v>
      </c>
      <c r="M52" s="48">
        <v>0.15385484157873602</v>
      </c>
      <c r="N52" s="48">
        <v>0.20513979050792899</v>
      </c>
      <c r="O52" s="48">
        <v>0.25642473885295264</v>
      </c>
      <c r="P52" s="48">
        <v>0.30770968730345127</v>
      </c>
    </row>
    <row r="53" spans="1:16">
      <c r="A53" s="183"/>
      <c r="B53" s="54">
        <v>49</v>
      </c>
      <c r="C53" s="48">
        <v>5.0174995509353809E-2</v>
      </c>
      <c r="D53" s="48">
        <v>0.10034999445219242</v>
      </c>
      <c r="E53" s="48">
        <v>0.15052499368115477</v>
      </c>
      <c r="F53" s="48">
        <v>0.20069999349031245</v>
      </c>
      <c r="G53" s="48">
        <v>0.25087499270337904</v>
      </c>
      <c r="H53" s="48">
        <v>0.30104999168595703</v>
      </c>
      <c r="I53" s="183"/>
      <c r="J53" s="54">
        <v>49</v>
      </c>
      <c r="K53" s="48">
        <v>5.1768327467731565E-2</v>
      </c>
      <c r="L53" s="48">
        <v>0.10353665845637461</v>
      </c>
      <c r="M53" s="48">
        <v>0.15530498947680921</v>
      </c>
      <c r="N53" s="48">
        <v>0.2070733210297519</v>
      </c>
      <c r="O53" s="48">
        <v>0.25884165201044712</v>
      </c>
      <c r="P53" s="48">
        <v>0.31060998310241256</v>
      </c>
    </row>
    <row r="54" spans="1:16">
      <c r="A54" s="183"/>
      <c r="B54" s="54">
        <v>50</v>
      </c>
      <c r="C54" s="48">
        <v>5.0599045946533049E-2</v>
      </c>
      <c r="D54" s="48">
        <v>0.10119809535913722</v>
      </c>
      <c r="E54" s="48">
        <v>0.15179714505993158</v>
      </c>
      <c r="F54" s="48">
        <v>0.20239619533710626</v>
      </c>
      <c r="G54" s="48">
        <v>0.25299524500674492</v>
      </c>
      <c r="H54" s="48">
        <v>0.30359429445829372</v>
      </c>
      <c r="I54" s="183"/>
      <c r="J54" s="54">
        <v>50</v>
      </c>
      <c r="K54" s="48">
        <v>5.2233986085025469E-2</v>
      </c>
      <c r="L54" s="48">
        <v>0.10446797573737805</v>
      </c>
      <c r="M54" s="48">
        <v>0.15670196542088635</v>
      </c>
      <c r="N54" s="48">
        <v>0.20893595561846365</v>
      </c>
      <c r="O54" s="48">
        <v>0.26116994524744952</v>
      </c>
      <c r="P54" s="48">
        <v>0.31340393499326913</v>
      </c>
    </row>
    <row r="55" spans="1:16">
      <c r="A55" s="183"/>
      <c r="B55" s="54">
        <v>51</v>
      </c>
      <c r="C55" s="48">
        <v>5.1007127982444542E-2</v>
      </c>
      <c r="D55" s="48">
        <v>0.10201425946226864</v>
      </c>
      <c r="E55" s="48">
        <v>0.15302139123226832</v>
      </c>
      <c r="F55" s="48">
        <v>0.20402852357498297</v>
      </c>
      <c r="G55" s="48">
        <v>0.25503565529916544</v>
      </c>
      <c r="H55" s="48">
        <v>0.30604278681717051</v>
      </c>
      <c r="I55" s="183"/>
      <c r="J55" s="54">
        <v>51</v>
      </c>
      <c r="K55" s="48">
        <v>5.2682597934392152E-2</v>
      </c>
      <c r="L55" s="48">
        <v>0.10536519948834303</v>
      </c>
      <c r="M55" s="48">
        <v>0.15804780106520253</v>
      </c>
      <c r="N55" s="48">
        <v>0.21073040313841504</v>
      </c>
      <c r="O55" s="48">
        <v>0.26341300465418499</v>
      </c>
      <c r="P55" s="48">
        <v>0.31609560628449779</v>
      </c>
    </row>
    <row r="56" spans="1:16">
      <c r="A56" s="183"/>
      <c r="B56" s="54">
        <v>52</v>
      </c>
      <c r="C56" s="48">
        <v>5.1399912517020238E-2</v>
      </c>
      <c r="D56" s="48">
        <v>0.10279982856152427</v>
      </c>
      <c r="E56" s="48">
        <v>0.15419974489811297</v>
      </c>
      <c r="F56" s="48">
        <v>0.20559966180389219</v>
      </c>
      <c r="G56" s="48">
        <v>0.25699957808056606</v>
      </c>
      <c r="H56" s="48">
        <v>0.30839949416251677</v>
      </c>
      <c r="I56" s="183"/>
      <c r="J56" s="54">
        <v>52</v>
      </c>
      <c r="K56" s="48">
        <v>5.3114783407019833E-2</v>
      </c>
      <c r="L56" s="48">
        <v>0.10622957048382109</v>
      </c>
      <c r="M56" s="48">
        <v>0.15934435757560109</v>
      </c>
      <c r="N56" s="48">
        <v>0.21245914514669947</v>
      </c>
      <c r="O56" s="48">
        <v>0.26557393217856468</v>
      </c>
      <c r="P56" s="48">
        <v>0.31868871931528064</v>
      </c>
    </row>
    <row r="57" spans="1:16">
      <c r="A57" s="183"/>
      <c r="B57" s="54">
        <v>53</v>
      </c>
      <c r="C57" s="48">
        <v>5.1778239890074233E-2</v>
      </c>
      <c r="D57" s="48">
        <v>0.1035564833366005</v>
      </c>
      <c r="E57" s="48">
        <v>0.15533472706970039</v>
      </c>
      <c r="F57" s="48">
        <v>0.20711297137594747</v>
      </c>
      <c r="G57" s="48">
        <v>0.25889121504291501</v>
      </c>
      <c r="H57" s="48">
        <v>0.31066945852618144</v>
      </c>
      <c r="I57" s="183"/>
      <c r="J57" s="54">
        <v>53</v>
      </c>
      <c r="K57" s="48">
        <v>5.3531422698538965E-2</v>
      </c>
      <c r="L57" s="48">
        <v>0.1070628491225349</v>
      </c>
      <c r="M57" s="48">
        <v>0.16059427554653088</v>
      </c>
      <c r="N57" s="48">
        <v>0.21412570243345347</v>
      </c>
      <c r="O57" s="48">
        <v>0.26765712880601311</v>
      </c>
      <c r="P57" s="48">
        <v>0.32118855526674922</v>
      </c>
    </row>
    <row r="58" spans="1:16">
      <c r="A58" s="183"/>
      <c r="B58" s="54">
        <v>54</v>
      </c>
      <c r="C58" s="48">
        <v>5.2142888965707443E-2</v>
      </c>
      <c r="D58" s="48">
        <v>0.10428578151576225</v>
      </c>
      <c r="E58" s="48">
        <v>0.15642867434708377</v>
      </c>
      <c r="F58" s="48">
        <v>0.20857156774815058</v>
      </c>
      <c r="G58" s="48">
        <v>0.26071446050735247</v>
      </c>
      <c r="H58" s="48">
        <v>0.31285735309346707</v>
      </c>
      <c r="I58" s="183"/>
      <c r="J58" s="54">
        <v>54</v>
      </c>
      <c r="K58" s="48">
        <v>5.3933332131905515E-2</v>
      </c>
      <c r="L58" s="48">
        <v>0.10786666805009344</v>
      </c>
      <c r="M58" s="48">
        <v>0.16180000393943356</v>
      </c>
      <c r="N58" s="48">
        <v>0.21573334028312757</v>
      </c>
      <c r="O58" s="48">
        <v>0.26966667613640782</v>
      </c>
      <c r="P58" s="48">
        <v>0.32360001206180766</v>
      </c>
    </row>
    <row r="59" spans="1:16">
      <c r="A59" s="183"/>
      <c r="B59" s="54">
        <v>55</v>
      </c>
      <c r="C59" s="48">
        <v>5.2494582735170402E-2</v>
      </c>
      <c r="D59" s="48">
        <v>0.10498916908156913</v>
      </c>
      <c r="E59" s="48">
        <v>0.15748375570412065</v>
      </c>
      <c r="F59" s="48">
        <v>0.20997834289313927</v>
      </c>
      <c r="G59" s="48">
        <v>0.26247292944488243</v>
      </c>
      <c r="H59" s="48">
        <v>0.31496751581960447</v>
      </c>
      <c r="I59" s="183"/>
      <c r="J59" s="54">
        <v>55</v>
      </c>
      <c r="K59" s="48">
        <v>5.4321269992331084E-2</v>
      </c>
      <c r="L59" s="48">
        <v>0.10864254382247736</v>
      </c>
      <c r="M59" s="48">
        <v>0.16296381759597695</v>
      </c>
      <c r="N59" s="48">
        <v>0.21728509182265029</v>
      </c>
      <c r="O59" s="48">
        <v>0.2716063655819882</v>
      </c>
      <c r="P59" s="48">
        <v>0.32592763939089192</v>
      </c>
    </row>
    <row r="60" spans="1:16">
      <c r="A60" s="183"/>
      <c r="B60" s="54">
        <v>56</v>
      </c>
      <c r="C60" s="48">
        <v>5.2833993319419487E-2</v>
      </c>
      <c r="D60" s="48">
        <v>0.10566799027598824</v>
      </c>
      <c r="E60" s="48">
        <v>0.15850198750377845</v>
      </c>
      <c r="F60" s="48">
        <v>0.21133598529487471</v>
      </c>
      <c r="G60" s="48">
        <v>0.26416998245312101</v>
      </c>
      <c r="H60" s="48">
        <v>0.31700397943055286</v>
      </c>
      <c r="I60" s="183"/>
      <c r="J60" s="54">
        <v>56</v>
      </c>
      <c r="K60" s="48">
        <v>5.4695941730087565E-2</v>
      </c>
      <c r="L60" s="48">
        <v>0.10939188735463705</v>
      </c>
      <c r="M60" s="48">
        <v>0.16408783289573381</v>
      </c>
      <c r="N60" s="48">
        <v>0.21878377888191194</v>
      </c>
      <c r="O60" s="48">
        <v>0.2734797244299631</v>
      </c>
      <c r="P60" s="48">
        <v>0.32817567000583175</v>
      </c>
    </row>
    <row r="61" spans="1:16">
      <c r="A61" s="183"/>
      <c r="B61" s="54">
        <v>57</v>
      </c>
      <c r="C61" s="48">
        <v>5.3161746438255754E-2</v>
      </c>
      <c r="D61" s="48">
        <v>0.10632349654550459</v>
      </c>
      <c r="E61" s="48">
        <v>0.15948524691921662</v>
      </c>
      <c r="F61" s="48">
        <v>0.21264699784635213</v>
      </c>
      <c r="G61" s="48">
        <v>0.26580874815174033</v>
      </c>
      <c r="H61" s="48">
        <v>0.31897049827265384</v>
      </c>
      <c r="I61" s="183"/>
      <c r="J61" s="54">
        <v>57</v>
      </c>
      <c r="K61" s="48">
        <v>5.5058004649810109E-2</v>
      </c>
      <c r="L61" s="48">
        <v>0.11011601324190885</v>
      </c>
      <c r="M61" s="48">
        <v>0.16517402173152182</v>
      </c>
      <c r="N61" s="48">
        <v>0.22023203065840768</v>
      </c>
      <c r="O61" s="48">
        <v>0.27529003917535017</v>
      </c>
      <c r="P61" s="48">
        <v>0.33034804769229259</v>
      </c>
    </row>
    <row r="62" spans="1:16">
      <c r="A62" s="183"/>
      <c r="B62" s="54">
        <v>58</v>
      </c>
      <c r="C62" s="48">
        <v>5.3478425437282942E-2</v>
      </c>
      <c r="D62" s="48">
        <v>0.10695685456759013</v>
      </c>
      <c r="E62" s="48">
        <v>0.16043528396648091</v>
      </c>
      <c r="F62" s="48">
        <v>0.2139137139025388</v>
      </c>
      <c r="G62" s="48">
        <v>0.26739214322756916</v>
      </c>
      <c r="H62" s="48">
        <v>0.32087057237801997</v>
      </c>
      <c r="I62" s="183"/>
      <c r="J62" s="54">
        <v>58</v>
      </c>
      <c r="K62" s="48">
        <v>5.5408072074412201E-2</v>
      </c>
      <c r="L62" s="48">
        <v>0.11081614813057598</v>
      </c>
      <c r="M62" s="48">
        <v>0.1662242240725918</v>
      </c>
      <c r="N62" s="48">
        <v>0.22163230043762674</v>
      </c>
      <c r="O62" s="48">
        <v>0.27704037641993007</v>
      </c>
      <c r="P62" s="48">
        <v>0.33244845238208953</v>
      </c>
    </row>
    <row r="63" spans="1:16">
      <c r="A63" s="183"/>
      <c r="B63" s="54">
        <v>59</v>
      </c>
      <c r="C63" s="48">
        <v>5.3784574865739537E-2</v>
      </c>
      <c r="D63" s="48">
        <v>0.10756915346092143</v>
      </c>
      <c r="E63" s="48">
        <v>0.16135373231353384</v>
      </c>
      <c r="F63" s="48">
        <v>0.21513831169420886</v>
      </c>
      <c r="G63" s="48">
        <v>0.26892289046761197</v>
      </c>
      <c r="H63" s="48">
        <v>0.32270746908259612</v>
      </c>
      <c r="I63" s="183"/>
      <c r="J63" s="54">
        <v>59</v>
      </c>
      <c r="K63" s="48">
        <v>5.5746717105354157E-2</v>
      </c>
      <c r="L63" s="48">
        <v>0.11149343823058509</v>
      </c>
      <c r="M63" s="48">
        <v>0.16724015922380042</v>
      </c>
      <c r="N63" s="48">
        <v>0.22298688063286509</v>
      </c>
      <c r="O63" s="48">
        <v>0.27873360167888667</v>
      </c>
      <c r="P63" s="48">
        <v>0.33448032269190425</v>
      </c>
    </row>
    <row r="64" spans="1:16" ht="15.75" customHeight="1" thickBot="1">
      <c r="A64" s="183"/>
      <c r="B64" s="64">
        <v>60</v>
      </c>
      <c r="C64" s="48">
        <v>5.4080703741983073E-2</v>
      </c>
      <c r="D64" s="56">
        <v>0.10816141125510345</v>
      </c>
      <c r="E64" s="56">
        <v>0.16224211901487307</v>
      </c>
      <c r="F64" s="72">
        <v>0.21632282729390423</v>
      </c>
      <c r="G64" s="72">
        <v>0.27040353496929392</v>
      </c>
      <c r="H64" s="56">
        <v>0.32448424249539576</v>
      </c>
      <c r="I64" s="183"/>
      <c r="J64" s="64">
        <v>60</v>
      </c>
      <c r="K64" s="56">
        <v>5.6074476006884685E-2</v>
      </c>
      <c r="L64" s="56">
        <v>0.11214895607050053</v>
      </c>
      <c r="M64" s="56">
        <v>0.1682234359913195</v>
      </c>
      <c r="N64" s="56">
        <v>0.22429791631456616</v>
      </c>
      <c r="O64" s="56">
        <v>0.28037239629380206</v>
      </c>
      <c r="P64" s="56">
        <v>0.3364468762276025</v>
      </c>
    </row>
    <row r="65" spans="3:3" ht="15" customHeight="1">
      <c r="C65" s="288"/>
    </row>
    <row r="66" spans="3:3" ht="15" customHeight="1">
      <c r="C66" s="174"/>
    </row>
    <row r="67" spans="3:3" ht="15" customHeight="1">
      <c r="C67" s="174"/>
    </row>
    <row r="68" spans="3:3" ht="15" customHeight="1">
      <c r="C68" s="174"/>
    </row>
    <row r="69" spans="3:3" ht="15" customHeight="1">
      <c r="C69" s="174"/>
    </row>
    <row r="70" spans="3:3" ht="15" customHeight="1">
      <c r="C70" s="174"/>
    </row>
    <row r="71" spans="3:3" ht="15" customHeight="1">
      <c r="C71" s="174"/>
    </row>
    <row r="72" spans="3:3" ht="15" customHeight="1">
      <c r="C72" s="174"/>
    </row>
    <row r="73" spans="3:3" ht="15" customHeight="1">
      <c r="C73" s="174"/>
    </row>
    <row r="74" spans="3:3" ht="15" customHeight="1">
      <c r="C74" s="174"/>
    </row>
    <row r="75" spans="3:3" ht="15" customHeight="1">
      <c r="C75" s="174"/>
    </row>
    <row r="76" spans="3:3" ht="15" customHeight="1">
      <c r="C76" s="174"/>
    </row>
    <row r="77" spans="3:3" ht="15" customHeight="1">
      <c r="C77" s="174"/>
    </row>
    <row r="78" spans="3:3" ht="15" customHeight="1">
      <c r="C78" s="174"/>
    </row>
    <row r="79" spans="3:3" ht="15" customHeight="1">
      <c r="C79" s="174"/>
    </row>
    <row r="80" spans="3:3" ht="15" customHeight="1">
      <c r="C80" s="174"/>
    </row>
    <row r="81" spans="3:3" ht="15" customHeight="1">
      <c r="C81" s="174"/>
    </row>
    <row r="82" spans="3:3" ht="15" customHeight="1">
      <c r="C82" s="174"/>
    </row>
    <row r="83" spans="3:3" ht="15" customHeight="1">
      <c r="C83" s="174"/>
    </row>
    <row r="84" spans="3:3" ht="15" customHeight="1">
      <c r="C84" s="174"/>
    </row>
    <row r="85" spans="3:3" ht="15" customHeight="1">
      <c r="C85" s="174"/>
    </row>
    <row r="86" spans="3:3" ht="15" customHeight="1">
      <c r="C86" s="174"/>
    </row>
    <row r="87" spans="3:3" ht="15" customHeight="1">
      <c r="C87" s="174"/>
    </row>
    <row r="88" spans="3:3" ht="15" customHeight="1">
      <c r="C88" s="174"/>
    </row>
    <row r="89" spans="3:3" ht="15" customHeight="1">
      <c r="C89" s="174"/>
    </row>
    <row r="90" spans="3:3" ht="15" customHeight="1">
      <c r="C90" s="174"/>
    </row>
    <row r="91" spans="3:3" ht="15" customHeight="1">
      <c r="C91" s="174"/>
    </row>
    <row r="92" spans="3:3" ht="15" customHeight="1">
      <c r="C92" s="174"/>
    </row>
    <row r="93" spans="3:3" ht="15" customHeight="1">
      <c r="C93" s="174"/>
    </row>
    <row r="94" spans="3:3" ht="15" customHeight="1">
      <c r="C94" s="174"/>
    </row>
    <row r="95" spans="3:3" ht="15" customHeight="1">
      <c r="C95" s="174"/>
    </row>
    <row r="96" spans="3:3" ht="15" customHeight="1">
      <c r="C96" s="174"/>
    </row>
    <row r="97" spans="3:3" ht="15" customHeight="1">
      <c r="C97" s="174"/>
    </row>
    <row r="98" spans="3:3" ht="15" customHeight="1">
      <c r="C98" s="174"/>
    </row>
    <row r="99" spans="3:3" ht="15" customHeight="1">
      <c r="C99" s="174"/>
    </row>
    <row r="100" spans="3:3" ht="15" customHeight="1">
      <c r="C100" s="174"/>
    </row>
    <row r="101" spans="3:3" ht="15" customHeight="1">
      <c r="C101" s="174"/>
    </row>
    <row r="102" spans="3:3" ht="15" customHeight="1">
      <c r="C102" s="174"/>
    </row>
    <row r="103" spans="3:3" ht="15" customHeight="1">
      <c r="C103" s="174"/>
    </row>
    <row r="104" spans="3:3" ht="15" customHeight="1">
      <c r="C104" s="174"/>
    </row>
  </sheetData>
  <mergeCells count="3">
    <mergeCell ref="J3:P3"/>
    <mergeCell ref="B3:H3"/>
    <mergeCell ref="B1:P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109"/>
  <sheetViews>
    <sheetView topLeftCell="A34" workbookViewId="0">
      <selection activeCell="C37" sqref="C37"/>
    </sheetView>
  </sheetViews>
  <sheetFormatPr defaultRowHeight="12.75"/>
  <cols>
    <col min="4" max="4" width="22.85546875" customWidth="1"/>
    <col min="5" max="5" width="20.7109375" customWidth="1"/>
    <col min="6" max="6" width="22.85546875" customWidth="1"/>
    <col min="7" max="7" width="20.7109375" style="332" customWidth="1"/>
    <col min="8" max="8" width="19.28515625" customWidth="1"/>
    <col min="9" max="9" width="19.7109375" bestFit="1" customWidth="1"/>
    <col min="10" max="10" width="17.7109375" style="346" customWidth="1"/>
    <col min="11" max="11" width="16" bestFit="1" customWidth="1"/>
    <col min="12" max="12" width="16.42578125" style="347" customWidth="1"/>
    <col min="13" max="13" width="19.7109375" bestFit="1" customWidth="1"/>
    <col min="17" max="17" width="14.42578125" style="344" customWidth="1"/>
    <col min="18" max="18" width="12.85546875" bestFit="1" customWidth="1"/>
    <col min="19" max="19" width="12.42578125" bestFit="1" customWidth="1"/>
  </cols>
  <sheetData>
    <row r="2" spans="3:19" ht="13.5" thickBot="1"/>
    <row r="3" spans="3:19" ht="58.5" customHeight="1" thickBot="1">
      <c r="C3" s="324" t="s">
        <v>45</v>
      </c>
      <c r="D3" s="323" t="s">
        <v>269</v>
      </c>
      <c r="E3" s="43" t="s">
        <v>270</v>
      </c>
      <c r="F3" s="43" t="s">
        <v>271</v>
      </c>
      <c r="G3" s="334" t="s">
        <v>375</v>
      </c>
      <c r="H3" s="43" t="s">
        <v>376</v>
      </c>
      <c r="I3" s="43" t="s">
        <v>377</v>
      </c>
      <c r="J3" s="355" t="s">
        <v>378</v>
      </c>
      <c r="K3" s="336" t="s">
        <v>379</v>
      </c>
      <c r="L3" s="352" t="s">
        <v>380</v>
      </c>
      <c r="M3" s="336" t="s">
        <v>378</v>
      </c>
    </row>
    <row r="4" spans="3:19" ht="15.75" thickBot="1">
      <c r="C4" s="325">
        <v>1</v>
      </c>
      <c r="D4" s="358">
        <v>49.716666666666669</v>
      </c>
      <c r="E4" s="359">
        <v>298.20499999999998</v>
      </c>
      <c r="F4" s="119">
        <f>SUM(E4+D4)</f>
        <v>347.92166666666662</v>
      </c>
      <c r="G4" s="335">
        <f>(F4*140000000)/1000000000</f>
        <v>48.709033333333331</v>
      </c>
      <c r="H4" s="345">
        <f>(F4*20000000)/1000000000</f>
        <v>6.9584333333333319</v>
      </c>
      <c r="I4" s="345">
        <f>(F4*30000000)/1000000000</f>
        <v>10.437649999999998</v>
      </c>
      <c r="J4" s="354">
        <f>M4/1000000000</f>
        <v>5.2012499999999999</v>
      </c>
      <c r="K4" s="357">
        <f>J4/H4</f>
        <v>0.74747428779466651</v>
      </c>
      <c r="L4" s="357">
        <f>J4/I4</f>
        <v>0.49831619186311105</v>
      </c>
      <c r="M4" s="350">
        <v>5201250000</v>
      </c>
    </row>
    <row r="5" spans="3:19" ht="15.75" thickBot="1">
      <c r="C5" s="326">
        <v>2</v>
      </c>
      <c r="D5" s="358">
        <v>99.433333333333294</v>
      </c>
      <c r="E5" s="359">
        <v>596.41</v>
      </c>
      <c r="F5" s="119">
        <f t="shared" ref="F5:F63" si="0">SUM(E5+D5)</f>
        <v>695.84333333333325</v>
      </c>
      <c r="G5" s="335">
        <f t="shared" ref="G5:G63" si="1">(F5*140000000)/1000000000</f>
        <v>97.418066666666661</v>
      </c>
      <c r="H5" s="345">
        <f t="shared" ref="H5:H63" si="2">(F5*20000000)/1000000000</f>
        <v>13.916866666666664</v>
      </c>
      <c r="I5" s="345">
        <f t="shared" ref="I5:I63" si="3">(F5*30000000)/1000000000</f>
        <v>20.875299999999996</v>
      </c>
      <c r="J5" s="354">
        <f t="shared" ref="J5:J63" si="4">M5/1000000000</f>
        <v>5.6693625000000001</v>
      </c>
      <c r="K5" s="357">
        <f t="shared" ref="K5:K63" si="5">J5/H5</f>
        <v>0.40737348684809327</v>
      </c>
      <c r="L5" s="357">
        <f t="shared" ref="L5:L63" si="6">J5/I5</f>
        <v>0.27158232456539555</v>
      </c>
      <c r="M5" s="350">
        <v>5669362500</v>
      </c>
    </row>
    <row r="6" spans="3:19" ht="15.75" thickBot="1">
      <c r="C6" s="326">
        <v>3</v>
      </c>
      <c r="D6" s="358">
        <v>149.15</v>
      </c>
      <c r="E6" s="359">
        <v>894.61500000000001</v>
      </c>
      <c r="F6" s="119">
        <f t="shared" si="0"/>
        <v>1043.7650000000001</v>
      </c>
      <c r="G6" s="335">
        <f t="shared" si="1"/>
        <v>146.12710000000001</v>
      </c>
      <c r="H6" s="345">
        <f t="shared" si="2"/>
        <v>20.875300000000003</v>
      </c>
      <c r="I6" s="345">
        <f t="shared" si="3"/>
        <v>31.312950000000004</v>
      </c>
      <c r="J6" s="354">
        <f t="shared" si="4"/>
        <v>6.1787625000000004</v>
      </c>
      <c r="K6" s="357">
        <f t="shared" si="5"/>
        <v>0.29598436908691128</v>
      </c>
      <c r="L6" s="357">
        <f t="shared" si="6"/>
        <v>0.19732291272460753</v>
      </c>
      <c r="M6" s="350">
        <v>6178762500</v>
      </c>
    </row>
    <row r="7" spans="3:19" ht="15.75" thickBot="1">
      <c r="C7" s="326">
        <v>4</v>
      </c>
      <c r="D7" s="358">
        <v>198.86666666666667</v>
      </c>
      <c r="E7" s="359">
        <v>1192.82</v>
      </c>
      <c r="F7" s="119">
        <f t="shared" si="0"/>
        <v>1391.6866666666665</v>
      </c>
      <c r="G7" s="335">
        <f t="shared" si="1"/>
        <v>194.83613333333332</v>
      </c>
      <c r="H7" s="345">
        <f t="shared" si="2"/>
        <v>27.833733333333328</v>
      </c>
      <c r="I7" s="345">
        <f t="shared" si="3"/>
        <v>41.750599999999991</v>
      </c>
      <c r="J7" s="354">
        <f t="shared" si="4"/>
        <v>6.7340625000000003</v>
      </c>
      <c r="K7" s="357">
        <f t="shared" si="5"/>
        <v>0.24193888830340168</v>
      </c>
      <c r="L7" s="357">
        <f t="shared" si="6"/>
        <v>0.1612925922022678</v>
      </c>
      <c r="M7" s="350">
        <v>6734062500</v>
      </c>
    </row>
    <row r="8" spans="3:19" ht="15.75" thickBot="1">
      <c r="C8" s="326">
        <v>5</v>
      </c>
      <c r="D8" s="358">
        <v>248.58333333333334</v>
      </c>
      <c r="E8" s="359">
        <v>1491.0249999999999</v>
      </c>
      <c r="F8" s="119">
        <f t="shared" si="0"/>
        <v>1739.6083333333331</v>
      </c>
      <c r="G8" s="335">
        <f t="shared" si="1"/>
        <v>243.54516666666663</v>
      </c>
      <c r="H8" s="345">
        <f t="shared" si="2"/>
        <v>34.792166666666667</v>
      </c>
      <c r="I8" s="345">
        <f t="shared" si="3"/>
        <v>52.188249999999989</v>
      </c>
      <c r="J8" s="354">
        <f t="shared" si="4"/>
        <v>7.3397625</v>
      </c>
      <c r="K8" s="357">
        <f t="shared" si="5"/>
        <v>0.21096020176955541</v>
      </c>
      <c r="L8" s="357">
        <f t="shared" si="6"/>
        <v>0.14064013451303697</v>
      </c>
      <c r="M8" s="350">
        <v>7339762500</v>
      </c>
    </row>
    <row r="9" spans="3:19" ht="15.75" thickBot="1">
      <c r="C9" s="326">
        <v>6</v>
      </c>
      <c r="D9" s="358">
        <v>298.3</v>
      </c>
      <c r="E9" s="359">
        <v>1789.2299999999998</v>
      </c>
      <c r="F9" s="119">
        <f t="shared" si="0"/>
        <v>2087.5299999999997</v>
      </c>
      <c r="G9" s="335">
        <f t="shared" si="1"/>
        <v>292.25419999999991</v>
      </c>
      <c r="H9" s="345">
        <f t="shared" si="2"/>
        <v>41.750599999999991</v>
      </c>
      <c r="I9" s="345">
        <f t="shared" si="3"/>
        <v>62.625899999999994</v>
      </c>
      <c r="J9" s="354">
        <f t="shared" si="4"/>
        <v>7.9994624999999999</v>
      </c>
      <c r="K9" s="357">
        <f t="shared" si="5"/>
        <v>0.19160113866627071</v>
      </c>
      <c r="L9" s="357">
        <f t="shared" si="6"/>
        <v>0.12773409244418046</v>
      </c>
      <c r="M9" s="350">
        <v>7999462500</v>
      </c>
    </row>
    <row r="10" spans="3:19" ht="15.75" thickBot="1">
      <c r="C10" s="326">
        <v>7</v>
      </c>
      <c r="D10" s="358">
        <v>348.01666666666665</v>
      </c>
      <c r="E10" s="359">
        <v>2087.4349999999999</v>
      </c>
      <c r="F10" s="119">
        <f t="shared" si="0"/>
        <v>2435.4516666666668</v>
      </c>
      <c r="G10" s="335">
        <f t="shared" si="1"/>
        <v>340.96323333333339</v>
      </c>
      <c r="H10" s="345">
        <f t="shared" si="2"/>
        <v>48.709033333333338</v>
      </c>
      <c r="I10" s="345">
        <f t="shared" si="3"/>
        <v>73.063550000000006</v>
      </c>
      <c r="J10" s="354">
        <f t="shared" si="4"/>
        <v>8.7185625000000009</v>
      </c>
      <c r="K10" s="357">
        <f t="shared" si="5"/>
        <v>0.1789927227735307</v>
      </c>
      <c r="L10" s="357">
        <f t="shared" si="6"/>
        <v>0.11932848184902048</v>
      </c>
      <c r="M10" s="350">
        <v>8718562500</v>
      </c>
      <c r="P10" s="328" t="s">
        <v>382</v>
      </c>
      <c r="Q10" s="328" t="s">
        <v>383</v>
      </c>
      <c r="R10" s="328" t="s">
        <v>381</v>
      </c>
      <c r="S10" s="328" t="s">
        <v>380</v>
      </c>
    </row>
    <row r="11" spans="3:19" ht="15.75" thickBot="1">
      <c r="C11" s="326">
        <v>8</v>
      </c>
      <c r="D11" s="358">
        <v>397.73333333333335</v>
      </c>
      <c r="E11" s="359">
        <v>2385.64</v>
      </c>
      <c r="F11" s="119">
        <f t="shared" si="0"/>
        <v>2783.373333333333</v>
      </c>
      <c r="G11" s="335">
        <f t="shared" si="1"/>
        <v>389.67226666666664</v>
      </c>
      <c r="H11" s="345">
        <f t="shared" si="2"/>
        <v>55.667466666666655</v>
      </c>
      <c r="I11" s="345">
        <f t="shared" si="3"/>
        <v>83.501199999999983</v>
      </c>
      <c r="J11" s="354">
        <f t="shared" si="4"/>
        <v>9.5024625</v>
      </c>
      <c r="K11" s="357">
        <f t="shared" si="5"/>
        <v>0.17070046598132724</v>
      </c>
      <c r="L11" s="357">
        <f t="shared" si="6"/>
        <v>0.11380031065421817</v>
      </c>
      <c r="M11" s="350">
        <v>9502462500</v>
      </c>
      <c r="P11" s="328">
        <v>3.75</v>
      </c>
      <c r="Q11" s="348">
        <f>P11*693.5</f>
        <v>2600.625</v>
      </c>
      <c r="R11" s="347">
        <f>Q11/H4</f>
        <v>373.73714389733328</v>
      </c>
      <c r="S11" s="347">
        <f>Q11/I4</f>
        <v>249.15809593155552</v>
      </c>
    </row>
    <row r="12" spans="3:19" ht="15.75" thickBot="1">
      <c r="C12" s="326">
        <v>9</v>
      </c>
      <c r="D12" s="358">
        <v>447.45000000000005</v>
      </c>
      <c r="E12" s="359">
        <v>2683.8449999999998</v>
      </c>
      <c r="F12" s="119">
        <f t="shared" si="0"/>
        <v>3131.2950000000001</v>
      </c>
      <c r="G12" s="335">
        <f t="shared" si="1"/>
        <v>438.38130000000001</v>
      </c>
      <c r="H12" s="345">
        <f t="shared" si="2"/>
        <v>62.625900000000001</v>
      </c>
      <c r="I12" s="345">
        <f t="shared" si="3"/>
        <v>93.938850000000002</v>
      </c>
      <c r="J12" s="354">
        <f t="shared" si="4"/>
        <v>10.3574625</v>
      </c>
      <c r="K12" s="357">
        <f t="shared" si="5"/>
        <v>0.16538624594616605</v>
      </c>
      <c r="L12" s="357">
        <f t="shared" si="6"/>
        <v>0.11025749729744404</v>
      </c>
      <c r="M12" s="350">
        <v>10357462500</v>
      </c>
      <c r="P12" s="349">
        <v>7.5</v>
      </c>
      <c r="Q12" s="350">
        <f t="shared" ref="Q12:Q15" si="7">P12*693.5</f>
        <v>5201.25</v>
      </c>
      <c r="R12" s="351">
        <f>Q12/H4</f>
        <v>747.47428779466657</v>
      </c>
      <c r="S12" s="351">
        <f>Q12/I4</f>
        <v>498.31619186311104</v>
      </c>
    </row>
    <row r="13" spans="3:19" ht="15.75" thickBot="1">
      <c r="C13" s="326">
        <v>10</v>
      </c>
      <c r="D13" s="358">
        <v>497.16666666666674</v>
      </c>
      <c r="E13" s="359">
        <v>2982.0499999999997</v>
      </c>
      <c r="F13" s="119">
        <f t="shared" si="0"/>
        <v>3479.2166666666662</v>
      </c>
      <c r="G13" s="335">
        <f t="shared" si="1"/>
        <v>487.09033333333326</v>
      </c>
      <c r="H13" s="345">
        <f t="shared" si="2"/>
        <v>69.584333333333333</v>
      </c>
      <c r="I13" s="345">
        <f t="shared" si="3"/>
        <v>104.37649999999998</v>
      </c>
      <c r="J13" s="354">
        <f t="shared" si="4"/>
        <v>11.2889625</v>
      </c>
      <c r="K13" s="357">
        <f t="shared" si="5"/>
        <v>0.16223425531609126</v>
      </c>
      <c r="L13" s="357">
        <f t="shared" si="6"/>
        <v>0.10815617021072753</v>
      </c>
      <c r="M13" s="350">
        <v>11288962500</v>
      </c>
      <c r="P13" s="328">
        <v>11.25</v>
      </c>
      <c r="Q13" s="348">
        <f>P13*693.5</f>
        <v>7801.875</v>
      </c>
      <c r="R13" s="347">
        <f>Q13/H4</f>
        <v>1121.2114316919999</v>
      </c>
      <c r="S13" s="347">
        <f>Q13/I4</f>
        <v>747.47428779466657</v>
      </c>
    </row>
    <row r="14" spans="3:19" ht="15.75" thickBot="1">
      <c r="C14" s="326">
        <v>11</v>
      </c>
      <c r="D14" s="358">
        <v>546.88333333333344</v>
      </c>
      <c r="E14" s="359">
        <v>3280.2549999999997</v>
      </c>
      <c r="F14" s="119">
        <f t="shared" si="0"/>
        <v>3827.1383333333333</v>
      </c>
      <c r="G14" s="335">
        <f t="shared" si="1"/>
        <v>535.79936666666674</v>
      </c>
      <c r="H14" s="345">
        <f t="shared" si="2"/>
        <v>76.542766666666665</v>
      </c>
      <c r="I14" s="345">
        <f t="shared" si="3"/>
        <v>114.81415</v>
      </c>
      <c r="J14" s="354">
        <f t="shared" si="4"/>
        <v>12.3041625</v>
      </c>
      <c r="K14" s="357">
        <f t="shared" si="5"/>
        <v>0.16074886022323903</v>
      </c>
      <c r="L14" s="357">
        <f t="shared" si="6"/>
        <v>0.10716590681549269</v>
      </c>
      <c r="M14" s="350">
        <v>12304162500</v>
      </c>
      <c r="P14" s="328">
        <v>15</v>
      </c>
      <c r="Q14" s="348">
        <f t="shared" si="7"/>
        <v>10402.5</v>
      </c>
      <c r="R14" s="347">
        <f>Q14/H4</f>
        <v>1494.9485755893331</v>
      </c>
      <c r="S14" s="347">
        <f>Q14/I4</f>
        <v>996.63238372622209</v>
      </c>
    </row>
    <row r="15" spans="3:19" ht="15.75" thickBot="1">
      <c r="C15" s="326">
        <v>12</v>
      </c>
      <c r="D15" s="358">
        <v>596.60000000000014</v>
      </c>
      <c r="E15" s="359">
        <v>3578.4599999999996</v>
      </c>
      <c r="F15" s="119">
        <f t="shared" si="0"/>
        <v>4175.0599999999995</v>
      </c>
      <c r="G15" s="335">
        <f t="shared" si="1"/>
        <v>584.50839999999982</v>
      </c>
      <c r="H15" s="345">
        <f t="shared" si="2"/>
        <v>83.501199999999983</v>
      </c>
      <c r="I15" s="345">
        <f t="shared" si="3"/>
        <v>125.25179999999999</v>
      </c>
      <c r="J15" s="354">
        <f t="shared" si="4"/>
        <v>13.4111625</v>
      </c>
      <c r="K15" s="357">
        <f t="shared" si="5"/>
        <v>0.16061041637724971</v>
      </c>
      <c r="L15" s="357">
        <f t="shared" si="6"/>
        <v>0.10707361091816646</v>
      </c>
      <c r="M15" s="350">
        <v>13411162500</v>
      </c>
      <c r="P15" s="328">
        <v>18.75</v>
      </c>
      <c r="Q15" s="348">
        <f t="shared" si="7"/>
        <v>13003.125</v>
      </c>
      <c r="R15" s="347">
        <f>Q15/H4</f>
        <v>1868.6857194866664</v>
      </c>
      <c r="S15" s="347">
        <f>Q15/I4</f>
        <v>1245.7904796577777</v>
      </c>
    </row>
    <row r="16" spans="3:19" ht="15.75" thickBot="1">
      <c r="C16" s="326">
        <v>13</v>
      </c>
      <c r="D16" s="358">
        <v>646.31666666666683</v>
      </c>
      <c r="E16" s="359">
        <v>3876.6649999999995</v>
      </c>
      <c r="F16" s="119">
        <f t="shared" si="0"/>
        <v>4522.9816666666666</v>
      </c>
      <c r="G16" s="335">
        <f t="shared" si="1"/>
        <v>633.21743333333336</v>
      </c>
      <c r="H16" s="345">
        <f t="shared" si="2"/>
        <v>90.459633333333329</v>
      </c>
      <c r="I16" s="345">
        <f t="shared" si="3"/>
        <v>135.68944999999999</v>
      </c>
      <c r="J16" s="354">
        <f t="shared" si="4"/>
        <v>14.618062500000001</v>
      </c>
      <c r="K16" s="357">
        <f t="shared" si="5"/>
        <v>0.16159763157710494</v>
      </c>
      <c r="L16" s="357">
        <f t="shared" si="6"/>
        <v>0.10773175438473663</v>
      </c>
      <c r="M16" s="350">
        <v>14618062500</v>
      </c>
      <c r="P16" s="328">
        <v>22.5</v>
      </c>
      <c r="Q16" s="348">
        <f>P16*693.5</f>
        <v>15603.75</v>
      </c>
      <c r="R16" s="347">
        <f>Q16/H4</f>
        <v>2242.4228633839998</v>
      </c>
      <c r="S16" s="347">
        <f>Q16/I4</f>
        <v>1494.9485755893331</v>
      </c>
    </row>
    <row r="17" spans="3:18" ht="15.75" thickBot="1">
      <c r="C17" s="326">
        <v>14</v>
      </c>
      <c r="D17" s="358">
        <v>696.03333333333353</v>
      </c>
      <c r="E17" s="359">
        <v>4174.87</v>
      </c>
      <c r="F17" s="119">
        <f t="shared" si="0"/>
        <v>4870.9033333333336</v>
      </c>
      <c r="G17" s="335">
        <f t="shared" si="1"/>
        <v>681.92646666666678</v>
      </c>
      <c r="H17" s="345">
        <f t="shared" si="2"/>
        <v>97.418066666666675</v>
      </c>
      <c r="I17" s="345">
        <f t="shared" si="3"/>
        <v>146.12710000000001</v>
      </c>
      <c r="J17" s="354">
        <f t="shared" si="4"/>
        <v>15.9329625</v>
      </c>
      <c r="K17" s="357">
        <f t="shared" si="5"/>
        <v>0.16355243996493463</v>
      </c>
      <c r="L17" s="357">
        <f t="shared" si="6"/>
        <v>0.10903495997662309</v>
      </c>
      <c r="M17" s="350">
        <v>15932962500</v>
      </c>
    </row>
    <row r="18" spans="3:18" ht="15.75" thickBot="1">
      <c r="C18" s="326">
        <v>15</v>
      </c>
      <c r="D18" s="358">
        <v>745.75000000000023</v>
      </c>
      <c r="E18" s="359">
        <v>4473.0749999999998</v>
      </c>
      <c r="F18" s="119">
        <f t="shared" si="0"/>
        <v>5218.8249999999998</v>
      </c>
      <c r="G18" s="335">
        <f t="shared" si="1"/>
        <v>730.63549999999998</v>
      </c>
      <c r="H18" s="345">
        <f t="shared" si="2"/>
        <v>104.37649999999999</v>
      </c>
      <c r="I18" s="345">
        <f t="shared" si="3"/>
        <v>156.56475</v>
      </c>
      <c r="J18" s="354">
        <f t="shared" si="4"/>
        <v>17.3666625</v>
      </c>
      <c r="K18" s="357">
        <f t="shared" si="5"/>
        <v>0.16638479447001961</v>
      </c>
      <c r="L18" s="357">
        <f t="shared" si="6"/>
        <v>0.11092319631334639</v>
      </c>
      <c r="M18" s="350">
        <v>17366662500</v>
      </c>
    </row>
    <row r="19" spans="3:18" ht="15.75" thickBot="1">
      <c r="C19" s="326">
        <v>16</v>
      </c>
      <c r="D19" s="358">
        <v>795.46666666666692</v>
      </c>
      <c r="E19" s="359">
        <v>4771.28</v>
      </c>
      <c r="F19" s="119">
        <f t="shared" si="0"/>
        <v>5566.7466666666669</v>
      </c>
      <c r="G19" s="335">
        <f t="shared" si="1"/>
        <v>779.3445333333334</v>
      </c>
      <c r="H19" s="345">
        <f t="shared" si="2"/>
        <v>111.33493333333334</v>
      </c>
      <c r="I19" s="345">
        <f t="shared" si="3"/>
        <v>167.00239999999999</v>
      </c>
      <c r="J19" s="354">
        <f t="shared" si="4"/>
        <v>18.929062500000001</v>
      </c>
      <c r="K19" s="357">
        <f t="shared" si="5"/>
        <v>0.17001907607315822</v>
      </c>
      <c r="L19" s="357">
        <f t="shared" si="6"/>
        <v>0.11334605071543882</v>
      </c>
      <c r="M19" s="350">
        <v>18929062500</v>
      </c>
    </row>
    <row r="20" spans="3:18" ht="15.75" thickBot="1">
      <c r="C20" s="326">
        <v>17</v>
      </c>
      <c r="D20" s="358">
        <v>845.18333333333362</v>
      </c>
      <c r="E20" s="359">
        <v>5069.4849999999997</v>
      </c>
      <c r="F20" s="119">
        <f t="shared" si="0"/>
        <v>5914.6683333333331</v>
      </c>
      <c r="G20" s="335">
        <f t="shared" si="1"/>
        <v>828.0535666666666</v>
      </c>
      <c r="H20" s="345">
        <f t="shared" si="2"/>
        <v>118.29336666666666</v>
      </c>
      <c r="I20" s="345">
        <f t="shared" si="3"/>
        <v>177.44005000000001</v>
      </c>
      <c r="J20" s="354">
        <f t="shared" si="4"/>
        <v>20.6318625</v>
      </c>
      <c r="K20" s="357">
        <f t="shared" si="5"/>
        <v>0.17441267487244286</v>
      </c>
      <c r="L20" s="357">
        <f t="shared" si="6"/>
        <v>0.11627511658162855</v>
      </c>
      <c r="M20" s="350">
        <v>20631862500</v>
      </c>
    </row>
    <row r="21" spans="3:18" ht="15.75" thickBot="1">
      <c r="C21" s="326">
        <v>18</v>
      </c>
      <c r="D21" s="358">
        <v>894.90000000000032</v>
      </c>
      <c r="E21" s="359">
        <v>5367.69</v>
      </c>
      <c r="F21" s="119">
        <f t="shared" si="0"/>
        <v>6262.59</v>
      </c>
      <c r="G21" s="335">
        <f t="shared" si="1"/>
        <v>876.76260000000002</v>
      </c>
      <c r="H21" s="345">
        <f t="shared" si="2"/>
        <v>125.2518</v>
      </c>
      <c r="I21" s="345">
        <f t="shared" si="3"/>
        <v>187.8777</v>
      </c>
      <c r="J21" s="354">
        <f t="shared" si="4"/>
        <v>22.4885625</v>
      </c>
      <c r="K21" s="357">
        <f t="shared" si="5"/>
        <v>0.17954682088401125</v>
      </c>
      <c r="L21" s="357">
        <f t="shared" si="6"/>
        <v>0.11969788058934083</v>
      </c>
      <c r="M21" s="350">
        <v>22488562500</v>
      </c>
    </row>
    <row r="22" spans="3:18" ht="15.75" thickBot="1">
      <c r="C22" s="326">
        <v>19</v>
      </c>
      <c r="D22" s="358">
        <v>944.61666666666702</v>
      </c>
      <c r="E22" s="359">
        <v>5665.8949999999995</v>
      </c>
      <c r="F22" s="119">
        <f t="shared" si="0"/>
        <v>6610.5116666666663</v>
      </c>
      <c r="G22" s="335">
        <f t="shared" si="1"/>
        <v>925.47163333333322</v>
      </c>
      <c r="H22" s="345">
        <f t="shared" si="2"/>
        <v>132.21023333333332</v>
      </c>
      <c r="I22" s="345">
        <f t="shared" si="3"/>
        <v>198.31535</v>
      </c>
      <c r="J22" s="354">
        <f t="shared" si="4"/>
        <v>24.5117625</v>
      </c>
      <c r="K22" s="357">
        <f t="shared" si="5"/>
        <v>0.18539988835962523</v>
      </c>
      <c r="L22" s="357">
        <f t="shared" si="6"/>
        <v>0.12359992557308348</v>
      </c>
      <c r="M22" s="350">
        <v>24511762500</v>
      </c>
    </row>
    <row r="23" spans="3:18" ht="15.75" thickBot="1">
      <c r="C23" s="326">
        <v>20</v>
      </c>
      <c r="D23" s="358">
        <v>994.33333333333371</v>
      </c>
      <c r="E23" s="359">
        <v>5964.0999999999995</v>
      </c>
      <c r="F23" s="119">
        <f t="shared" si="0"/>
        <v>6958.4333333333334</v>
      </c>
      <c r="G23" s="335">
        <f t="shared" si="1"/>
        <v>974.18066666666664</v>
      </c>
      <c r="H23" s="345">
        <f t="shared" si="2"/>
        <v>139.16866666666667</v>
      </c>
      <c r="I23" s="345">
        <f t="shared" si="3"/>
        <v>208.75299999999999</v>
      </c>
      <c r="J23" s="354">
        <f t="shared" si="4"/>
        <v>26.717662499999999</v>
      </c>
      <c r="K23" s="357">
        <f t="shared" si="5"/>
        <v>0.19198044459241304</v>
      </c>
      <c r="L23" s="357">
        <f t="shared" si="6"/>
        <v>0.1279869630616087</v>
      </c>
      <c r="M23" s="350">
        <v>26717662500</v>
      </c>
    </row>
    <row r="24" spans="3:18" ht="15.75" thickBot="1">
      <c r="C24" s="326">
        <v>21</v>
      </c>
      <c r="D24" s="358">
        <v>1044.0500000000004</v>
      </c>
      <c r="E24" s="359">
        <v>6262.3049999999994</v>
      </c>
      <c r="F24" s="119">
        <f t="shared" si="0"/>
        <v>7306.3549999999996</v>
      </c>
      <c r="G24" s="335">
        <f t="shared" si="1"/>
        <v>1022.8896999999998</v>
      </c>
      <c r="H24" s="345">
        <f t="shared" si="2"/>
        <v>146.12710000000001</v>
      </c>
      <c r="I24" s="345">
        <f t="shared" si="3"/>
        <v>219.19065000000001</v>
      </c>
      <c r="J24" s="354">
        <f t="shared" si="4"/>
        <v>29.1215625</v>
      </c>
      <c r="K24" s="357">
        <f t="shared" si="5"/>
        <v>0.19928926598830743</v>
      </c>
      <c r="L24" s="357">
        <f t="shared" si="6"/>
        <v>0.13285951065887161</v>
      </c>
      <c r="M24" s="350">
        <v>29121562500</v>
      </c>
    </row>
    <row r="25" spans="3:18" ht="15.75" thickBot="1">
      <c r="C25" s="326">
        <v>22</v>
      </c>
      <c r="D25" s="358">
        <v>1093.7666666666671</v>
      </c>
      <c r="E25" s="359">
        <v>6560.5099999999993</v>
      </c>
      <c r="F25" s="119">
        <f t="shared" si="0"/>
        <v>7654.2766666666666</v>
      </c>
      <c r="G25" s="335">
        <f t="shared" si="1"/>
        <v>1071.5987333333335</v>
      </c>
      <c r="H25" s="345">
        <f t="shared" si="2"/>
        <v>153.08553333333333</v>
      </c>
      <c r="I25" s="345">
        <f t="shared" si="3"/>
        <v>229.6283</v>
      </c>
      <c r="J25" s="354">
        <f t="shared" si="4"/>
        <v>31.273462500000001</v>
      </c>
      <c r="K25" s="357">
        <f t="shared" si="5"/>
        <v>0.20428751051155281</v>
      </c>
      <c r="L25" s="357">
        <f t="shared" si="6"/>
        <v>0.13619167367436855</v>
      </c>
      <c r="M25" s="350">
        <v>31273462500</v>
      </c>
      <c r="P25">
        <v>693.5</v>
      </c>
    </row>
    <row r="26" spans="3:18" ht="15.75" thickBot="1">
      <c r="C26" s="326">
        <v>23</v>
      </c>
      <c r="D26" s="358">
        <v>1143.4833333333338</v>
      </c>
      <c r="E26" s="359">
        <v>6858.7149999999992</v>
      </c>
      <c r="F26" s="119">
        <f t="shared" si="0"/>
        <v>8002.1983333333328</v>
      </c>
      <c r="G26" s="335">
        <f t="shared" si="1"/>
        <v>1120.3077666666666</v>
      </c>
      <c r="H26" s="345">
        <f t="shared" si="2"/>
        <v>160.04396666666665</v>
      </c>
      <c r="I26" s="345">
        <f t="shared" si="3"/>
        <v>240.06594999999996</v>
      </c>
      <c r="J26" s="354">
        <f t="shared" si="4"/>
        <v>33.578362499999997</v>
      </c>
      <c r="K26" s="357">
        <f t="shared" si="5"/>
        <v>0.20980711237891089</v>
      </c>
      <c r="L26" s="357">
        <f t="shared" si="6"/>
        <v>0.13987140825260727</v>
      </c>
      <c r="M26" s="350">
        <v>33578362500</v>
      </c>
    </row>
    <row r="27" spans="3:18" ht="15.75" thickBot="1">
      <c r="C27" s="326">
        <v>24</v>
      </c>
      <c r="D27" s="358">
        <v>1193.2000000000005</v>
      </c>
      <c r="E27" s="359">
        <v>7156.9199999999992</v>
      </c>
      <c r="F27" s="119">
        <f t="shared" si="0"/>
        <v>8350.119999999999</v>
      </c>
      <c r="G27" s="335">
        <f t="shared" si="1"/>
        <v>1169.0167999999996</v>
      </c>
      <c r="H27" s="345">
        <f t="shared" si="2"/>
        <v>167.00239999999997</v>
      </c>
      <c r="I27" s="345">
        <f t="shared" si="3"/>
        <v>250.50359999999998</v>
      </c>
      <c r="J27" s="354">
        <f t="shared" si="4"/>
        <v>36.044362499999998</v>
      </c>
      <c r="K27" s="357">
        <f t="shared" si="5"/>
        <v>0.21583140421934061</v>
      </c>
      <c r="L27" s="357">
        <f t="shared" si="6"/>
        <v>0.1438876028128937</v>
      </c>
      <c r="M27" s="350">
        <v>36044362500</v>
      </c>
    </row>
    <row r="28" spans="3:18" ht="15.75" thickBot="1">
      <c r="C28" s="326">
        <v>25</v>
      </c>
      <c r="D28" s="358">
        <v>1242.9166666666672</v>
      </c>
      <c r="E28" s="359">
        <v>7455.1249999999991</v>
      </c>
      <c r="F28" s="119">
        <f t="shared" si="0"/>
        <v>8698.0416666666661</v>
      </c>
      <c r="G28" s="335">
        <f t="shared" si="1"/>
        <v>1217.7258333333332</v>
      </c>
      <c r="H28" s="345">
        <f t="shared" si="2"/>
        <v>173.96083333333331</v>
      </c>
      <c r="I28" s="345">
        <f t="shared" si="3"/>
        <v>260.94124999999997</v>
      </c>
      <c r="J28" s="354">
        <f t="shared" si="4"/>
        <v>38.6822625</v>
      </c>
      <c r="K28" s="357">
        <f t="shared" si="5"/>
        <v>0.22236190617619869</v>
      </c>
      <c r="L28" s="357">
        <f t="shared" si="6"/>
        <v>0.14824127078413246</v>
      </c>
      <c r="M28" s="350">
        <v>38682262500</v>
      </c>
    </row>
    <row r="29" spans="3:18" ht="15.75" thickBot="1">
      <c r="C29" s="326">
        <v>26</v>
      </c>
      <c r="D29" s="358">
        <v>1292.6333333333339</v>
      </c>
      <c r="E29" s="359">
        <v>7753.329999999999</v>
      </c>
      <c r="F29" s="119">
        <f t="shared" si="0"/>
        <v>9045.9633333333331</v>
      </c>
      <c r="G29" s="335">
        <f t="shared" si="1"/>
        <v>1266.4348666666667</v>
      </c>
      <c r="H29" s="345">
        <f t="shared" si="2"/>
        <v>180.91926666666666</v>
      </c>
      <c r="I29" s="345">
        <f t="shared" si="3"/>
        <v>271.37889999999999</v>
      </c>
      <c r="J29" s="354">
        <f t="shared" si="4"/>
        <v>41.503762500000001</v>
      </c>
      <c r="K29" s="357">
        <f t="shared" si="5"/>
        <v>0.2294048791191946</v>
      </c>
      <c r="L29" s="357">
        <f t="shared" si="6"/>
        <v>0.15293658607946309</v>
      </c>
      <c r="M29" s="350">
        <v>41503762500</v>
      </c>
      <c r="Q29" s="344">
        <v>1</v>
      </c>
      <c r="R29">
        <v>20</v>
      </c>
    </row>
    <row r="30" spans="3:18" ht="15.75" thickBot="1">
      <c r="C30" s="326">
        <v>27</v>
      </c>
      <c r="D30" s="358">
        <v>1342.3500000000006</v>
      </c>
      <c r="E30" s="359">
        <v>8051.5349999999989</v>
      </c>
      <c r="F30" s="119">
        <f t="shared" si="0"/>
        <v>9393.8850000000002</v>
      </c>
      <c r="G30" s="335">
        <f t="shared" si="1"/>
        <v>1315.1439</v>
      </c>
      <c r="H30" s="345">
        <f t="shared" si="2"/>
        <v>187.8777</v>
      </c>
      <c r="I30" s="345">
        <f t="shared" si="3"/>
        <v>281.81655000000001</v>
      </c>
      <c r="J30" s="354">
        <f t="shared" si="4"/>
        <v>44.519662500000003</v>
      </c>
      <c r="K30" s="357">
        <f t="shared" si="5"/>
        <v>0.23696086603146621</v>
      </c>
      <c r="L30" s="357">
        <f t="shared" si="6"/>
        <v>0.15797391068764416</v>
      </c>
      <c r="M30" s="350">
        <v>44519662500</v>
      </c>
      <c r="Q30" s="344">
        <v>100000</v>
      </c>
      <c r="R30">
        <f>Q30*R29</f>
        <v>2000000</v>
      </c>
    </row>
    <row r="31" spans="3:18" ht="15.75" thickBot="1">
      <c r="C31" s="326">
        <v>28</v>
      </c>
      <c r="D31" s="358">
        <v>1392.0666666666673</v>
      </c>
      <c r="E31" s="359">
        <v>8349.74</v>
      </c>
      <c r="F31" s="119">
        <f t="shared" si="0"/>
        <v>9741.8066666666673</v>
      </c>
      <c r="G31" s="335">
        <f t="shared" si="1"/>
        <v>1363.8529333333336</v>
      </c>
      <c r="H31" s="345">
        <f t="shared" si="2"/>
        <v>194.83613333333335</v>
      </c>
      <c r="I31" s="345">
        <f t="shared" si="3"/>
        <v>292.25420000000003</v>
      </c>
      <c r="J31" s="354">
        <f t="shared" si="4"/>
        <v>47.741662499999997</v>
      </c>
      <c r="K31" s="357">
        <f t="shared" si="5"/>
        <v>0.24503495159350999</v>
      </c>
      <c r="L31" s="357">
        <f t="shared" si="6"/>
        <v>0.16335663439567333</v>
      </c>
      <c r="M31" s="350">
        <v>47741662500</v>
      </c>
    </row>
    <row r="32" spans="3:18" ht="15.75" thickBot="1">
      <c r="C32" s="326">
        <v>29</v>
      </c>
      <c r="D32" s="358">
        <v>1441.783333333334</v>
      </c>
      <c r="E32" s="359">
        <v>8647.9449999999997</v>
      </c>
      <c r="F32" s="119">
        <f t="shared" si="0"/>
        <v>10089.728333333334</v>
      </c>
      <c r="G32" s="335">
        <f t="shared" si="1"/>
        <v>1412.5619666666666</v>
      </c>
      <c r="H32" s="345">
        <f t="shared" si="2"/>
        <v>201.7945666666667</v>
      </c>
      <c r="I32" s="345">
        <f t="shared" si="3"/>
        <v>302.69185000000004</v>
      </c>
      <c r="J32" s="354">
        <f t="shared" si="4"/>
        <v>51.183262499999998</v>
      </c>
      <c r="K32" s="357">
        <f t="shared" si="5"/>
        <v>0.25364043911324335</v>
      </c>
      <c r="L32" s="357">
        <f t="shared" si="6"/>
        <v>0.16909362607549555</v>
      </c>
      <c r="M32" s="350">
        <v>51183262500</v>
      </c>
    </row>
    <row r="33" spans="3:13" ht="15.75" thickBot="1">
      <c r="C33" s="326">
        <v>30</v>
      </c>
      <c r="D33" s="358">
        <v>1491.5000000000007</v>
      </c>
      <c r="E33" s="359">
        <v>8946.15</v>
      </c>
      <c r="F33" s="119">
        <f t="shared" si="0"/>
        <v>10437.65</v>
      </c>
      <c r="G33" s="335">
        <f t="shared" si="1"/>
        <v>1461.271</v>
      </c>
      <c r="H33" s="345">
        <f t="shared" si="2"/>
        <v>208.75299999999999</v>
      </c>
      <c r="I33" s="345">
        <f t="shared" si="3"/>
        <v>313.12950000000001</v>
      </c>
      <c r="J33" s="354">
        <f t="shared" si="4"/>
        <v>54.857962499999999</v>
      </c>
      <c r="K33" s="357">
        <f t="shared" si="5"/>
        <v>0.26278885812419461</v>
      </c>
      <c r="L33" s="357">
        <f t="shared" si="6"/>
        <v>0.1751925720827964</v>
      </c>
      <c r="M33" s="350">
        <v>54857962500</v>
      </c>
    </row>
    <row r="34" spans="3:13" ht="15.75" thickBot="1">
      <c r="C34" s="326">
        <v>31</v>
      </c>
      <c r="D34" s="358">
        <v>1541.2166666666674</v>
      </c>
      <c r="E34" s="359">
        <v>9244.3549999999996</v>
      </c>
      <c r="F34" s="119">
        <f t="shared" si="0"/>
        <v>10785.571666666667</v>
      </c>
      <c r="G34" s="335">
        <f t="shared" si="1"/>
        <v>1509.9800333333333</v>
      </c>
      <c r="H34" s="345">
        <f t="shared" si="2"/>
        <v>215.71143333333333</v>
      </c>
      <c r="I34" s="345">
        <f t="shared" si="3"/>
        <v>323.56715000000003</v>
      </c>
      <c r="J34" s="354">
        <f t="shared" si="4"/>
        <v>58.779262500000002</v>
      </c>
      <c r="K34" s="357">
        <f t="shared" si="5"/>
        <v>0.27249025047814651</v>
      </c>
      <c r="L34" s="357">
        <f t="shared" si="6"/>
        <v>0.181660166985431</v>
      </c>
      <c r="M34" s="350">
        <v>58779262500</v>
      </c>
    </row>
    <row r="35" spans="3:13" ht="15.75" thickBot="1">
      <c r="C35" s="326">
        <v>32</v>
      </c>
      <c r="D35" s="358">
        <v>1590.9333333333341</v>
      </c>
      <c r="E35" s="359">
        <v>9542.56</v>
      </c>
      <c r="F35" s="119">
        <f t="shared" si="0"/>
        <v>11133.493333333334</v>
      </c>
      <c r="G35" s="335">
        <f t="shared" si="1"/>
        <v>1558.6890666666668</v>
      </c>
      <c r="H35" s="345">
        <f t="shared" si="2"/>
        <v>222.66986666666668</v>
      </c>
      <c r="I35" s="345">
        <f t="shared" si="3"/>
        <v>334.00479999999999</v>
      </c>
      <c r="J35" s="354">
        <f t="shared" si="4"/>
        <v>62.961562499999999</v>
      </c>
      <c r="K35" s="357">
        <f t="shared" si="5"/>
        <v>0.28275744465349001</v>
      </c>
      <c r="L35" s="357">
        <f t="shared" si="6"/>
        <v>0.18850496310232667</v>
      </c>
      <c r="M35" s="350">
        <v>62961562500</v>
      </c>
    </row>
    <row r="36" spans="3:13" ht="15.75" thickBot="1">
      <c r="C36" s="326">
        <v>33</v>
      </c>
      <c r="D36" s="358">
        <v>1640.6500000000008</v>
      </c>
      <c r="E36" s="359">
        <v>9840.7649999999994</v>
      </c>
      <c r="F36" s="119">
        <f t="shared" si="0"/>
        <v>11481.415000000001</v>
      </c>
      <c r="G36" s="335">
        <f t="shared" si="1"/>
        <v>1607.3981000000003</v>
      </c>
      <c r="H36" s="345">
        <f t="shared" si="2"/>
        <v>229.62830000000002</v>
      </c>
      <c r="I36" s="345">
        <f t="shared" si="3"/>
        <v>344.44245000000001</v>
      </c>
      <c r="J36" s="354">
        <f t="shared" si="4"/>
        <v>67.421062500000005</v>
      </c>
      <c r="K36" s="357">
        <f t="shared" si="5"/>
        <v>0.29360955291660479</v>
      </c>
      <c r="L36" s="357">
        <f t="shared" si="6"/>
        <v>0.19573970194440321</v>
      </c>
      <c r="M36" s="350">
        <v>67421062500</v>
      </c>
    </row>
    <row r="37" spans="3:13" ht="15.75" thickBot="1">
      <c r="C37" s="326">
        <v>34</v>
      </c>
      <c r="D37" s="358">
        <v>1690.3666666666675</v>
      </c>
      <c r="E37" s="359">
        <v>10138.969999999999</v>
      </c>
      <c r="F37" s="119">
        <f t="shared" si="0"/>
        <v>11829.336666666666</v>
      </c>
      <c r="G37" s="335">
        <f t="shared" si="1"/>
        <v>1656.1071333333332</v>
      </c>
      <c r="H37" s="345">
        <f t="shared" si="2"/>
        <v>236.58673333333331</v>
      </c>
      <c r="I37" s="345">
        <f t="shared" si="3"/>
        <v>354.88010000000003</v>
      </c>
      <c r="J37" s="354">
        <f t="shared" si="4"/>
        <v>72.173962500000002</v>
      </c>
      <c r="K37" s="357">
        <f t="shared" si="5"/>
        <v>0.3050634390319435</v>
      </c>
      <c r="L37" s="357">
        <f t="shared" si="6"/>
        <v>0.20337562602129564</v>
      </c>
      <c r="M37" s="350">
        <v>72173962500</v>
      </c>
    </row>
    <row r="38" spans="3:13" ht="15.75" thickBot="1">
      <c r="C38" s="326">
        <v>35</v>
      </c>
      <c r="D38" s="358">
        <v>1740.0833333333342</v>
      </c>
      <c r="E38" s="359">
        <v>10437.174999999999</v>
      </c>
      <c r="F38" s="119">
        <f t="shared" si="0"/>
        <v>12177.258333333333</v>
      </c>
      <c r="G38" s="335">
        <f t="shared" si="1"/>
        <v>1704.8161666666667</v>
      </c>
      <c r="H38" s="345">
        <f t="shared" si="2"/>
        <v>243.54516666666666</v>
      </c>
      <c r="I38" s="345">
        <f t="shared" si="3"/>
        <v>365.31774999999999</v>
      </c>
      <c r="J38" s="354">
        <f t="shared" si="4"/>
        <v>77.2355625</v>
      </c>
      <c r="K38" s="357">
        <f t="shared" si="5"/>
        <v>0.31713034406348994</v>
      </c>
      <c r="L38" s="357">
        <f t="shared" si="6"/>
        <v>0.21142022937565996</v>
      </c>
      <c r="M38" s="350">
        <v>77235562500</v>
      </c>
    </row>
    <row r="39" spans="3:13" ht="15.75" thickBot="1">
      <c r="C39" s="326">
        <v>36</v>
      </c>
      <c r="D39" s="358">
        <v>1789.8000000000009</v>
      </c>
      <c r="E39" s="359">
        <v>10735.38</v>
      </c>
      <c r="F39" s="119">
        <f t="shared" si="0"/>
        <v>12525.18</v>
      </c>
      <c r="G39" s="335">
        <f t="shared" si="1"/>
        <v>1753.5252</v>
      </c>
      <c r="H39" s="345">
        <f t="shared" si="2"/>
        <v>250.50360000000001</v>
      </c>
      <c r="I39" s="345">
        <f t="shared" si="3"/>
        <v>375.75540000000001</v>
      </c>
      <c r="J39" s="354">
        <f t="shared" si="4"/>
        <v>82.623862500000001</v>
      </c>
      <c r="K39" s="357">
        <f t="shared" si="5"/>
        <v>0.32983103835633498</v>
      </c>
      <c r="L39" s="357">
        <f t="shared" si="6"/>
        <v>0.21988735890422334</v>
      </c>
      <c r="M39" s="350">
        <v>82623862500</v>
      </c>
    </row>
    <row r="40" spans="3:13" ht="15.75" thickBot="1">
      <c r="C40" s="326">
        <v>37</v>
      </c>
      <c r="D40" s="358">
        <v>1839.5166666666676</v>
      </c>
      <c r="E40" s="359">
        <v>11033.584999999999</v>
      </c>
      <c r="F40" s="119">
        <f t="shared" si="0"/>
        <v>12873.101666666667</v>
      </c>
      <c r="G40" s="335">
        <f t="shared" si="1"/>
        <v>1802.2342333333336</v>
      </c>
      <c r="H40" s="345">
        <f t="shared" si="2"/>
        <v>257.46203333333335</v>
      </c>
      <c r="I40" s="345">
        <f t="shared" si="3"/>
        <v>386.19305000000003</v>
      </c>
      <c r="J40" s="354">
        <f t="shared" si="4"/>
        <v>88.356862500000005</v>
      </c>
      <c r="K40" s="357">
        <f t="shared" si="5"/>
        <v>0.34318404681285691</v>
      </c>
      <c r="L40" s="357">
        <f t="shared" si="6"/>
        <v>0.22878936454190463</v>
      </c>
      <c r="M40" s="350">
        <v>88356862500</v>
      </c>
    </row>
    <row r="41" spans="3:13" ht="15.75" thickBot="1">
      <c r="C41" s="326">
        <v>38</v>
      </c>
      <c r="D41" s="358">
        <v>1889.2333333333343</v>
      </c>
      <c r="E41" s="359">
        <v>11331.789999999999</v>
      </c>
      <c r="F41" s="119">
        <f t="shared" si="0"/>
        <v>13221.023333333333</v>
      </c>
      <c r="G41" s="335">
        <f t="shared" si="1"/>
        <v>1850.9432666666664</v>
      </c>
      <c r="H41" s="345">
        <f t="shared" si="2"/>
        <v>264.42046666666664</v>
      </c>
      <c r="I41" s="345">
        <f t="shared" si="3"/>
        <v>396.63069999999999</v>
      </c>
      <c r="J41" s="354">
        <f t="shared" si="4"/>
        <v>94.451662499999998</v>
      </c>
      <c r="K41" s="357">
        <f t="shared" si="5"/>
        <v>0.35720254067574703</v>
      </c>
      <c r="L41" s="357">
        <f t="shared" si="6"/>
        <v>0.23813502711716467</v>
      </c>
      <c r="M41" s="350">
        <v>94451662500</v>
      </c>
    </row>
    <row r="42" spans="3:13" ht="15.75" thickBot="1">
      <c r="C42" s="326">
        <v>39</v>
      </c>
      <c r="D42" s="358">
        <v>1938.950000000001</v>
      </c>
      <c r="E42" s="359">
        <v>11629.994999999999</v>
      </c>
      <c r="F42" s="119">
        <f t="shared" si="0"/>
        <v>13568.945</v>
      </c>
      <c r="G42" s="335">
        <f t="shared" si="1"/>
        <v>1899.6523</v>
      </c>
      <c r="H42" s="345">
        <f t="shared" si="2"/>
        <v>271.37889999999999</v>
      </c>
      <c r="I42" s="345">
        <f t="shared" si="3"/>
        <v>407.06835000000001</v>
      </c>
      <c r="J42" s="354">
        <f t="shared" si="4"/>
        <v>100.9289625</v>
      </c>
      <c r="K42" s="357">
        <f t="shared" si="5"/>
        <v>0.37191160587650701</v>
      </c>
      <c r="L42" s="357">
        <f t="shared" si="6"/>
        <v>0.24794107058433798</v>
      </c>
      <c r="M42" s="350">
        <v>100928962500</v>
      </c>
    </row>
    <row r="43" spans="3:13" ht="15.75" thickBot="1">
      <c r="C43" s="326">
        <v>40</v>
      </c>
      <c r="D43" s="358">
        <v>1988.6666666666677</v>
      </c>
      <c r="E43" s="359">
        <v>11928.199999999999</v>
      </c>
      <c r="F43" s="119">
        <f t="shared" si="0"/>
        <v>13916.866666666667</v>
      </c>
      <c r="G43" s="335">
        <f t="shared" si="1"/>
        <v>1948.3613333333333</v>
      </c>
      <c r="H43" s="345">
        <f t="shared" si="2"/>
        <v>278.33733333333333</v>
      </c>
      <c r="I43" s="345">
        <f t="shared" si="3"/>
        <v>417.50599999999997</v>
      </c>
      <c r="J43" s="354">
        <f t="shared" si="4"/>
        <v>107.8058625</v>
      </c>
      <c r="K43" s="357">
        <f t="shared" si="5"/>
        <v>0.38732088580762913</v>
      </c>
      <c r="L43" s="357">
        <f t="shared" si="6"/>
        <v>0.25821392387175279</v>
      </c>
      <c r="M43" s="350">
        <v>107805862500</v>
      </c>
    </row>
    <row r="44" spans="3:13" ht="15.75" thickBot="1">
      <c r="C44" s="326">
        <v>41</v>
      </c>
      <c r="D44" s="358">
        <v>2038.3833333333343</v>
      </c>
      <c r="E44" s="359">
        <v>12226.404999999999</v>
      </c>
      <c r="F44" s="119">
        <f t="shared" si="0"/>
        <v>14264.788333333334</v>
      </c>
      <c r="G44" s="335">
        <f t="shared" si="1"/>
        <v>1997.0703666666668</v>
      </c>
      <c r="H44" s="345">
        <f t="shared" si="2"/>
        <v>285.29576666666668</v>
      </c>
      <c r="I44" s="345">
        <f t="shared" si="3"/>
        <v>427.94364999999999</v>
      </c>
      <c r="J44" s="354">
        <f t="shared" si="4"/>
        <v>115.10396249999999</v>
      </c>
      <c r="K44" s="357">
        <f t="shared" si="5"/>
        <v>0.40345485614753246</v>
      </c>
      <c r="L44" s="357">
        <f t="shared" si="6"/>
        <v>0.26896990409835497</v>
      </c>
      <c r="M44" s="350">
        <v>115103962500</v>
      </c>
    </row>
    <row r="45" spans="3:13" ht="15.75" thickBot="1">
      <c r="C45" s="326">
        <v>42</v>
      </c>
      <c r="D45" s="358">
        <v>2088.1000000000008</v>
      </c>
      <c r="E45" s="359">
        <v>12524.609999999999</v>
      </c>
      <c r="F45" s="119">
        <f t="shared" si="0"/>
        <v>14612.71</v>
      </c>
      <c r="G45" s="335">
        <f t="shared" si="1"/>
        <v>2045.7793999999997</v>
      </c>
      <c r="H45" s="345">
        <f t="shared" si="2"/>
        <v>292.25420000000003</v>
      </c>
      <c r="I45" s="345">
        <f t="shared" si="3"/>
        <v>438.38130000000001</v>
      </c>
      <c r="J45" s="354">
        <f t="shared" si="4"/>
        <v>122.8421625</v>
      </c>
      <c r="K45" s="357">
        <f t="shared" si="5"/>
        <v>0.42032642302488721</v>
      </c>
      <c r="L45" s="357">
        <f t="shared" si="6"/>
        <v>0.28021761534992484</v>
      </c>
      <c r="M45" s="350">
        <v>122842162500</v>
      </c>
    </row>
    <row r="46" spans="3:13" ht="15.75" thickBot="1">
      <c r="C46" s="326">
        <v>43</v>
      </c>
      <c r="D46" s="358">
        <v>2137.8166666666675</v>
      </c>
      <c r="E46" s="359">
        <v>12822.814999999999</v>
      </c>
      <c r="F46" s="119">
        <f t="shared" si="0"/>
        <v>14960.631666666666</v>
      </c>
      <c r="G46" s="335">
        <f t="shared" si="1"/>
        <v>2094.4884333333334</v>
      </c>
      <c r="H46" s="345">
        <f t="shared" si="2"/>
        <v>299.21263333333332</v>
      </c>
      <c r="I46" s="345">
        <f t="shared" si="3"/>
        <v>448.81894999999997</v>
      </c>
      <c r="J46" s="354">
        <f t="shared" si="4"/>
        <v>131.0834625</v>
      </c>
      <c r="K46" s="357">
        <f t="shared" si="5"/>
        <v>0.43809467882316466</v>
      </c>
      <c r="L46" s="357">
        <f t="shared" si="6"/>
        <v>0.29206311921544315</v>
      </c>
      <c r="M46" s="350">
        <v>131083462500</v>
      </c>
    </row>
    <row r="47" spans="3:13" ht="15.75" thickBot="1">
      <c r="C47" s="326">
        <v>44</v>
      </c>
      <c r="D47" s="358">
        <v>2187.5333333333342</v>
      </c>
      <c r="E47" s="359">
        <v>13121.019999999999</v>
      </c>
      <c r="F47" s="119">
        <f t="shared" si="0"/>
        <v>15308.553333333333</v>
      </c>
      <c r="G47" s="335">
        <f t="shared" si="1"/>
        <v>2143.197466666667</v>
      </c>
      <c r="H47" s="345">
        <f t="shared" si="2"/>
        <v>306.17106666666666</v>
      </c>
      <c r="I47" s="345">
        <f t="shared" si="3"/>
        <v>459.25659999999999</v>
      </c>
      <c r="J47" s="354">
        <f t="shared" si="4"/>
        <v>139.8593625</v>
      </c>
      <c r="K47" s="357">
        <f t="shared" si="5"/>
        <v>0.45680136932163851</v>
      </c>
      <c r="L47" s="357">
        <f t="shared" si="6"/>
        <v>0.30453424621442565</v>
      </c>
      <c r="M47" s="350">
        <v>139859362500</v>
      </c>
    </row>
    <row r="48" spans="3:13" ht="15.75" thickBot="1">
      <c r="C48" s="326">
        <v>45</v>
      </c>
      <c r="D48" s="358">
        <v>2237.2500000000009</v>
      </c>
      <c r="E48" s="359">
        <v>13419.224999999999</v>
      </c>
      <c r="F48" s="119">
        <f t="shared" si="0"/>
        <v>15656.474999999999</v>
      </c>
      <c r="G48" s="335">
        <f t="shared" si="1"/>
        <v>2191.9064999999996</v>
      </c>
      <c r="H48" s="345">
        <f t="shared" si="2"/>
        <v>313.12950000000001</v>
      </c>
      <c r="I48" s="345">
        <f t="shared" si="3"/>
        <v>469.69424999999995</v>
      </c>
      <c r="J48" s="354">
        <f t="shared" si="4"/>
        <v>149.20226249999999</v>
      </c>
      <c r="K48" s="357">
        <f t="shared" si="5"/>
        <v>0.47648740377383791</v>
      </c>
      <c r="L48" s="357">
        <f t="shared" si="6"/>
        <v>0.31765826918255868</v>
      </c>
      <c r="M48" s="350">
        <v>149202262500</v>
      </c>
    </row>
    <row r="49" spans="3:13" ht="15.75" thickBot="1">
      <c r="C49" s="326">
        <v>46</v>
      </c>
      <c r="D49" s="358">
        <v>2286.9666666666676</v>
      </c>
      <c r="E49" s="359">
        <v>13717.429999999998</v>
      </c>
      <c r="F49" s="119">
        <f t="shared" si="0"/>
        <v>16004.396666666666</v>
      </c>
      <c r="G49" s="335">
        <f t="shared" si="1"/>
        <v>2240.6155333333331</v>
      </c>
      <c r="H49" s="345">
        <f t="shared" si="2"/>
        <v>320.0879333333333</v>
      </c>
      <c r="I49" s="345">
        <f t="shared" si="3"/>
        <v>480.13189999999992</v>
      </c>
      <c r="J49" s="354">
        <f t="shared" si="4"/>
        <v>159.14906250000001</v>
      </c>
      <c r="K49" s="357">
        <f t="shared" si="5"/>
        <v>0.49720419274370242</v>
      </c>
      <c r="L49" s="357">
        <f t="shared" si="6"/>
        <v>0.33146946182913495</v>
      </c>
      <c r="M49" s="350">
        <v>159149062500</v>
      </c>
    </row>
    <row r="50" spans="3:13" ht="15.75" thickBot="1">
      <c r="C50" s="326">
        <v>47</v>
      </c>
      <c r="D50" s="358">
        <v>2336.6833333333343</v>
      </c>
      <c r="E50" s="359">
        <v>14015.634999999998</v>
      </c>
      <c r="F50" s="119">
        <f t="shared" si="0"/>
        <v>16352.318333333333</v>
      </c>
      <c r="G50" s="335">
        <f t="shared" si="1"/>
        <v>2289.3245666666667</v>
      </c>
      <c r="H50" s="345">
        <f t="shared" si="2"/>
        <v>327.04636666666664</v>
      </c>
      <c r="I50" s="345">
        <f t="shared" si="3"/>
        <v>490.56954999999999</v>
      </c>
      <c r="J50" s="354">
        <f t="shared" si="4"/>
        <v>169.73666249999999</v>
      </c>
      <c r="K50" s="357">
        <f t="shared" si="5"/>
        <v>0.51899877142802686</v>
      </c>
      <c r="L50" s="357">
        <f t="shared" si="6"/>
        <v>0.34599918095201793</v>
      </c>
      <c r="M50" s="350">
        <v>169736662500</v>
      </c>
    </row>
    <row r="51" spans="3:13" ht="15.75" thickBot="1">
      <c r="C51" s="326">
        <v>48</v>
      </c>
      <c r="D51" s="358">
        <v>2386.400000000001</v>
      </c>
      <c r="E51" s="359">
        <v>14313.839999999998</v>
      </c>
      <c r="F51" s="119">
        <f t="shared" si="0"/>
        <v>16700.239999999998</v>
      </c>
      <c r="G51" s="335">
        <f t="shared" si="1"/>
        <v>2338.0335999999993</v>
      </c>
      <c r="H51" s="345">
        <f t="shared" si="2"/>
        <v>334.00479999999993</v>
      </c>
      <c r="I51" s="345">
        <f t="shared" si="3"/>
        <v>501.00719999999995</v>
      </c>
      <c r="J51" s="354">
        <f t="shared" si="4"/>
        <v>181.0064625</v>
      </c>
      <c r="K51" s="357">
        <f t="shared" si="5"/>
        <v>0.54192772828414448</v>
      </c>
      <c r="L51" s="357">
        <f t="shared" si="6"/>
        <v>0.36128515218942964</v>
      </c>
      <c r="M51" s="350">
        <v>181006462500</v>
      </c>
    </row>
    <row r="52" spans="3:13" ht="15.75" thickBot="1">
      <c r="C52" s="326">
        <v>49</v>
      </c>
      <c r="D52" s="358">
        <v>2436.1166666666677</v>
      </c>
      <c r="E52" s="359">
        <v>14612.044999999998</v>
      </c>
      <c r="F52" s="119">
        <f t="shared" si="0"/>
        <v>17048.161666666667</v>
      </c>
      <c r="G52" s="335">
        <f t="shared" si="1"/>
        <v>2386.7426333333333</v>
      </c>
      <c r="H52" s="345">
        <f t="shared" si="2"/>
        <v>340.96323333333333</v>
      </c>
      <c r="I52" s="345">
        <f t="shared" si="3"/>
        <v>511.44484999999997</v>
      </c>
      <c r="J52" s="354">
        <f t="shared" si="4"/>
        <v>192.99986250000001</v>
      </c>
      <c r="K52" s="357">
        <f t="shared" si="5"/>
        <v>0.56604303230348296</v>
      </c>
      <c r="L52" s="357">
        <f t="shared" si="6"/>
        <v>0.37736202153565535</v>
      </c>
      <c r="M52" s="350">
        <v>192999862500</v>
      </c>
    </row>
    <row r="53" spans="3:13" ht="15.75" thickBot="1">
      <c r="C53" s="326">
        <v>50</v>
      </c>
      <c r="D53" s="358">
        <v>2485.8333333333344</v>
      </c>
      <c r="E53" s="359">
        <v>14910.249999999998</v>
      </c>
      <c r="F53" s="119">
        <f t="shared" si="0"/>
        <v>17396.083333333332</v>
      </c>
      <c r="G53" s="335">
        <f t="shared" si="1"/>
        <v>2435.4516666666664</v>
      </c>
      <c r="H53" s="345">
        <f t="shared" si="2"/>
        <v>347.92166666666662</v>
      </c>
      <c r="I53" s="345">
        <f t="shared" si="3"/>
        <v>521.88249999999994</v>
      </c>
      <c r="J53" s="354">
        <f t="shared" si="4"/>
        <v>205.76276250000001</v>
      </c>
      <c r="K53" s="357">
        <f t="shared" si="5"/>
        <v>0.59140542890401582</v>
      </c>
      <c r="L53" s="357">
        <f t="shared" si="6"/>
        <v>0.39427028593601054</v>
      </c>
      <c r="M53" s="350">
        <v>205762762500</v>
      </c>
    </row>
    <row r="54" spans="3:13" ht="15.75" thickBot="1">
      <c r="C54" s="326">
        <v>51</v>
      </c>
      <c r="D54" s="358">
        <v>2535.5500000000011</v>
      </c>
      <c r="E54" s="359">
        <v>15208.454999999998</v>
      </c>
      <c r="F54" s="119">
        <f t="shared" si="0"/>
        <v>17744.004999999997</v>
      </c>
      <c r="G54" s="335">
        <f t="shared" si="1"/>
        <v>2484.1606999999995</v>
      </c>
      <c r="H54" s="345">
        <f t="shared" si="2"/>
        <v>354.88009999999991</v>
      </c>
      <c r="I54" s="345">
        <f t="shared" si="3"/>
        <v>532.3201499999999</v>
      </c>
      <c r="J54" s="354">
        <f t="shared" si="4"/>
        <v>219.3446625</v>
      </c>
      <c r="K54" s="357">
        <f t="shared" si="5"/>
        <v>0.61808104342847081</v>
      </c>
      <c r="L54" s="357">
        <f t="shared" si="6"/>
        <v>0.41205402895231386</v>
      </c>
      <c r="M54" s="350">
        <v>219344662500</v>
      </c>
    </row>
    <row r="55" spans="3:13" ht="15.75" thickBot="1">
      <c r="C55" s="326">
        <v>52</v>
      </c>
      <c r="D55" s="358">
        <v>2585.2666666666678</v>
      </c>
      <c r="E55" s="359">
        <v>15506.659999999998</v>
      </c>
      <c r="F55" s="119">
        <f t="shared" si="0"/>
        <v>18091.926666666666</v>
      </c>
      <c r="G55" s="335">
        <f t="shared" si="1"/>
        <v>2532.8697333333334</v>
      </c>
      <c r="H55" s="345">
        <f t="shared" si="2"/>
        <v>361.83853333333332</v>
      </c>
      <c r="I55" s="345">
        <f t="shared" si="3"/>
        <v>542.75779999999997</v>
      </c>
      <c r="J55" s="354">
        <f t="shared" si="4"/>
        <v>233.7959625</v>
      </c>
      <c r="K55" s="357">
        <f t="shared" si="5"/>
        <v>0.64613340195203095</v>
      </c>
      <c r="L55" s="357">
        <f t="shared" si="6"/>
        <v>0.43075560130135399</v>
      </c>
      <c r="M55" s="350">
        <v>233795962500</v>
      </c>
    </row>
    <row r="56" spans="3:13" ht="15.75" thickBot="1">
      <c r="C56" s="326">
        <v>53</v>
      </c>
      <c r="D56" s="358">
        <v>2634.9833333333345</v>
      </c>
      <c r="E56" s="359">
        <v>15804.864999999998</v>
      </c>
      <c r="F56" s="119">
        <f t="shared" si="0"/>
        <v>18439.848333333332</v>
      </c>
      <c r="G56" s="335">
        <f t="shared" si="1"/>
        <v>2581.5787666666665</v>
      </c>
      <c r="H56" s="345">
        <f t="shared" si="2"/>
        <v>368.79696666666661</v>
      </c>
      <c r="I56" s="345">
        <f t="shared" si="3"/>
        <v>553.19545000000005</v>
      </c>
      <c r="J56" s="354">
        <f t="shared" si="4"/>
        <v>249.17066249999999</v>
      </c>
      <c r="K56" s="357">
        <f t="shared" si="5"/>
        <v>0.67563099759768463</v>
      </c>
      <c r="L56" s="357">
        <f t="shared" si="6"/>
        <v>0.45042066506512296</v>
      </c>
      <c r="M56" s="350">
        <v>249170662500</v>
      </c>
    </row>
    <row r="57" spans="3:13" ht="15.75" thickBot="1">
      <c r="C57" s="326">
        <v>54</v>
      </c>
      <c r="D57" s="358">
        <v>2684.7000000000012</v>
      </c>
      <c r="E57" s="359">
        <v>16103.069999999998</v>
      </c>
      <c r="F57" s="119">
        <f t="shared" si="0"/>
        <v>18787.77</v>
      </c>
      <c r="G57" s="335">
        <f t="shared" si="1"/>
        <v>2630.2878000000001</v>
      </c>
      <c r="H57" s="345">
        <f t="shared" si="2"/>
        <v>375.75540000000001</v>
      </c>
      <c r="I57" s="345">
        <f t="shared" si="3"/>
        <v>563.63310000000001</v>
      </c>
      <c r="J57" s="354">
        <f t="shared" si="4"/>
        <v>265.52816250000001</v>
      </c>
      <c r="K57" s="357">
        <f t="shared" si="5"/>
        <v>0.70665162097470857</v>
      </c>
      <c r="L57" s="357">
        <f t="shared" si="6"/>
        <v>0.47110108064980571</v>
      </c>
      <c r="M57" s="350">
        <v>265528162500</v>
      </c>
    </row>
    <row r="58" spans="3:13" ht="15.75" thickBot="1">
      <c r="C58" s="326">
        <v>55</v>
      </c>
      <c r="D58" s="358">
        <v>2734.4166666666679</v>
      </c>
      <c r="E58" s="359">
        <v>16401.274999999998</v>
      </c>
      <c r="F58" s="119">
        <f t="shared" si="0"/>
        <v>19135.691666666666</v>
      </c>
      <c r="G58" s="335">
        <f t="shared" si="1"/>
        <v>2678.9968333333331</v>
      </c>
      <c r="H58" s="345">
        <f t="shared" si="2"/>
        <v>382.7138333333333</v>
      </c>
      <c r="I58" s="345">
        <f t="shared" si="3"/>
        <v>574.07074999999998</v>
      </c>
      <c r="J58" s="354">
        <f t="shared" si="4"/>
        <v>282.92966250000001</v>
      </c>
      <c r="K58" s="357">
        <f t="shared" si="5"/>
        <v>0.73927210844656355</v>
      </c>
      <c r="L58" s="357">
        <f t="shared" si="6"/>
        <v>0.49284807229770899</v>
      </c>
      <c r="M58" s="350">
        <v>282929662500</v>
      </c>
    </row>
    <row r="59" spans="3:13" ht="15.75" thickBot="1">
      <c r="C59" s="326">
        <v>56</v>
      </c>
      <c r="D59" s="358">
        <v>2784.1333333333346</v>
      </c>
      <c r="E59" s="359">
        <v>16699.48</v>
      </c>
      <c r="F59" s="119">
        <f t="shared" si="0"/>
        <v>19483.613333333335</v>
      </c>
      <c r="G59" s="335">
        <f t="shared" si="1"/>
        <v>2727.7058666666671</v>
      </c>
      <c r="H59" s="345">
        <f t="shared" si="2"/>
        <v>389.6722666666667</v>
      </c>
      <c r="I59" s="345">
        <f t="shared" si="3"/>
        <v>584.50840000000005</v>
      </c>
      <c r="J59" s="354">
        <f t="shared" si="4"/>
        <v>301.44176249999998</v>
      </c>
      <c r="K59" s="357">
        <f t="shared" si="5"/>
        <v>0.77357766586416876</v>
      </c>
      <c r="L59" s="357">
        <f t="shared" si="6"/>
        <v>0.51571844390944588</v>
      </c>
      <c r="M59" s="350">
        <v>301441762500</v>
      </c>
    </row>
    <row r="60" spans="3:13" ht="15.75" thickBot="1">
      <c r="C60" s="326">
        <v>57</v>
      </c>
      <c r="D60" s="358">
        <v>2833.8500000000013</v>
      </c>
      <c r="E60" s="359">
        <v>16997.685000000001</v>
      </c>
      <c r="F60" s="119">
        <f t="shared" si="0"/>
        <v>19831.535000000003</v>
      </c>
      <c r="G60" s="335">
        <f t="shared" si="1"/>
        <v>2776.4149000000007</v>
      </c>
      <c r="H60" s="345">
        <f t="shared" si="2"/>
        <v>396.63070000000005</v>
      </c>
      <c r="I60" s="345">
        <f t="shared" si="3"/>
        <v>594.94605000000013</v>
      </c>
      <c r="J60" s="354">
        <f t="shared" si="4"/>
        <v>321.13556249999999</v>
      </c>
      <c r="K60" s="357">
        <f t="shared" si="5"/>
        <v>0.80965886528702879</v>
      </c>
      <c r="L60" s="357">
        <f t="shared" si="6"/>
        <v>0.53977257685801916</v>
      </c>
      <c r="M60" s="350">
        <v>321135562500</v>
      </c>
    </row>
    <row r="61" spans="3:13" ht="15.75" thickBot="1">
      <c r="C61" s="326">
        <v>58</v>
      </c>
      <c r="D61" s="358">
        <v>2883.566666666668</v>
      </c>
      <c r="E61" s="359">
        <v>17295.890000000003</v>
      </c>
      <c r="F61" s="119">
        <f t="shared" si="0"/>
        <v>20179.456666666672</v>
      </c>
      <c r="G61" s="335">
        <f t="shared" si="1"/>
        <v>2825.1239333333342</v>
      </c>
      <c r="H61" s="345">
        <f t="shared" si="2"/>
        <v>403.58913333333345</v>
      </c>
      <c r="I61" s="345">
        <f t="shared" si="3"/>
        <v>605.38370000000009</v>
      </c>
      <c r="J61" s="354">
        <f t="shared" si="4"/>
        <v>342.08576249999999</v>
      </c>
      <c r="K61" s="357">
        <f t="shared" si="5"/>
        <v>0.84760895238837752</v>
      </c>
      <c r="L61" s="357">
        <f t="shared" si="6"/>
        <v>0.56507263492558513</v>
      </c>
      <c r="M61" s="350">
        <v>342085762500</v>
      </c>
    </row>
    <row r="62" spans="3:13" ht="15.75" thickBot="1">
      <c r="C62" s="326">
        <v>59</v>
      </c>
      <c r="D62" s="358">
        <v>2933.2833333333347</v>
      </c>
      <c r="E62" s="359">
        <v>17594.095000000005</v>
      </c>
      <c r="F62" s="119">
        <f t="shared" si="0"/>
        <v>20527.378333333341</v>
      </c>
      <c r="G62" s="335">
        <f t="shared" si="1"/>
        <v>2873.8329666666677</v>
      </c>
      <c r="H62" s="345">
        <f t="shared" si="2"/>
        <v>410.5475666666668</v>
      </c>
      <c r="I62" s="345">
        <f t="shared" si="3"/>
        <v>615.82135000000028</v>
      </c>
      <c r="J62" s="354">
        <f t="shared" si="4"/>
        <v>364.37246249999998</v>
      </c>
      <c r="K62" s="357">
        <f t="shared" si="5"/>
        <v>0.88752800426617195</v>
      </c>
      <c r="L62" s="357">
        <f t="shared" si="6"/>
        <v>0.5916853361774479</v>
      </c>
      <c r="M62" s="350">
        <v>364372462500</v>
      </c>
    </row>
    <row r="63" spans="3:13" ht="15.75" thickBot="1">
      <c r="C63" s="327">
        <v>60</v>
      </c>
      <c r="D63" s="360">
        <v>2983.0000000000014</v>
      </c>
      <c r="E63" s="361">
        <v>17892.300000000007</v>
      </c>
      <c r="F63" s="331">
        <f t="shared" si="0"/>
        <v>20875.300000000007</v>
      </c>
      <c r="G63" s="335">
        <f t="shared" si="1"/>
        <v>2922.5420000000008</v>
      </c>
      <c r="H63" s="345">
        <f t="shared" si="2"/>
        <v>417.50600000000014</v>
      </c>
      <c r="I63" s="345">
        <f t="shared" si="3"/>
        <v>626.25900000000024</v>
      </c>
      <c r="J63" s="354">
        <f t="shared" si="4"/>
        <v>388.08296250000001</v>
      </c>
      <c r="K63" s="357">
        <f t="shared" si="5"/>
        <v>0.92952667147298451</v>
      </c>
      <c r="L63" s="357">
        <f t="shared" si="6"/>
        <v>0.61968444764865627</v>
      </c>
      <c r="M63" s="350">
        <v>388082962500</v>
      </c>
    </row>
    <row r="64" spans="3:13" ht="15">
      <c r="C64" s="329"/>
      <c r="D64" s="330"/>
      <c r="E64" s="330"/>
      <c r="F64" s="330"/>
      <c r="G64" s="356"/>
    </row>
    <row r="65" spans="3:7" ht="15">
      <c r="C65" s="329"/>
      <c r="D65" s="330"/>
      <c r="E65" s="330"/>
      <c r="F65" s="330"/>
      <c r="G65" s="333"/>
    </row>
    <row r="66" spans="3:7" ht="15">
      <c r="C66" s="329"/>
      <c r="D66" s="330"/>
      <c r="E66" s="330"/>
      <c r="F66" s="330"/>
    </row>
    <row r="67" spans="3:7" ht="15">
      <c r="C67" s="329"/>
      <c r="D67" s="330"/>
      <c r="E67" s="330"/>
      <c r="F67" s="330"/>
    </row>
    <row r="68" spans="3:7" ht="15">
      <c r="C68" s="329"/>
      <c r="D68" s="330"/>
      <c r="E68" s="330"/>
      <c r="F68" s="330"/>
    </row>
    <row r="69" spans="3:7" ht="15">
      <c r="C69" s="329"/>
      <c r="D69" s="330"/>
      <c r="E69" s="330"/>
      <c r="F69" s="330"/>
    </row>
    <row r="70" spans="3:7" ht="15">
      <c r="C70" s="329"/>
      <c r="D70" s="330"/>
      <c r="E70" s="330"/>
      <c r="F70" s="330"/>
    </row>
    <row r="71" spans="3:7" ht="15">
      <c r="C71" s="329"/>
      <c r="D71" s="330"/>
      <c r="E71" s="330"/>
      <c r="F71" s="330"/>
    </row>
    <row r="72" spans="3:7" ht="15">
      <c r="C72" s="329"/>
      <c r="D72" s="330"/>
      <c r="E72" s="330"/>
      <c r="F72" s="330"/>
    </row>
    <row r="73" spans="3:7" ht="15">
      <c r="C73" s="329"/>
      <c r="D73" s="330"/>
      <c r="E73" s="330"/>
      <c r="F73" s="330"/>
    </row>
    <row r="74" spans="3:7" ht="15">
      <c r="C74" s="329"/>
      <c r="D74" s="330"/>
      <c r="E74" s="330"/>
      <c r="F74" s="330"/>
    </row>
    <row r="75" spans="3:7" ht="15">
      <c r="C75" s="329"/>
      <c r="D75" s="330"/>
      <c r="E75" s="330"/>
      <c r="F75" s="330"/>
    </row>
    <row r="76" spans="3:7" ht="15">
      <c r="C76" s="329"/>
      <c r="D76" s="330"/>
      <c r="E76" s="330"/>
      <c r="F76" s="330"/>
    </row>
    <row r="77" spans="3:7" ht="15">
      <c r="C77" s="329"/>
      <c r="D77" s="330"/>
      <c r="E77" s="330"/>
      <c r="F77" s="330"/>
    </row>
    <row r="78" spans="3:7" ht="15">
      <c r="C78" s="329"/>
      <c r="D78" s="330"/>
      <c r="E78" s="330"/>
      <c r="F78" s="330"/>
    </row>
    <row r="79" spans="3:7" ht="15">
      <c r="C79" s="329"/>
      <c r="D79" s="330"/>
      <c r="E79" s="330"/>
      <c r="F79" s="330"/>
    </row>
    <row r="80" spans="3:7" ht="15">
      <c r="C80" s="329"/>
      <c r="D80" s="330"/>
      <c r="E80" s="330"/>
      <c r="F80" s="330"/>
    </row>
    <row r="81" spans="3:6" ht="15">
      <c r="C81" s="329"/>
      <c r="D81" s="330"/>
      <c r="E81" s="330"/>
      <c r="F81" s="330"/>
    </row>
    <row r="82" spans="3:6" ht="15">
      <c r="C82" s="329"/>
      <c r="D82" s="330"/>
      <c r="E82" s="330"/>
      <c r="F82" s="330"/>
    </row>
    <row r="83" spans="3:6" ht="15">
      <c r="C83" s="329"/>
      <c r="D83" s="330"/>
      <c r="E83" s="330"/>
      <c r="F83" s="330"/>
    </row>
    <row r="84" spans="3:6" ht="15">
      <c r="C84" s="329"/>
      <c r="D84" s="330"/>
      <c r="E84" s="330"/>
      <c r="F84" s="330"/>
    </row>
    <row r="85" spans="3:6" ht="15">
      <c r="C85" s="329"/>
      <c r="D85" s="330"/>
      <c r="E85" s="330"/>
      <c r="F85" s="330"/>
    </row>
    <row r="86" spans="3:6" ht="15">
      <c r="C86" s="329"/>
      <c r="D86" s="330"/>
      <c r="E86" s="330"/>
      <c r="F86" s="330"/>
    </row>
    <row r="87" spans="3:6" ht="15">
      <c r="C87" s="329"/>
      <c r="D87" s="330"/>
      <c r="E87" s="330"/>
      <c r="F87" s="330"/>
    </row>
    <row r="88" spans="3:6" ht="15">
      <c r="C88" s="329"/>
      <c r="D88" s="330"/>
      <c r="E88" s="330"/>
      <c r="F88" s="330"/>
    </row>
    <row r="89" spans="3:6" ht="15">
      <c r="C89" s="329"/>
      <c r="D89" s="330"/>
      <c r="E89" s="330"/>
      <c r="F89" s="330"/>
    </row>
    <row r="90" spans="3:6" ht="15">
      <c r="C90" s="329"/>
      <c r="D90" s="330"/>
      <c r="E90" s="330"/>
      <c r="F90" s="330"/>
    </row>
    <row r="91" spans="3:6" ht="15">
      <c r="C91" s="329"/>
      <c r="D91" s="330"/>
      <c r="E91" s="330"/>
      <c r="F91" s="330"/>
    </row>
    <row r="92" spans="3:6" ht="15">
      <c r="C92" s="329"/>
      <c r="D92" s="330"/>
      <c r="E92" s="330"/>
      <c r="F92" s="330"/>
    </row>
    <row r="93" spans="3:6" ht="15">
      <c r="C93" s="329"/>
      <c r="D93" s="330"/>
      <c r="E93" s="330"/>
      <c r="F93" s="330"/>
    </row>
    <row r="94" spans="3:6" ht="15">
      <c r="C94" s="329"/>
      <c r="D94" s="330"/>
      <c r="E94" s="330"/>
      <c r="F94" s="330"/>
    </row>
    <row r="95" spans="3:6" ht="15">
      <c r="C95" s="329"/>
      <c r="D95" s="330"/>
      <c r="E95" s="330"/>
      <c r="F95" s="330"/>
    </row>
    <row r="96" spans="3:6" ht="15">
      <c r="C96" s="329"/>
      <c r="D96" s="330"/>
      <c r="E96" s="330"/>
      <c r="F96" s="330"/>
    </row>
    <row r="97" spans="3:13" ht="15">
      <c r="C97" s="329"/>
      <c r="D97" s="330"/>
      <c r="E97" s="330"/>
      <c r="F97" s="330"/>
    </row>
    <row r="98" spans="3:13" ht="15">
      <c r="C98" s="329"/>
      <c r="D98" s="330"/>
      <c r="E98" s="330"/>
      <c r="F98" s="330"/>
    </row>
    <row r="99" spans="3:13" ht="15">
      <c r="C99" s="329"/>
      <c r="D99" s="330"/>
      <c r="E99" s="330"/>
      <c r="F99" s="330"/>
    </row>
    <row r="100" spans="3:13" ht="15">
      <c r="C100" s="329"/>
      <c r="D100" s="330"/>
      <c r="E100" s="330"/>
      <c r="F100" s="330"/>
    </row>
    <row r="101" spans="3:13" ht="15">
      <c r="C101" s="329"/>
      <c r="D101" s="330"/>
      <c r="E101" s="330"/>
      <c r="F101" s="330"/>
    </row>
    <row r="102" spans="3:13" ht="15">
      <c r="C102" s="329"/>
      <c r="D102" s="330"/>
      <c r="E102" s="330"/>
      <c r="F102" s="330"/>
      <c r="I102" s="338"/>
      <c r="K102" s="339"/>
      <c r="M102" s="339"/>
    </row>
    <row r="103" spans="3:13" ht="15">
      <c r="C103" s="329"/>
      <c r="D103" s="330"/>
      <c r="E103" s="330"/>
      <c r="F103" s="330"/>
      <c r="I103" s="340"/>
      <c r="K103" s="338"/>
      <c r="M103" s="339"/>
    </row>
    <row r="104" spans="3:13" ht="15">
      <c r="C104" s="329"/>
      <c r="D104" s="330"/>
      <c r="E104" s="330"/>
      <c r="F104" s="330"/>
      <c r="I104" s="340"/>
      <c r="K104" s="338"/>
      <c r="M104" s="339"/>
    </row>
    <row r="105" spans="3:13" ht="15">
      <c r="C105" s="329"/>
      <c r="D105" s="330"/>
      <c r="E105" s="330"/>
      <c r="F105" s="330"/>
      <c r="I105" s="340"/>
      <c r="K105" s="338"/>
      <c r="M105" s="339"/>
    </row>
    <row r="106" spans="3:13" ht="15">
      <c r="I106" s="340"/>
      <c r="K106" s="338"/>
      <c r="L106" s="353"/>
      <c r="M106" s="339"/>
    </row>
    <row r="107" spans="3:13" ht="15">
      <c r="I107" s="340"/>
      <c r="K107" s="338"/>
      <c r="M107" s="339"/>
    </row>
    <row r="108" spans="3:13" ht="15">
      <c r="I108" s="340"/>
      <c r="K108" s="338"/>
      <c r="M108" s="339"/>
    </row>
    <row r="109" spans="3:13">
      <c r="I109" s="341"/>
      <c r="K109" s="341"/>
      <c r="M109" s="341"/>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showGridLines="0" topLeftCell="A37" workbookViewId="0">
      <selection activeCell="C53" sqref="C53"/>
    </sheetView>
  </sheetViews>
  <sheetFormatPr defaultColWidth="17.28515625" defaultRowHeight="15" customHeight="1"/>
  <cols>
    <col min="1" max="1" width="8.85546875" style="184" customWidth="1"/>
    <col min="2" max="2" width="16.42578125" style="184" customWidth="1"/>
    <col min="3" max="3" width="41" style="184" customWidth="1"/>
    <col min="4" max="4" width="45.85546875" style="184" customWidth="1"/>
    <col min="5" max="5" width="14.7109375" style="184" customWidth="1"/>
    <col min="6" max="6" width="8.85546875" style="184" customWidth="1"/>
    <col min="7" max="7" width="5.7109375" style="184" customWidth="1"/>
    <col min="8" max="20" width="8.85546875" style="184" customWidth="1"/>
  </cols>
  <sheetData>
    <row r="1" spans="1:17" ht="23.25" customHeight="1">
      <c r="A1" s="242"/>
      <c r="B1" s="390" t="s">
        <v>29</v>
      </c>
      <c r="C1" s="391"/>
      <c r="D1" s="391"/>
      <c r="E1" s="391"/>
      <c r="F1" s="391"/>
      <c r="G1" s="391"/>
      <c r="H1" s="391"/>
      <c r="I1" s="391"/>
      <c r="J1" s="391"/>
      <c r="K1" s="391"/>
      <c r="L1" s="391"/>
      <c r="M1" s="391"/>
      <c r="N1" s="391"/>
      <c r="O1" s="391"/>
      <c r="P1" s="242"/>
      <c r="Q1" s="242"/>
    </row>
    <row r="2" spans="1:17" s="184" customFormat="1" ht="15.75" customHeight="1">
      <c r="A2" s="183"/>
      <c r="B2" s="183"/>
      <c r="C2" s="183"/>
      <c r="D2" s="183"/>
      <c r="E2" s="183"/>
      <c r="F2" s="183"/>
      <c r="G2" s="183"/>
      <c r="H2" s="183"/>
      <c r="I2" s="183"/>
      <c r="J2" s="183"/>
      <c r="K2" s="183"/>
      <c r="L2" s="183"/>
      <c r="M2" s="183"/>
      <c r="N2" s="183"/>
      <c r="O2" s="183"/>
      <c r="P2" s="183"/>
      <c r="Q2" s="183"/>
    </row>
    <row r="3" spans="1:17" ht="45" customHeight="1">
      <c r="A3" s="183"/>
      <c r="B3" s="291" t="s">
        <v>30</v>
      </c>
      <c r="C3" s="291" t="s">
        <v>35</v>
      </c>
      <c r="D3" s="292" t="s">
        <v>36</v>
      </c>
      <c r="E3" s="292" t="s">
        <v>58</v>
      </c>
      <c r="F3" s="183"/>
      <c r="G3" s="218" t="s">
        <v>59</v>
      </c>
      <c r="H3" s="183" t="s">
        <v>70</v>
      </c>
      <c r="I3" s="183"/>
      <c r="J3" s="183"/>
      <c r="K3" s="183"/>
      <c r="L3" s="183"/>
      <c r="M3" s="183"/>
      <c r="N3" s="183"/>
      <c r="O3" s="183"/>
      <c r="P3" s="183"/>
      <c r="Q3" s="183"/>
    </row>
    <row r="4" spans="1:17">
      <c r="A4" s="183"/>
      <c r="B4" s="293" t="s">
        <v>71</v>
      </c>
      <c r="C4" s="294">
        <v>38272</v>
      </c>
      <c r="D4" s="295">
        <f>'CO2 Values'!D33</f>
        <v>1.0201284079999999</v>
      </c>
      <c r="E4" s="295">
        <f t="shared" ref="E4:E9" si="0">D4*C4*10^6</f>
        <v>39042354430.975998</v>
      </c>
      <c r="F4" s="183"/>
      <c r="G4" s="183"/>
      <c r="H4" s="183"/>
      <c r="I4" s="183"/>
      <c r="J4" s="183"/>
      <c r="K4" s="183"/>
      <c r="L4" s="183"/>
      <c r="M4" s="183"/>
      <c r="N4" s="183"/>
      <c r="O4" s="183"/>
      <c r="P4" s="183"/>
      <c r="Q4" s="183"/>
    </row>
    <row r="5" spans="1:17">
      <c r="A5" s="183"/>
      <c r="B5" s="293" t="s">
        <v>152</v>
      </c>
      <c r="C5" s="294">
        <v>27238</v>
      </c>
      <c r="D5" s="295">
        <f>'CO2 Values'!D32</f>
        <v>0.51482691999999997</v>
      </c>
      <c r="E5" s="295">
        <f t="shared" si="0"/>
        <v>14022855646.959999</v>
      </c>
      <c r="F5" s="183"/>
      <c r="G5" s="183"/>
      <c r="H5" s="183"/>
      <c r="I5" s="183"/>
      <c r="J5" s="183"/>
      <c r="K5" s="183"/>
      <c r="L5" s="183"/>
      <c r="M5" s="183"/>
      <c r="N5" s="183"/>
      <c r="O5" s="183"/>
      <c r="P5" s="183"/>
      <c r="Q5" s="183"/>
    </row>
    <row r="6" spans="1:17">
      <c r="A6" s="183"/>
      <c r="B6" s="293" t="s">
        <v>154</v>
      </c>
      <c r="C6" s="294">
        <v>2319</v>
      </c>
      <c r="D6" s="296">
        <v>0</v>
      </c>
      <c r="E6" s="295">
        <f t="shared" si="0"/>
        <v>0</v>
      </c>
      <c r="F6" s="183"/>
      <c r="G6" s="183"/>
      <c r="H6" s="183"/>
      <c r="I6" s="183"/>
      <c r="J6" s="183"/>
      <c r="K6" s="183"/>
      <c r="L6" s="183"/>
      <c r="M6" s="183"/>
      <c r="N6" s="183"/>
      <c r="O6" s="183"/>
      <c r="P6" s="183"/>
      <c r="Q6" s="183"/>
    </row>
    <row r="7" spans="1:17">
      <c r="A7" s="183"/>
      <c r="B7" s="293" t="s">
        <v>165</v>
      </c>
      <c r="C7" s="294">
        <v>2640</v>
      </c>
      <c r="D7" s="296">
        <v>0</v>
      </c>
      <c r="E7" s="295">
        <f t="shared" si="0"/>
        <v>0</v>
      </c>
      <c r="F7" s="183"/>
      <c r="G7" s="183"/>
      <c r="H7" s="183"/>
      <c r="I7" s="183"/>
      <c r="J7" s="183"/>
      <c r="K7" s="183"/>
      <c r="L7" s="183"/>
      <c r="M7" s="183"/>
      <c r="N7" s="183"/>
      <c r="O7" s="183"/>
      <c r="P7" s="183"/>
      <c r="Q7" s="183"/>
    </row>
    <row r="8" spans="1:17">
      <c r="A8" s="183"/>
      <c r="B8" s="293" t="s">
        <v>166</v>
      </c>
      <c r="C8" s="294">
        <v>2089</v>
      </c>
      <c r="D8" s="296">
        <v>0</v>
      </c>
      <c r="E8" s="295">
        <f t="shared" si="0"/>
        <v>0</v>
      </c>
      <c r="F8" s="183"/>
      <c r="G8" s="183"/>
      <c r="H8" s="183"/>
      <c r="I8" s="183"/>
      <c r="J8" s="183"/>
      <c r="K8" s="183"/>
      <c r="L8" s="183"/>
      <c r="M8" s="183"/>
      <c r="N8" s="183"/>
      <c r="O8" s="183"/>
      <c r="P8" s="183"/>
      <c r="Q8" s="183"/>
    </row>
    <row r="9" spans="1:17">
      <c r="A9" s="183"/>
      <c r="B9" s="293" t="s">
        <v>176</v>
      </c>
      <c r="C9" s="297">
        <v>359</v>
      </c>
      <c r="D9" s="296">
        <v>0</v>
      </c>
      <c r="E9" s="295">
        <f t="shared" si="0"/>
        <v>0</v>
      </c>
      <c r="F9" s="183"/>
      <c r="G9" s="183"/>
      <c r="H9" s="183"/>
      <c r="I9" s="183"/>
      <c r="J9" s="183"/>
      <c r="K9" s="183"/>
      <c r="L9" s="183"/>
      <c r="M9" s="183"/>
      <c r="N9" s="183"/>
      <c r="O9" s="183"/>
      <c r="P9" s="183"/>
      <c r="Q9" s="183"/>
    </row>
    <row r="10" spans="1:17">
      <c r="A10" s="183"/>
      <c r="B10" s="298" t="s">
        <v>183</v>
      </c>
      <c r="C10" s="299">
        <v>72918</v>
      </c>
      <c r="D10" s="295"/>
      <c r="E10" s="295">
        <f>SUM(E4:E9)</f>
        <v>53065210077.935997</v>
      </c>
      <c r="F10" s="183"/>
      <c r="G10" s="183"/>
      <c r="H10" s="183"/>
      <c r="I10" s="183"/>
      <c r="J10" s="183"/>
      <c r="K10" s="183"/>
      <c r="L10" s="183"/>
      <c r="M10" s="183"/>
      <c r="N10" s="183"/>
      <c r="O10" s="183"/>
      <c r="P10" s="183"/>
      <c r="Q10" s="183"/>
    </row>
    <row r="11" spans="1:17" ht="30.75" customHeight="1">
      <c r="A11" s="183"/>
      <c r="B11" s="300" t="s">
        <v>185</v>
      </c>
      <c r="C11" s="301" t="s">
        <v>186</v>
      </c>
      <c r="D11" s="302" t="s">
        <v>187</v>
      </c>
      <c r="E11" s="303"/>
      <c r="F11" s="183"/>
      <c r="G11" s="183"/>
      <c r="H11" s="183"/>
      <c r="I11" s="183"/>
      <c r="J11" s="183"/>
      <c r="K11" s="183"/>
      <c r="L11" s="183"/>
      <c r="M11" s="183"/>
      <c r="N11" s="183"/>
      <c r="O11" s="183"/>
      <c r="P11" s="183"/>
      <c r="Q11" s="183"/>
    </row>
    <row r="12" spans="1:17" s="184" customFormat="1">
      <c r="A12" s="183"/>
      <c r="B12" s="183"/>
      <c r="C12" s="183"/>
      <c r="D12" s="183"/>
      <c r="E12" s="183"/>
      <c r="F12" s="183"/>
      <c r="G12" s="183"/>
      <c r="H12" s="183"/>
      <c r="I12" s="183"/>
      <c r="J12" s="183"/>
      <c r="K12" s="183"/>
      <c r="L12" s="183"/>
      <c r="M12" s="183"/>
      <c r="N12" s="183"/>
      <c r="O12" s="183"/>
      <c r="P12" s="183"/>
      <c r="Q12" s="183"/>
    </row>
    <row r="13" spans="1:17" s="184" customFormat="1">
      <c r="A13" s="183"/>
      <c r="B13" s="183"/>
      <c r="C13" s="183"/>
      <c r="D13" s="183"/>
      <c r="E13" s="183"/>
      <c r="F13" s="183"/>
      <c r="G13" s="183"/>
      <c r="H13" s="183"/>
      <c r="I13" s="183"/>
      <c r="J13" s="183"/>
      <c r="K13" s="183"/>
      <c r="L13" s="183"/>
      <c r="M13" s="183"/>
      <c r="N13" s="183"/>
      <c r="O13" s="183"/>
      <c r="P13" s="183"/>
      <c r="Q13" s="183"/>
    </row>
    <row r="14" spans="1:17" s="184" customFormat="1">
      <c r="A14" s="183"/>
      <c r="B14" s="190"/>
      <c r="C14" s="289" t="s">
        <v>188</v>
      </c>
      <c r="D14" s="190"/>
      <c r="E14" s="190"/>
      <c r="F14" s="183"/>
      <c r="G14" s="183"/>
      <c r="H14" s="183"/>
      <c r="I14" s="183"/>
      <c r="J14" s="183"/>
      <c r="K14" s="183"/>
      <c r="L14" s="183"/>
      <c r="M14" s="183"/>
      <c r="N14" s="183"/>
      <c r="O14" s="183"/>
      <c r="P14" s="183"/>
      <c r="Q14" s="183"/>
    </row>
    <row r="15" spans="1:17" s="184" customFormat="1">
      <c r="A15" s="183"/>
      <c r="B15" s="190"/>
      <c r="C15" s="290">
        <f>E10/C10/10^6</f>
        <v>0.72773814528560843</v>
      </c>
      <c r="D15" s="190"/>
      <c r="E15" s="190"/>
      <c r="F15" s="183"/>
      <c r="G15" s="183"/>
      <c r="H15" s="183"/>
      <c r="I15" s="183"/>
      <c r="J15" s="183"/>
      <c r="K15" s="183"/>
      <c r="L15" s="183"/>
      <c r="M15" s="183"/>
      <c r="N15" s="183"/>
      <c r="O15" s="183"/>
      <c r="P15" s="183"/>
      <c r="Q15" s="183"/>
    </row>
    <row r="16" spans="1:17" s="184" customFormat="1">
      <c r="A16" s="183"/>
      <c r="B16" s="183"/>
      <c r="C16" s="183"/>
      <c r="D16" s="183"/>
      <c r="E16" s="183"/>
      <c r="F16" s="183"/>
      <c r="G16" s="183"/>
      <c r="H16" s="183"/>
      <c r="I16" s="183"/>
      <c r="J16" s="183"/>
      <c r="K16" s="183"/>
      <c r="L16" s="183"/>
      <c r="M16" s="183"/>
      <c r="N16" s="183"/>
      <c r="O16" s="183"/>
      <c r="P16" s="183"/>
      <c r="Q16" s="183"/>
    </row>
    <row r="17" spans="1:17" s="184" customFormat="1">
      <c r="A17" s="183"/>
      <c r="B17" s="183"/>
      <c r="C17" s="183"/>
      <c r="D17" s="183"/>
      <c r="E17" s="183"/>
      <c r="F17" s="183"/>
      <c r="G17" s="183"/>
      <c r="H17" s="183"/>
      <c r="I17" s="183"/>
      <c r="J17" s="183"/>
      <c r="K17" s="183"/>
      <c r="L17" s="183"/>
      <c r="M17" s="183"/>
      <c r="N17" s="183"/>
      <c r="O17" s="183"/>
      <c r="P17" s="183"/>
      <c r="Q17" s="183"/>
    </row>
    <row r="18" spans="1:17" ht="15.75" customHeight="1">
      <c r="A18" s="183"/>
      <c r="B18" s="190" t="s">
        <v>191</v>
      </c>
      <c r="C18" s="190" t="s">
        <v>186</v>
      </c>
      <c r="D18" s="190"/>
      <c r="E18" s="190"/>
      <c r="F18" s="183"/>
      <c r="G18" s="183"/>
      <c r="H18" s="183"/>
      <c r="I18" s="183"/>
      <c r="J18" s="183"/>
      <c r="K18" s="183"/>
      <c r="L18" s="183"/>
      <c r="M18" s="183"/>
      <c r="N18" s="183"/>
      <c r="O18" s="183"/>
      <c r="P18" s="183"/>
      <c r="Q18" s="183"/>
    </row>
    <row r="19" spans="1:17" ht="30" customHeight="1">
      <c r="A19" s="183"/>
      <c r="B19" s="291" t="s">
        <v>192</v>
      </c>
      <c r="C19" s="291" t="s">
        <v>193</v>
      </c>
      <c r="D19" s="190"/>
      <c r="E19" s="190"/>
      <c r="F19" s="183"/>
      <c r="G19" s="183"/>
      <c r="H19" s="183"/>
      <c r="I19" s="183"/>
      <c r="J19" s="183"/>
      <c r="K19" s="183"/>
      <c r="L19" s="183"/>
      <c r="M19" s="183"/>
      <c r="N19" s="183"/>
      <c r="O19" s="183"/>
      <c r="P19" s="183"/>
      <c r="Q19" s="183"/>
    </row>
    <row r="20" spans="1:17">
      <c r="A20" s="183"/>
      <c r="B20" s="293" t="s">
        <v>71</v>
      </c>
      <c r="C20" s="294">
        <v>5690</v>
      </c>
      <c r="D20" s="190"/>
      <c r="E20" s="190"/>
      <c r="F20" s="183"/>
      <c r="G20" s="183"/>
      <c r="H20" s="183"/>
      <c r="I20" s="183"/>
      <c r="J20" s="183"/>
      <c r="K20" s="183"/>
      <c r="L20" s="183"/>
      <c r="M20" s="183"/>
      <c r="N20" s="183"/>
      <c r="O20" s="183"/>
      <c r="P20" s="183"/>
      <c r="Q20" s="183"/>
    </row>
    <row r="21" spans="1:17">
      <c r="A21" s="183"/>
      <c r="B21" s="293" t="s">
        <v>194</v>
      </c>
      <c r="C21" s="294">
        <v>5784</v>
      </c>
      <c r="D21" s="190"/>
      <c r="E21" s="190"/>
      <c r="F21" s="183"/>
      <c r="G21" s="183"/>
      <c r="H21" s="183"/>
      <c r="I21" s="183"/>
      <c r="J21" s="183"/>
      <c r="K21" s="183"/>
      <c r="L21" s="183"/>
      <c r="M21" s="183"/>
      <c r="N21" s="183"/>
      <c r="O21" s="183"/>
      <c r="P21" s="183"/>
      <c r="Q21" s="183"/>
    </row>
    <row r="22" spans="1:17">
      <c r="A22" s="183"/>
      <c r="B22" s="293" t="s">
        <v>154</v>
      </c>
      <c r="C22" s="297">
        <v>900</v>
      </c>
      <c r="D22" s="190"/>
      <c r="E22" s="190"/>
      <c r="F22" s="183"/>
      <c r="G22" s="183"/>
      <c r="H22" s="183"/>
      <c r="I22" s="183"/>
      <c r="J22" s="183"/>
      <c r="K22" s="183"/>
      <c r="L22" s="183"/>
      <c r="M22" s="183"/>
      <c r="N22" s="183"/>
      <c r="O22" s="183"/>
      <c r="P22" s="183"/>
      <c r="Q22" s="183"/>
    </row>
    <row r="23" spans="1:17">
      <c r="A23" s="183"/>
      <c r="B23" s="293" t="s">
        <v>165</v>
      </c>
      <c r="C23" s="294">
        <v>1113</v>
      </c>
      <c r="D23" s="190"/>
      <c r="E23" s="190"/>
      <c r="F23" s="183"/>
      <c r="G23" s="183"/>
      <c r="H23" s="183"/>
      <c r="I23" s="183"/>
      <c r="J23" s="183"/>
      <c r="K23" s="183"/>
      <c r="L23" s="183"/>
      <c r="M23" s="183"/>
      <c r="N23" s="183"/>
      <c r="O23" s="183"/>
      <c r="P23" s="183"/>
      <c r="Q23" s="183"/>
    </row>
    <row r="24" spans="1:17">
      <c r="A24" s="183"/>
      <c r="B24" s="293" t="s">
        <v>166</v>
      </c>
      <c r="C24" s="297">
        <v>418</v>
      </c>
      <c r="D24" s="190"/>
      <c r="E24" s="190"/>
      <c r="F24" s="183"/>
      <c r="G24" s="183"/>
      <c r="H24" s="183"/>
      <c r="I24" s="183"/>
      <c r="J24" s="183"/>
      <c r="K24" s="183"/>
      <c r="L24" s="183"/>
      <c r="M24" s="183"/>
      <c r="N24" s="183"/>
      <c r="O24" s="183"/>
      <c r="P24" s="183"/>
      <c r="Q24" s="183"/>
    </row>
    <row r="25" spans="1:17">
      <c r="A25" s="183"/>
      <c r="B25" s="293" t="s">
        <v>195</v>
      </c>
      <c r="C25" s="297">
        <v>86</v>
      </c>
      <c r="D25" s="190"/>
      <c r="E25" s="190"/>
      <c r="F25" s="183"/>
      <c r="G25" s="183"/>
      <c r="H25" s="183"/>
      <c r="I25" s="183"/>
      <c r="J25" s="183"/>
      <c r="K25" s="183"/>
      <c r="L25" s="183"/>
      <c r="M25" s="183"/>
      <c r="N25" s="183"/>
      <c r="O25" s="183"/>
      <c r="P25" s="183"/>
      <c r="Q25" s="183"/>
    </row>
    <row r="26" spans="1:17">
      <c r="A26" s="183"/>
      <c r="B26" s="293" t="s">
        <v>196</v>
      </c>
      <c r="C26" s="297">
        <v>12</v>
      </c>
      <c r="D26" s="190"/>
      <c r="E26" s="190"/>
      <c r="F26" s="183"/>
      <c r="G26" s="183"/>
      <c r="H26" s="183"/>
      <c r="I26" s="183"/>
      <c r="J26" s="183"/>
      <c r="K26" s="183"/>
      <c r="L26" s="183"/>
      <c r="M26" s="183"/>
      <c r="N26" s="183"/>
      <c r="O26" s="183"/>
      <c r="P26" s="183"/>
      <c r="Q26" s="183"/>
    </row>
    <row r="27" spans="1:17">
      <c r="A27" s="183"/>
      <c r="B27" s="298" t="s">
        <v>197</v>
      </c>
      <c r="C27" s="299">
        <v>14003</v>
      </c>
      <c r="D27" s="190"/>
      <c r="E27" s="190"/>
      <c r="F27" s="183"/>
      <c r="G27" s="183"/>
      <c r="H27" s="183"/>
      <c r="I27" s="183"/>
      <c r="J27" s="183"/>
      <c r="K27" s="183"/>
      <c r="L27" s="183"/>
      <c r="M27" s="183"/>
      <c r="N27" s="183"/>
      <c r="O27" s="183"/>
      <c r="P27" s="183"/>
      <c r="Q27" s="183"/>
    </row>
    <row r="28" spans="1:17" ht="30" customHeight="1">
      <c r="A28" s="183"/>
      <c r="B28" s="304" t="s">
        <v>198</v>
      </c>
      <c r="C28" s="305"/>
      <c r="D28" s="190"/>
      <c r="E28" s="190"/>
      <c r="F28" s="183"/>
      <c r="G28" s="183"/>
      <c r="H28" s="183"/>
      <c r="I28" s="183"/>
      <c r="J28" s="183"/>
      <c r="K28" s="183"/>
      <c r="L28" s="183"/>
      <c r="M28" s="183"/>
      <c r="N28" s="183"/>
      <c r="O28" s="183"/>
      <c r="P28" s="183"/>
      <c r="Q28" s="183"/>
    </row>
    <row r="29" spans="1:17">
      <c r="A29" s="183"/>
      <c r="B29" s="306"/>
      <c r="C29" s="307"/>
      <c r="D29" s="190"/>
      <c r="E29" s="190"/>
      <c r="F29" s="183"/>
      <c r="G29" s="183"/>
      <c r="H29" s="183"/>
      <c r="I29" s="183"/>
      <c r="J29" s="183"/>
      <c r="K29" s="183"/>
      <c r="L29" s="183"/>
      <c r="M29" s="183"/>
      <c r="N29" s="183"/>
      <c r="O29" s="183"/>
      <c r="P29" s="183"/>
      <c r="Q29" s="183"/>
    </row>
    <row r="30" spans="1:17" ht="30" customHeight="1">
      <c r="A30" s="183"/>
      <c r="B30" s="293" t="s">
        <v>205</v>
      </c>
      <c r="C30" s="297">
        <v>750</v>
      </c>
      <c r="D30" s="190"/>
      <c r="E30" s="190"/>
      <c r="F30" s="183"/>
      <c r="G30" s="183"/>
      <c r="H30" s="183"/>
      <c r="I30" s="183"/>
      <c r="J30" s="183"/>
      <c r="K30" s="183"/>
      <c r="L30" s="183"/>
      <c r="M30" s="183"/>
      <c r="N30" s="183"/>
      <c r="O30" s="183"/>
      <c r="P30" s="183"/>
      <c r="Q30" s="183"/>
    </row>
    <row r="31" spans="1:17">
      <c r="A31" s="183"/>
      <c r="B31" s="293" t="s">
        <v>206</v>
      </c>
      <c r="C31" s="297">
        <v>150</v>
      </c>
      <c r="D31" s="190"/>
      <c r="E31" s="190"/>
      <c r="F31" s="183"/>
      <c r="G31" s="183"/>
      <c r="H31" s="183"/>
      <c r="I31" s="183"/>
      <c r="J31" s="183"/>
      <c r="K31" s="183"/>
      <c r="L31" s="183"/>
      <c r="M31" s="183"/>
      <c r="N31" s="183"/>
      <c r="O31" s="183"/>
      <c r="P31" s="183"/>
      <c r="Q31" s="183"/>
    </row>
    <row r="32" spans="1:17" ht="15" customHeight="1">
      <c r="A32" s="183"/>
      <c r="B32" s="298" t="s">
        <v>197</v>
      </c>
      <c r="C32" s="308">
        <v>900</v>
      </c>
      <c r="D32" s="190"/>
      <c r="E32" s="190"/>
      <c r="F32" s="183"/>
      <c r="G32" s="183"/>
      <c r="H32" s="183"/>
      <c r="I32" s="183"/>
      <c r="J32" s="183"/>
      <c r="K32" s="183"/>
      <c r="L32" s="183"/>
      <c r="M32" s="183"/>
      <c r="N32" s="183"/>
      <c r="O32" s="183"/>
      <c r="P32" s="183"/>
      <c r="Q32" s="183"/>
    </row>
    <row r="33" spans="1:17" ht="15.75" customHeight="1">
      <c r="A33" s="183"/>
      <c r="B33" s="309" t="s">
        <v>221</v>
      </c>
      <c r="C33" s="310">
        <v>14903</v>
      </c>
      <c r="D33" s="190"/>
      <c r="E33" s="190"/>
      <c r="F33" s="183"/>
      <c r="G33" s="183"/>
      <c r="H33" s="183"/>
      <c r="I33" s="183"/>
      <c r="J33" s="183"/>
      <c r="K33" s="183"/>
      <c r="L33" s="183"/>
      <c r="M33" s="183"/>
      <c r="N33" s="183"/>
      <c r="O33" s="183"/>
      <c r="P33" s="183"/>
      <c r="Q33" s="183"/>
    </row>
    <row r="34" spans="1:17">
      <c r="A34" s="183"/>
      <c r="B34" s="183"/>
      <c r="C34" s="183"/>
      <c r="D34" s="183"/>
      <c r="E34" s="183"/>
      <c r="F34" s="183"/>
      <c r="G34" s="183"/>
      <c r="H34" s="183"/>
      <c r="I34" s="183"/>
      <c r="J34" s="183"/>
      <c r="K34" s="183"/>
      <c r="L34" s="183"/>
      <c r="M34" s="183"/>
      <c r="N34" s="183"/>
      <c r="O34" s="183"/>
      <c r="P34" s="183"/>
      <c r="Q34" s="183"/>
    </row>
    <row r="35" spans="1:17">
      <c r="A35" s="183"/>
      <c r="B35" s="183"/>
      <c r="C35" s="183"/>
      <c r="D35" s="183"/>
      <c r="E35" s="183"/>
      <c r="F35" s="183"/>
      <c r="G35" s="183"/>
      <c r="H35" s="183"/>
      <c r="I35" s="183"/>
      <c r="J35" s="183"/>
      <c r="K35" s="183"/>
      <c r="L35" s="183"/>
      <c r="M35" s="183"/>
      <c r="N35" s="183"/>
      <c r="O35" s="183"/>
      <c r="P35" s="183"/>
      <c r="Q35" s="183"/>
    </row>
    <row r="36" spans="1:17">
      <c r="A36" s="183"/>
      <c r="B36" s="318" t="s">
        <v>236</v>
      </c>
      <c r="C36" s="318"/>
      <c r="D36" s="183" t="s">
        <v>237</v>
      </c>
      <c r="E36" s="183"/>
      <c r="F36" s="183"/>
      <c r="G36" s="183"/>
      <c r="H36" s="183"/>
      <c r="I36" s="183"/>
      <c r="J36" s="183"/>
      <c r="K36" s="183"/>
      <c r="L36" s="183"/>
      <c r="M36" s="183"/>
      <c r="N36" s="183"/>
      <c r="O36" s="183"/>
      <c r="P36" s="183"/>
      <c r="Q36" s="183"/>
    </row>
    <row r="37" spans="1:17">
      <c r="A37" s="183"/>
      <c r="B37" s="183"/>
      <c r="C37" s="183"/>
      <c r="D37" s="183"/>
      <c r="E37" s="183"/>
      <c r="F37" s="183"/>
      <c r="G37" s="183"/>
      <c r="H37" s="183"/>
      <c r="I37" s="183"/>
      <c r="J37" s="183"/>
      <c r="K37" s="183"/>
      <c r="L37" s="183"/>
      <c r="M37" s="183"/>
      <c r="N37" s="183"/>
      <c r="O37" s="183"/>
      <c r="P37" s="183"/>
      <c r="Q37" s="183"/>
    </row>
    <row r="38" spans="1:17" ht="15" customHeight="1">
      <c r="A38" s="183"/>
      <c r="B38" s="392" t="s">
        <v>238</v>
      </c>
      <c r="C38" s="388"/>
      <c r="D38" s="311" t="s">
        <v>249</v>
      </c>
      <c r="E38" s="311" t="s">
        <v>250</v>
      </c>
      <c r="F38" s="311" t="s">
        <v>251</v>
      </c>
      <c r="G38" s="311" t="s">
        <v>252</v>
      </c>
      <c r="H38" s="311" t="s">
        <v>253</v>
      </c>
      <c r="I38" s="311" t="s">
        <v>254</v>
      </c>
      <c r="J38" s="311" t="s">
        <v>255</v>
      </c>
      <c r="K38" s="311" t="s">
        <v>256</v>
      </c>
      <c r="L38" s="311" t="s">
        <v>257</v>
      </c>
      <c r="M38" s="311" t="s">
        <v>258</v>
      </c>
      <c r="N38" s="311" t="s">
        <v>259</v>
      </c>
      <c r="O38" s="311" t="s">
        <v>260</v>
      </c>
      <c r="P38" s="311" t="s">
        <v>261</v>
      </c>
      <c r="Q38" s="311" t="s">
        <v>262</v>
      </c>
    </row>
    <row r="39" spans="1:17" ht="15" customHeight="1">
      <c r="A39" s="183"/>
      <c r="B39" s="393"/>
      <c r="C39" s="388"/>
      <c r="D39" s="394" t="s">
        <v>264</v>
      </c>
      <c r="E39" s="388"/>
      <c r="F39" s="388"/>
      <c r="G39" s="388"/>
      <c r="H39" s="388"/>
      <c r="I39" s="388"/>
      <c r="J39" s="388"/>
      <c r="K39" s="388"/>
      <c r="L39" s="388"/>
      <c r="M39" s="388"/>
      <c r="N39" s="388"/>
      <c r="O39" s="388"/>
      <c r="P39" s="388"/>
      <c r="Q39" s="388"/>
    </row>
    <row r="40" spans="1:17" ht="15" customHeight="1">
      <c r="A40" s="183"/>
      <c r="B40" s="387" t="s">
        <v>288</v>
      </c>
      <c r="C40" s="388"/>
      <c r="D40" s="312">
        <v>75077</v>
      </c>
      <c r="E40" s="312">
        <v>6781</v>
      </c>
      <c r="F40" s="313">
        <v>0</v>
      </c>
      <c r="G40" s="313">
        <v>374</v>
      </c>
      <c r="H40" s="313">
        <v>947</v>
      </c>
      <c r="I40" s="312">
        <v>38438</v>
      </c>
      <c r="J40" s="312">
        <v>8406</v>
      </c>
      <c r="K40" s="312">
        <v>5054</v>
      </c>
      <c r="L40" s="313">
        <v>856</v>
      </c>
      <c r="M40" s="313">
        <v>883</v>
      </c>
      <c r="N40" s="312">
        <v>13205</v>
      </c>
      <c r="O40" s="313">
        <v>78</v>
      </c>
      <c r="P40" s="313">
        <v>56</v>
      </c>
      <c r="Q40" s="313">
        <v>0</v>
      </c>
    </row>
    <row r="41" spans="1:17" ht="15" customHeight="1">
      <c r="A41" s="183"/>
      <c r="B41" s="387" t="s">
        <v>290</v>
      </c>
      <c r="C41" s="388"/>
      <c r="D41" s="312">
        <v>3973</v>
      </c>
      <c r="E41" s="313">
        <v>54</v>
      </c>
      <c r="F41" s="313">
        <v>152</v>
      </c>
      <c r="G41" s="313">
        <v>218</v>
      </c>
      <c r="H41" s="313">
        <v>249</v>
      </c>
      <c r="I41" s="313">
        <v>658</v>
      </c>
      <c r="J41" s="312">
        <v>1457</v>
      </c>
      <c r="K41" s="313">
        <v>104</v>
      </c>
      <c r="L41" s="313">
        <v>171</v>
      </c>
      <c r="M41" s="313">
        <v>806</v>
      </c>
      <c r="N41" s="313">
        <v>104</v>
      </c>
      <c r="O41" s="313">
        <v>1</v>
      </c>
      <c r="P41" s="313">
        <v>0</v>
      </c>
      <c r="Q41" s="313">
        <v>0</v>
      </c>
    </row>
    <row r="42" spans="1:17" ht="15" customHeight="1">
      <c r="A42" s="183"/>
      <c r="B42" s="387" t="s">
        <v>291</v>
      </c>
      <c r="C42" s="388"/>
      <c r="D42" s="313">
        <v>20</v>
      </c>
      <c r="E42" s="313">
        <v>0</v>
      </c>
      <c r="F42" s="313">
        <v>0</v>
      </c>
      <c r="G42" s="313">
        <v>20</v>
      </c>
      <c r="H42" s="313">
        <v>0</v>
      </c>
      <c r="I42" s="313">
        <v>0</v>
      </c>
      <c r="J42" s="313">
        <v>0</v>
      </c>
      <c r="K42" s="313">
        <v>0</v>
      </c>
      <c r="L42" s="313">
        <v>0</v>
      </c>
      <c r="M42" s="313">
        <v>0</v>
      </c>
      <c r="N42" s="313">
        <v>0</v>
      </c>
      <c r="O42" s="313">
        <v>0</v>
      </c>
      <c r="P42" s="313">
        <v>0</v>
      </c>
      <c r="Q42" s="313">
        <v>0</v>
      </c>
    </row>
    <row r="43" spans="1:17" ht="15" customHeight="1">
      <c r="A43" s="183"/>
      <c r="B43" s="387" t="s">
        <v>292</v>
      </c>
      <c r="C43" s="388"/>
      <c r="D43" s="313">
        <v>108</v>
      </c>
      <c r="E43" s="313">
        <v>0</v>
      </c>
      <c r="F43" s="313">
        <v>0</v>
      </c>
      <c r="G43" s="313">
        <v>0</v>
      </c>
      <c r="H43" s="313">
        <v>0</v>
      </c>
      <c r="I43" s="313">
        <v>0</v>
      </c>
      <c r="J43" s="313">
        <v>108</v>
      </c>
      <c r="K43" s="313">
        <v>0</v>
      </c>
      <c r="L43" s="313">
        <v>0</v>
      </c>
      <c r="M43" s="313">
        <v>0</v>
      </c>
      <c r="N43" s="313">
        <v>0</v>
      </c>
      <c r="O43" s="313">
        <v>0</v>
      </c>
      <c r="P43" s="313">
        <v>0</v>
      </c>
      <c r="Q43" s="313">
        <v>0</v>
      </c>
    </row>
    <row r="44" spans="1:17" ht="15" customHeight="1">
      <c r="A44" s="183"/>
      <c r="B44" s="387" t="s">
        <v>293</v>
      </c>
      <c r="C44" s="388"/>
      <c r="D44" s="312">
        <v>51365</v>
      </c>
      <c r="E44" s="313">
        <v>584</v>
      </c>
      <c r="F44" s="313">
        <v>117</v>
      </c>
      <c r="G44" s="312">
        <v>2006</v>
      </c>
      <c r="H44" s="312">
        <v>2849</v>
      </c>
      <c r="I44" s="312">
        <v>3018</v>
      </c>
      <c r="J44" s="312">
        <v>25516</v>
      </c>
      <c r="K44" s="313">
        <v>501</v>
      </c>
      <c r="L44" s="312">
        <v>3159</v>
      </c>
      <c r="M44" s="312">
        <v>11107</v>
      </c>
      <c r="N44" s="312">
        <v>2291</v>
      </c>
      <c r="O44" s="313">
        <v>33</v>
      </c>
      <c r="P44" s="313">
        <v>127</v>
      </c>
      <c r="Q44" s="313">
        <v>54</v>
      </c>
    </row>
    <row r="45" spans="1:17">
      <c r="A45" s="183"/>
      <c r="B45" s="313"/>
      <c r="C45" s="314" t="s">
        <v>294</v>
      </c>
      <c r="D45" s="312">
        <v>25491</v>
      </c>
      <c r="E45" s="313">
        <v>490</v>
      </c>
      <c r="F45" s="313">
        <v>67</v>
      </c>
      <c r="G45" s="312">
        <v>1686</v>
      </c>
      <c r="H45" s="312">
        <v>2068</v>
      </c>
      <c r="I45" s="313">
        <v>959</v>
      </c>
      <c r="J45" s="312">
        <v>9101</v>
      </c>
      <c r="K45" s="313">
        <v>250</v>
      </c>
      <c r="L45" s="312">
        <v>2173</v>
      </c>
      <c r="M45" s="312">
        <v>7780</v>
      </c>
      <c r="N45" s="313">
        <v>897</v>
      </c>
      <c r="O45" s="313">
        <v>0</v>
      </c>
      <c r="P45" s="313">
        <v>0</v>
      </c>
      <c r="Q45" s="313">
        <v>0</v>
      </c>
    </row>
    <row r="46" spans="1:17">
      <c r="A46" s="183"/>
      <c r="B46" s="313"/>
      <c r="C46" s="314" t="s">
        <v>295</v>
      </c>
      <c r="D46" s="312">
        <v>12665</v>
      </c>
      <c r="E46" s="313">
        <v>0</v>
      </c>
      <c r="F46" s="313">
        <v>0</v>
      </c>
      <c r="G46" s="313">
        <v>0</v>
      </c>
      <c r="H46" s="315" t="s">
        <v>296</v>
      </c>
      <c r="I46" s="315" t="s">
        <v>301</v>
      </c>
      <c r="J46" s="312">
        <v>11990</v>
      </c>
      <c r="K46" s="313">
        <v>0</v>
      </c>
      <c r="L46" s="313">
        <v>0</v>
      </c>
      <c r="M46" s="313">
        <v>0</v>
      </c>
      <c r="N46" s="313">
        <v>0</v>
      </c>
      <c r="O46" s="313">
        <v>0</v>
      </c>
      <c r="P46" s="313">
        <v>0</v>
      </c>
      <c r="Q46" s="313">
        <v>0</v>
      </c>
    </row>
    <row r="47" spans="1:17">
      <c r="A47" s="183"/>
      <c r="B47" s="313"/>
      <c r="C47" s="314" t="s">
        <v>305</v>
      </c>
      <c r="D47" s="312">
        <v>12406</v>
      </c>
      <c r="E47" s="313">
        <v>43</v>
      </c>
      <c r="F47" s="313">
        <v>50</v>
      </c>
      <c r="G47" s="313">
        <v>320</v>
      </c>
      <c r="H47" s="313">
        <v>779</v>
      </c>
      <c r="I47" s="312">
        <v>1252</v>
      </c>
      <c r="J47" s="312">
        <v>4340</v>
      </c>
      <c r="K47" s="313">
        <v>241</v>
      </c>
      <c r="L47" s="313">
        <v>981</v>
      </c>
      <c r="M47" s="312">
        <v>3037</v>
      </c>
      <c r="N47" s="312">
        <v>1343</v>
      </c>
      <c r="O47" s="313">
        <v>0</v>
      </c>
      <c r="P47" s="313">
        <v>19</v>
      </c>
      <c r="Q47" s="313">
        <v>0</v>
      </c>
    </row>
    <row r="48" spans="1:17">
      <c r="A48" s="183"/>
      <c r="B48" s="313"/>
      <c r="C48" s="314" t="s">
        <v>306</v>
      </c>
      <c r="D48" s="313">
        <v>803</v>
      </c>
      <c r="E48" s="313">
        <v>51</v>
      </c>
      <c r="F48" s="313">
        <v>0</v>
      </c>
      <c r="G48" s="313">
        <v>0</v>
      </c>
      <c r="H48" s="313">
        <v>3</v>
      </c>
      <c r="I48" s="313">
        <v>131</v>
      </c>
      <c r="J48" s="313">
        <v>85</v>
      </c>
      <c r="K48" s="313">
        <v>10</v>
      </c>
      <c r="L48" s="313">
        <v>5</v>
      </c>
      <c r="M48" s="313">
        <v>271</v>
      </c>
      <c r="N48" s="313">
        <v>51</v>
      </c>
      <c r="O48" s="313">
        <v>33</v>
      </c>
      <c r="P48" s="313">
        <v>107</v>
      </c>
      <c r="Q48" s="313">
        <v>54</v>
      </c>
    </row>
    <row r="49" spans="1:17" ht="15" customHeight="1">
      <c r="A49" s="183"/>
      <c r="B49" s="389" t="s">
        <v>307</v>
      </c>
      <c r="C49" s="388"/>
      <c r="D49" s="316">
        <v>130543</v>
      </c>
      <c r="E49" s="316">
        <v>7419</v>
      </c>
      <c r="F49" s="317">
        <v>269</v>
      </c>
      <c r="G49" s="316">
        <v>2618</v>
      </c>
      <c r="H49" s="316">
        <v>4045</v>
      </c>
      <c r="I49" s="316">
        <v>42115</v>
      </c>
      <c r="J49" s="316">
        <v>35487</v>
      </c>
      <c r="K49" s="316">
        <v>5659</v>
      </c>
      <c r="L49" s="316">
        <v>4186</v>
      </c>
      <c r="M49" s="316">
        <v>12796</v>
      </c>
      <c r="N49" s="316">
        <v>15600</v>
      </c>
      <c r="O49" s="317">
        <v>112</v>
      </c>
      <c r="P49" s="317">
        <v>183</v>
      </c>
      <c r="Q49" s="317">
        <v>54</v>
      </c>
    </row>
  </sheetData>
  <mergeCells count="10">
    <mergeCell ref="B44:C44"/>
    <mergeCell ref="B49:C49"/>
    <mergeCell ref="B1:O1"/>
    <mergeCell ref="B38:C38"/>
    <mergeCell ref="B42:C42"/>
    <mergeCell ref="B39:C39"/>
    <mergeCell ref="D39:Q39"/>
    <mergeCell ref="B40:C40"/>
    <mergeCell ref="B41:C41"/>
    <mergeCell ref="B43:C43"/>
  </mergeCells>
  <hyperlinks>
    <hyperlink ref="C11" r:id="rId1"/>
    <hyperlink ref="H46" r:id="rId2" location="cite_note-22"/>
    <hyperlink ref="I46" r:id="rId3" location="cite_note-23"/>
  </hyperlinks>
  <pageMargins left="0.7" right="0.7" top="0.75" bottom="0.75" header="0.3" footer="0.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showGridLines="0" topLeftCell="A10" workbookViewId="0">
      <selection activeCell="F31" sqref="F31"/>
    </sheetView>
  </sheetViews>
  <sheetFormatPr defaultColWidth="17.28515625" defaultRowHeight="15" customHeight="1"/>
  <cols>
    <col min="1" max="1" width="2.42578125" style="184" customWidth="1"/>
    <col min="2" max="2" width="11.42578125" customWidth="1"/>
    <col min="3" max="3" width="13.28515625" customWidth="1"/>
    <col min="4" max="4" width="12.140625" customWidth="1"/>
    <col min="5" max="7" width="11.42578125" customWidth="1"/>
    <col min="8" max="8" width="12.42578125" customWidth="1"/>
    <col min="9" max="9" width="15.140625" customWidth="1"/>
    <col min="10" max="10" width="11.42578125" customWidth="1"/>
    <col min="11" max="19" width="11.42578125" style="184" customWidth="1"/>
    <col min="20" max="20" width="11.42578125" customWidth="1"/>
  </cols>
  <sheetData>
    <row r="1" spans="1:20" s="184" customFormat="1" ht="12.75" customHeight="1">
      <c r="A1" s="319"/>
      <c r="B1" s="319"/>
      <c r="C1" s="319"/>
      <c r="D1" s="319"/>
      <c r="E1" s="319"/>
      <c r="F1" s="319"/>
      <c r="G1" s="319"/>
      <c r="H1" s="319"/>
      <c r="I1" s="319"/>
      <c r="J1" s="319"/>
      <c r="K1" s="319"/>
      <c r="L1" s="319"/>
      <c r="M1" s="319"/>
      <c r="N1" s="319"/>
      <c r="O1" s="319"/>
      <c r="P1" s="319"/>
      <c r="Q1" s="319"/>
      <c r="R1" s="320"/>
      <c r="S1" s="320"/>
      <c r="T1" s="320"/>
    </row>
    <row r="2" spans="1:20" ht="20.25" customHeight="1">
      <c r="A2" s="319"/>
      <c r="B2" s="28" t="s">
        <v>34</v>
      </c>
      <c r="C2" s="29"/>
      <c r="D2" s="29"/>
      <c r="E2" s="29"/>
      <c r="F2" s="29"/>
      <c r="G2" s="29"/>
      <c r="H2" s="29"/>
      <c r="I2" s="29"/>
      <c r="J2" s="29"/>
      <c r="K2" s="319"/>
      <c r="L2" s="319"/>
      <c r="M2" s="319"/>
      <c r="N2" s="319"/>
      <c r="O2" s="319"/>
      <c r="P2" s="319"/>
      <c r="Q2" s="319"/>
      <c r="R2" s="320"/>
      <c r="S2" s="320"/>
      <c r="T2" s="27"/>
    </row>
    <row r="3" spans="1:20" ht="12.75" customHeight="1">
      <c r="A3" s="319"/>
      <c r="B3" s="27"/>
      <c r="C3" s="27"/>
      <c r="D3" s="27"/>
      <c r="E3" s="27"/>
      <c r="F3" s="27"/>
      <c r="G3" s="27"/>
      <c r="H3" s="27"/>
      <c r="I3" s="27"/>
      <c r="J3" s="27"/>
      <c r="K3" s="319"/>
      <c r="L3" s="319"/>
      <c r="M3" s="319"/>
      <c r="N3" s="319"/>
      <c r="O3" s="319"/>
      <c r="P3" s="319"/>
      <c r="Q3" s="319"/>
      <c r="R3" s="320"/>
      <c r="S3" s="320"/>
      <c r="T3" s="27"/>
    </row>
    <row r="4" spans="1:20" ht="12.75" customHeight="1">
      <c r="A4" s="319"/>
      <c r="B4" s="41"/>
      <c r="C4" s="27" t="s">
        <v>63</v>
      </c>
      <c r="D4" s="27"/>
      <c r="E4" s="27"/>
      <c r="F4" s="27"/>
      <c r="G4" s="27"/>
      <c r="H4" s="27"/>
      <c r="I4" s="27"/>
      <c r="J4" s="27"/>
      <c r="K4" s="319"/>
      <c r="L4" s="319"/>
      <c r="M4" s="319"/>
      <c r="N4" s="319"/>
      <c r="O4" s="319"/>
      <c r="P4" s="319"/>
      <c r="Q4" s="319"/>
      <c r="R4" s="320"/>
      <c r="S4" s="320"/>
      <c r="T4" s="27"/>
    </row>
    <row r="5" spans="1:20" ht="12.75" customHeight="1">
      <c r="A5" s="319"/>
      <c r="B5" s="44"/>
      <c r="C5" s="27" t="s">
        <v>66</v>
      </c>
      <c r="D5" s="27"/>
      <c r="E5" s="27"/>
      <c r="F5" s="27"/>
      <c r="G5" s="27"/>
      <c r="H5" s="27"/>
      <c r="I5" s="27"/>
      <c r="J5" s="27"/>
      <c r="K5" s="319"/>
      <c r="L5" s="319"/>
      <c r="M5" s="319"/>
      <c r="N5" s="319"/>
      <c r="O5" s="319"/>
      <c r="P5" s="319"/>
      <c r="Q5" s="319"/>
      <c r="R5" s="320"/>
      <c r="S5" s="320"/>
      <c r="T5" s="27"/>
    </row>
    <row r="6" spans="1:20" ht="12.75" customHeight="1">
      <c r="A6" s="319"/>
      <c r="B6" s="27"/>
      <c r="C6" s="27"/>
      <c r="D6" s="27"/>
      <c r="E6" s="27"/>
      <c r="F6" s="27"/>
      <c r="G6" s="27"/>
      <c r="H6" s="27"/>
      <c r="I6" s="27"/>
      <c r="J6" s="27"/>
      <c r="K6" s="319"/>
      <c r="L6" s="319"/>
      <c r="M6" s="319"/>
      <c r="N6" s="319"/>
      <c r="O6" s="319"/>
      <c r="P6" s="319"/>
      <c r="Q6" s="319"/>
      <c r="R6" s="320"/>
      <c r="S6" s="320"/>
      <c r="T6" s="27"/>
    </row>
    <row r="7" spans="1:20" ht="15.75" customHeight="1">
      <c r="A7" s="319"/>
      <c r="B7" s="51" t="s">
        <v>67</v>
      </c>
      <c r="C7" s="27"/>
      <c r="D7" s="51" t="s">
        <v>84</v>
      </c>
      <c r="E7" s="27"/>
      <c r="F7" s="27"/>
      <c r="G7" s="27"/>
      <c r="H7" s="27"/>
      <c r="I7" s="27"/>
      <c r="J7" s="27"/>
      <c r="K7" s="319"/>
      <c r="L7" s="319"/>
      <c r="M7" s="319"/>
      <c r="N7" s="319"/>
      <c r="O7" s="319"/>
      <c r="P7" s="319"/>
      <c r="Q7" s="319"/>
      <c r="R7" s="320"/>
      <c r="S7" s="320"/>
      <c r="T7" s="27"/>
    </row>
    <row r="8" spans="1:20" ht="12.75" customHeight="1">
      <c r="A8" s="319"/>
      <c r="B8" s="27"/>
      <c r="C8" s="27"/>
      <c r="D8" s="27"/>
      <c r="E8" s="27"/>
      <c r="F8" s="27"/>
      <c r="G8" s="27"/>
      <c r="H8" s="27"/>
      <c r="I8" s="27"/>
      <c r="J8" s="27"/>
      <c r="K8" s="319"/>
      <c r="L8" s="319"/>
      <c r="M8" s="319"/>
      <c r="N8" s="319"/>
      <c r="O8" s="319"/>
      <c r="P8" s="319"/>
      <c r="Q8" s="319"/>
      <c r="R8" s="320"/>
      <c r="S8" s="320"/>
      <c r="T8" s="27"/>
    </row>
    <row r="9" spans="1:20" ht="17.25" customHeight="1">
      <c r="A9" s="321"/>
      <c r="B9" s="397" t="s">
        <v>103</v>
      </c>
      <c r="C9" s="398"/>
      <c r="D9" s="398"/>
      <c r="E9" s="398"/>
      <c r="F9" s="398"/>
      <c r="G9" s="398"/>
      <c r="H9" s="399"/>
      <c r="I9" s="69">
        <f>I10*I11*I12*I13</f>
        <v>1174665803143.3186</v>
      </c>
      <c r="J9" s="77" t="s">
        <v>182</v>
      </c>
      <c r="K9" s="321"/>
      <c r="L9" s="321"/>
      <c r="M9" s="321"/>
      <c r="N9" s="321"/>
      <c r="O9" s="321"/>
      <c r="P9" s="321"/>
      <c r="Q9" s="321"/>
      <c r="R9" s="322"/>
      <c r="S9" s="322"/>
      <c r="T9" s="77"/>
    </row>
    <row r="10" spans="1:20" ht="17.25" customHeight="1">
      <c r="A10" s="321"/>
      <c r="B10" s="397" t="s">
        <v>200</v>
      </c>
      <c r="C10" s="398"/>
      <c r="D10" s="398"/>
      <c r="E10" s="398"/>
      <c r="F10" s="398"/>
      <c r="G10" s="398"/>
      <c r="H10" s="399"/>
      <c r="I10" s="79">
        <f>Summary!C57</f>
        <v>6309000000</v>
      </c>
      <c r="J10" s="77" t="s">
        <v>201</v>
      </c>
      <c r="K10" s="321"/>
      <c r="L10" s="321"/>
      <c r="M10" s="321"/>
      <c r="N10" s="321"/>
      <c r="O10" s="321"/>
      <c r="P10" s="321"/>
      <c r="Q10" s="321"/>
      <c r="R10" s="322"/>
      <c r="S10" s="322"/>
      <c r="T10" s="77"/>
    </row>
    <row r="11" spans="1:20" ht="17.25" customHeight="1">
      <c r="A11" s="321"/>
      <c r="B11" s="397" t="s">
        <v>202</v>
      </c>
      <c r="C11" s="398"/>
      <c r="D11" s="398"/>
      <c r="E11" s="398"/>
      <c r="F11" s="398"/>
      <c r="G11" s="398"/>
      <c r="H11" s="399"/>
      <c r="I11" s="81">
        <f>Summary!C60</f>
        <v>0.2</v>
      </c>
      <c r="J11" s="77"/>
      <c r="K11" s="321"/>
      <c r="L11" s="321"/>
      <c r="M11" s="321"/>
      <c r="N11" s="321"/>
      <c r="O11" s="321"/>
      <c r="P11" s="321"/>
      <c r="Q11" s="321"/>
      <c r="R11" s="322"/>
      <c r="S11" s="322"/>
      <c r="T11" s="77"/>
    </row>
    <row r="12" spans="1:20" ht="17.25" customHeight="1">
      <c r="A12" s="321"/>
      <c r="B12" s="397" t="s">
        <v>203</v>
      </c>
      <c r="C12" s="398"/>
      <c r="D12" s="398"/>
      <c r="E12" s="398"/>
      <c r="F12" s="398"/>
      <c r="G12" s="398"/>
      <c r="H12" s="399"/>
      <c r="I12" s="93">
        <f>Summary!C64</f>
        <v>1242.0138888888887</v>
      </c>
      <c r="J12" s="77" t="s">
        <v>210</v>
      </c>
      <c r="K12" s="321"/>
      <c r="L12" s="321"/>
      <c r="M12" s="321"/>
      <c r="N12" s="321"/>
      <c r="O12" s="321"/>
      <c r="P12" s="321"/>
      <c r="Q12" s="321"/>
      <c r="R12" s="322"/>
      <c r="S12" s="322"/>
      <c r="T12" s="77"/>
    </row>
    <row r="13" spans="1:20" ht="17.25" customHeight="1">
      <c r="A13" s="321"/>
      <c r="B13" s="397" t="s">
        <v>211</v>
      </c>
      <c r="C13" s="398"/>
      <c r="D13" s="398"/>
      <c r="E13" s="398"/>
      <c r="F13" s="398"/>
      <c r="G13" s="398"/>
      <c r="H13" s="399"/>
      <c r="I13" s="94">
        <f>(1-I18)*(1-I19)*(1-I20)*(1-I21)*(1-I22)*(1-I23)*(1-I24)*(1-I25)</f>
        <v>0.7495443766899198</v>
      </c>
      <c r="J13" s="77"/>
      <c r="K13" s="321"/>
      <c r="L13" s="321"/>
      <c r="M13" s="321"/>
      <c r="N13" s="321"/>
      <c r="O13" s="321"/>
      <c r="P13" s="321"/>
      <c r="Q13" s="321"/>
      <c r="R13" s="322"/>
      <c r="S13" s="322"/>
      <c r="T13" s="77"/>
    </row>
    <row r="14" spans="1:20" ht="12.75" customHeight="1">
      <c r="A14" s="319"/>
      <c r="B14" s="27"/>
      <c r="C14" s="27"/>
      <c r="D14" s="27"/>
      <c r="E14" s="27"/>
      <c r="F14" s="27"/>
      <c r="G14" s="27"/>
      <c r="H14" s="27"/>
      <c r="I14" s="27"/>
      <c r="J14" s="27"/>
      <c r="K14" s="319"/>
      <c r="L14" s="319"/>
      <c r="M14" s="319"/>
      <c r="N14" s="319"/>
      <c r="O14" s="319"/>
      <c r="P14" s="319"/>
      <c r="Q14" s="319"/>
      <c r="R14" s="320"/>
      <c r="S14" s="320"/>
      <c r="T14" s="27"/>
    </row>
    <row r="15" spans="1:20" ht="12.75" customHeight="1">
      <c r="A15" s="319"/>
      <c r="B15" s="27"/>
      <c r="C15" s="27"/>
      <c r="D15" s="27"/>
      <c r="E15" s="27"/>
      <c r="F15" s="27"/>
      <c r="G15" s="395" t="s">
        <v>214</v>
      </c>
      <c r="H15" s="366"/>
      <c r="I15" s="102">
        <f>1000*I9/(24*365*1000000000)</f>
        <v>134.094269765219</v>
      </c>
      <c r="J15" s="104" t="s">
        <v>228</v>
      </c>
      <c r="K15" s="396"/>
      <c r="L15" s="373"/>
      <c r="M15" s="373"/>
      <c r="N15" s="373"/>
      <c r="O15" s="373"/>
      <c r="P15" s="373"/>
      <c r="Q15" s="319"/>
      <c r="R15" s="320"/>
      <c r="S15" s="320"/>
      <c r="T15" s="27"/>
    </row>
    <row r="16" spans="1:20" ht="13.5" customHeight="1">
      <c r="A16" s="319"/>
      <c r="B16" s="27"/>
      <c r="C16" s="27"/>
      <c r="D16" s="27"/>
      <c r="E16" s="27"/>
      <c r="F16" s="27"/>
      <c r="G16" s="27"/>
      <c r="H16" s="27"/>
      <c r="I16" s="27"/>
      <c r="J16" s="27"/>
      <c r="K16" s="396"/>
      <c r="L16" s="373"/>
      <c r="M16" s="373"/>
      <c r="N16" s="373"/>
      <c r="O16" s="373"/>
      <c r="P16" s="373"/>
      <c r="Q16" s="319"/>
      <c r="R16" s="320"/>
      <c r="S16" s="320"/>
      <c r="T16" s="27"/>
    </row>
    <row r="17" spans="1:20" ht="12.75" customHeight="1">
      <c r="A17" s="319"/>
      <c r="B17" s="107" t="s">
        <v>232</v>
      </c>
      <c r="C17" s="27"/>
      <c r="D17" s="27"/>
      <c r="E17" s="27"/>
      <c r="F17" s="27"/>
      <c r="G17" s="27"/>
      <c r="H17" s="27"/>
      <c r="I17" s="27"/>
      <c r="J17" s="27"/>
      <c r="K17" s="319"/>
      <c r="L17" s="319"/>
      <c r="M17" s="319"/>
      <c r="N17" s="319"/>
      <c r="O17" s="319"/>
      <c r="P17" s="319"/>
      <c r="Q17" s="319"/>
      <c r="R17" s="320"/>
      <c r="S17" s="320"/>
      <c r="T17" s="27"/>
    </row>
    <row r="18" spans="1:20" ht="12.75" customHeight="1">
      <c r="A18" s="319"/>
      <c r="B18" s="109" t="s">
        <v>239</v>
      </c>
      <c r="C18" s="110" t="s">
        <v>241</v>
      </c>
      <c r="D18" s="27"/>
      <c r="E18" s="27"/>
      <c r="F18" s="27"/>
      <c r="G18" s="27"/>
      <c r="H18" s="27"/>
      <c r="I18" s="111">
        <v>0.08</v>
      </c>
      <c r="J18" s="27"/>
      <c r="K18" s="319"/>
      <c r="L18" s="319"/>
      <c r="M18" s="319"/>
      <c r="N18" s="319"/>
      <c r="O18" s="319"/>
      <c r="P18" s="319"/>
      <c r="Q18" s="319"/>
      <c r="R18" s="320"/>
      <c r="S18" s="320"/>
      <c r="T18" s="27"/>
    </row>
    <row r="19" spans="1:20" ht="12.75" customHeight="1">
      <c r="A19" s="319"/>
      <c r="B19" s="109" t="s">
        <v>239</v>
      </c>
      <c r="C19" s="110" t="s">
        <v>242</v>
      </c>
      <c r="D19" s="27"/>
      <c r="E19" s="27"/>
      <c r="F19" s="27"/>
      <c r="G19" s="27"/>
      <c r="H19" s="27"/>
      <c r="I19" s="111">
        <v>0.08</v>
      </c>
      <c r="J19" s="27"/>
      <c r="K19" s="319"/>
      <c r="L19" s="319"/>
      <c r="M19" s="319"/>
      <c r="N19" s="319"/>
      <c r="O19" s="319"/>
      <c r="P19" s="319"/>
      <c r="Q19" s="319"/>
      <c r="R19" s="320"/>
      <c r="S19" s="320"/>
      <c r="T19" s="27"/>
    </row>
    <row r="20" spans="1:20" ht="12.75" customHeight="1">
      <c r="A20" s="319"/>
      <c r="B20" s="109" t="s">
        <v>239</v>
      </c>
      <c r="C20" s="110" t="s">
        <v>243</v>
      </c>
      <c r="D20" s="27"/>
      <c r="E20" s="27"/>
      <c r="F20" s="27"/>
      <c r="G20" s="27"/>
      <c r="H20" s="27"/>
      <c r="I20" s="111">
        <v>0.02</v>
      </c>
      <c r="J20" s="27"/>
      <c r="K20" s="319"/>
      <c r="L20" s="319"/>
      <c r="M20" s="319"/>
      <c r="N20" s="319"/>
      <c r="O20" s="319"/>
      <c r="P20" s="319"/>
      <c r="Q20" s="319"/>
      <c r="R20" s="320"/>
      <c r="S20" s="320"/>
      <c r="T20" s="27"/>
    </row>
    <row r="21" spans="1:20" ht="12.75" customHeight="1">
      <c r="A21" s="319"/>
      <c r="B21" s="109" t="s">
        <v>239</v>
      </c>
      <c r="C21" s="110" t="s">
        <v>244</v>
      </c>
      <c r="D21" s="27"/>
      <c r="E21" s="27"/>
      <c r="F21" s="27"/>
      <c r="G21" s="27"/>
      <c r="H21" s="27"/>
      <c r="I21" s="111">
        <v>0.02</v>
      </c>
      <c r="J21" s="27"/>
      <c r="K21" s="319"/>
      <c r="L21" s="319"/>
      <c r="M21" s="319"/>
      <c r="N21" s="319"/>
      <c r="O21" s="319"/>
      <c r="P21" s="319"/>
      <c r="Q21" s="319"/>
      <c r="R21" s="320"/>
      <c r="S21" s="320"/>
      <c r="T21" s="27"/>
    </row>
    <row r="22" spans="1:20" ht="12.75" customHeight="1">
      <c r="A22" s="319"/>
      <c r="B22" s="109" t="s">
        <v>239</v>
      </c>
      <c r="C22" s="110" t="s">
        <v>245</v>
      </c>
      <c r="D22" s="27"/>
      <c r="E22" s="27"/>
      <c r="F22" s="27"/>
      <c r="G22" s="27"/>
      <c r="H22" s="27"/>
      <c r="I22" s="111">
        <v>0.03</v>
      </c>
      <c r="J22" s="27"/>
      <c r="K22" s="319"/>
      <c r="L22" s="319"/>
      <c r="M22" s="319"/>
      <c r="N22" s="319"/>
      <c r="O22" s="319"/>
      <c r="P22" s="319"/>
      <c r="Q22" s="319"/>
      <c r="R22" s="320"/>
      <c r="S22" s="320"/>
      <c r="T22" s="27"/>
    </row>
    <row r="23" spans="1:20" ht="12.75" customHeight="1">
      <c r="A23" s="319"/>
      <c r="B23" s="109" t="s">
        <v>239</v>
      </c>
      <c r="C23" s="110" t="s">
        <v>246</v>
      </c>
      <c r="D23" s="27"/>
      <c r="E23" s="27"/>
      <c r="F23" s="27"/>
      <c r="G23" s="27"/>
      <c r="H23" s="27"/>
      <c r="I23" s="111">
        <v>0.03</v>
      </c>
      <c r="J23" s="27"/>
      <c r="K23" s="319"/>
      <c r="L23" s="319"/>
      <c r="M23" s="319"/>
      <c r="N23" s="319"/>
      <c r="O23" s="319"/>
      <c r="P23" s="319"/>
      <c r="Q23" s="319"/>
      <c r="R23" s="320"/>
      <c r="S23" s="320"/>
      <c r="T23" s="27"/>
    </row>
    <row r="24" spans="1:20" ht="12.75" customHeight="1">
      <c r="A24" s="319"/>
      <c r="B24" s="109" t="s">
        <v>239</v>
      </c>
      <c r="C24" s="110" t="s">
        <v>247</v>
      </c>
      <c r="D24" s="27"/>
      <c r="E24" s="27"/>
      <c r="F24" s="27"/>
      <c r="G24" s="27"/>
      <c r="H24" s="27"/>
      <c r="I24" s="111">
        <v>0.02</v>
      </c>
      <c r="J24" s="27"/>
      <c r="K24" s="319"/>
      <c r="L24" s="319"/>
      <c r="M24" s="319"/>
      <c r="N24" s="319"/>
      <c r="O24" s="319"/>
      <c r="P24" s="319"/>
      <c r="Q24" s="319"/>
      <c r="R24" s="320"/>
      <c r="S24" s="320"/>
      <c r="T24" s="27"/>
    </row>
    <row r="25" spans="1:20" ht="12.75" customHeight="1">
      <c r="A25" s="319"/>
      <c r="B25" s="109" t="s">
        <v>239</v>
      </c>
      <c r="C25" s="110" t="s">
        <v>248</v>
      </c>
      <c r="D25" s="27"/>
      <c r="E25" s="27"/>
      <c r="F25" s="27"/>
      <c r="G25" s="27"/>
      <c r="H25" s="27"/>
      <c r="I25" s="111">
        <v>0</v>
      </c>
      <c r="J25" s="27"/>
      <c r="K25" s="319"/>
      <c r="L25" s="319"/>
      <c r="M25" s="319"/>
      <c r="N25" s="319"/>
      <c r="O25" s="319"/>
      <c r="P25" s="319"/>
      <c r="Q25" s="319"/>
      <c r="R25" s="320"/>
      <c r="S25" s="320"/>
      <c r="T25" s="27"/>
    </row>
    <row r="26" spans="1:20" ht="12.75" customHeight="1">
      <c r="A26" s="319"/>
      <c r="B26" s="27"/>
      <c r="C26" s="27"/>
      <c r="D26" s="27"/>
      <c r="E26" s="27"/>
      <c r="F26" s="27"/>
      <c r="G26" s="27"/>
      <c r="H26" s="27"/>
      <c r="I26" s="27"/>
      <c r="J26" s="27"/>
      <c r="K26" s="319"/>
      <c r="L26" s="319"/>
      <c r="M26" s="319"/>
      <c r="N26" s="319"/>
      <c r="O26" s="319"/>
      <c r="P26" s="319"/>
      <c r="Q26" s="319"/>
      <c r="R26" s="320"/>
      <c r="S26" s="320"/>
      <c r="T26" s="27"/>
    </row>
    <row r="27" spans="1:20" ht="12.75" customHeight="1">
      <c r="A27" s="319"/>
      <c r="B27" s="27"/>
      <c r="C27" s="27"/>
      <c r="D27" s="27"/>
      <c r="E27" s="27"/>
      <c r="F27" s="27"/>
      <c r="G27" s="27"/>
      <c r="H27" s="27"/>
      <c r="I27" s="27"/>
      <c r="J27" s="27"/>
      <c r="K27" s="319"/>
      <c r="L27" s="319"/>
      <c r="M27" s="319"/>
      <c r="N27" s="319"/>
      <c r="O27" s="319"/>
      <c r="P27" s="319"/>
      <c r="Q27" s="319"/>
      <c r="R27" s="320"/>
      <c r="S27" s="320"/>
      <c r="T27" s="27"/>
    </row>
    <row r="28" spans="1:20" ht="12.75" customHeight="1">
      <c r="A28" s="319"/>
      <c r="B28" s="27"/>
      <c r="C28" s="27"/>
      <c r="D28" s="27"/>
      <c r="E28" s="27"/>
      <c r="F28" s="27"/>
      <c r="G28" s="27"/>
      <c r="H28" s="27"/>
      <c r="I28" s="27"/>
      <c r="J28" s="27"/>
      <c r="K28" s="319"/>
      <c r="L28" s="319"/>
      <c r="M28" s="319"/>
      <c r="N28" s="319"/>
      <c r="O28" s="319"/>
      <c r="P28" s="319"/>
      <c r="Q28" s="319"/>
      <c r="R28" s="320"/>
      <c r="S28" s="320"/>
      <c r="T28" s="27"/>
    </row>
    <row r="29" spans="1:20" ht="12.75" customHeight="1">
      <c r="A29" s="319"/>
      <c r="B29" s="27"/>
      <c r="C29" s="27"/>
      <c r="D29" s="27"/>
      <c r="E29" s="27"/>
      <c r="F29" s="27"/>
      <c r="G29" s="27"/>
      <c r="H29" s="27"/>
      <c r="I29" s="27"/>
      <c r="J29" s="27"/>
      <c r="K29" s="319"/>
      <c r="L29" s="319"/>
      <c r="M29" s="319"/>
      <c r="N29" s="319"/>
      <c r="O29" s="319"/>
      <c r="P29" s="319"/>
      <c r="Q29" s="319"/>
      <c r="R29" s="320"/>
      <c r="S29" s="320"/>
      <c r="T29" s="27"/>
    </row>
    <row r="30" spans="1:20" ht="12.75" customHeight="1">
      <c r="A30" s="319"/>
      <c r="B30" s="27"/>
      <c r="C30" s="27"/>
      <c r="D30" s="27"/>
      <c r="E30" s="27"/>
      <c r="F30" s="27"/>
      <c r="G30" s="27"/>
      <c r="H30" s="27"/>
      <c r="I30" s="27"/>
      <c r="J30" s="27"/>
      <c r="K30" s="319"/>
      <c r="L30" s="319"/>
      <c r="M30" s="319"/>
      <c r="N30" s="319"/>
      <c r="O30" s="319"/>
      <c r="P30" s="319"/>
      <c r="Q30" s="319"/>
      <c r="R30" s="320"/>
      <c r="S30" s="320"/>
      <c r="T30" s="27"/>
    </row>
    <row r="31" spans="1:20" ht="12.75" customHeight="1">
      <c r="A31" s="319"/>
      <c r="B31" s="27"/>
      <c r="C31" s="27"/>
      <c r="D31" s="27"/>
      <c r="E31" s="27"/>
      <c r="F31" s="27"/>
      <c r="G31" s="27"/>
      <c r="H31" s="27"/>
      <c r="I31" s="27"/>
      <c r="J31" s="27"/>
      <c r="K31" s="319"/>
      <c r="L31" s="319"/>
      <c r="M31" s="319"/>
      <c r="N31" s="319"/>
      <c r="O31" s="319"/>
      <c r="P31" s="319"/>
      <c r="Q31" s="319"/>
      <c r="R31" s="320"/>
      <c r="S31" s="320"/>
      <c r="T31" s="27"/>
    </row>
    <row r="32" spans="1:20" s="184" customFormat="1" ht="12.75" customHeight="1">
      <c r="A32" s="319"/>
      <c r="B32" s="319"/>
      <c r="C32" s="319"/>
      <c r="D32" s="319"/>
      <c r="E32" s="319"/>
      <c r="F32" s="319"/>
      <c r="G32" s="319"/>
      <c r="H32" s="319"/>
      <c r="I32" s="319"/>
      <c r="J32" s="319"/>
      <c r="K32" s="319"/>
      <c r="L32" s="319"/>
      <c r="M32" s="319"/>
      <c r="N32" s="319"/>
      <c r="O32" s="319"/>
      <c r="P32" s="319"/>
      <c r="Q32" s="319"/>
      <c r="R32" s="319"/>
      <c r="S32" s="319"/>
      <c r="T32" s="319"/>
    </row>
    <row r="33" s="184" customFormat="1" ht="15" customHeight="1"/>
    <row r="34" s="184" customFormat="1" ht="15" customHeight="1"/>
    <row r="35" s="184" customFormat="1" ht="15" customHeight="1"/>
  </sheetData>
  <mergeCells count="8">
    <mergeCell ref="G15:H15"/>
    <mergeCell ref="K15:P15"/>
    <mergeCell ref="K16:P16"/>
    <mergeCell ref="B9:H9"/>
    <mergeCell ref="B10:H10"/>
    <mergeCell ref="B11:H11"/>
    <mergeCell ref="B12:H12"/>
    <mergeCell ref="B13:H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showGridLines="0" topLeftCell="A48" workbookViewId="0">
      <selection activeCell="D55" sqref="D55"/>
    </sheetView>
  </sheetViews>
  <sheetFormatPr defaultColWidth="17.28515625" defaultRowHeight="15" customHeight="1"/>
  <cols>
    <col min="1" max="1" width="3.42578125" style="184" customWidth="1"/>
    <col min="2" max="2" width="15.7109375" customWidth="1"/>
    <col min="3" max="3" width="13.28515625" customWidth="1"/>
    <col min="4" max="14" width="8.85546875" customWidth="1"/>
  </cols>
  <sheetData>
    <row r="1" spans="1:14" ht="21" customHeight="1" thickBot="1">
      <c r="A1" s="211"/>
      <c r="B1" s="400" t="s">
        <v>9</v>
      </c>
      <c r="C1" s="366"/>
      <c r="D1" s="366"/>
      <c r="E1" s="366"/>
      <c r="F1" s="366"/>
      <c r="G1" s="366"/>
      <c r="H1" s="366"/>
      <c r="I1" s="366"/>
      <c r="J1" s="366"/>
      <c r="K1" s="366"/>
      <c r="L1" s="366"/>
      <c r="M1" s="366"/>
      <c r="N1" s="366"/>
    </row>
    <row r="2" spans="1:14" ht="15.75" customHeight="1" thickBot="1">
      <c r="A2" s="211"/>
      <c r="B2" s="26" t="s">
        <v>10</v>
      </c>
      <c r="C2" s="42" t="s">
        <v>32</v>
      </c>
      <c r="D2" s="215" t="s">
        <v>64</v>
      </c>
      <c r="E2" s="216"/>
      <c r="F2" s="216"/>
      <c r="G2" s="216"/>
      <c r="H2" s="216"/>
      <c r="I2" s="216"/>
      <c r="J2" s="216"/>
      <c r="K2" s="217"/>
      <c r="L2" s="217"/>
      <c r="M2" s="217"/>
      <c r="N2" s="217"/>
    </row>
    <row r="3" spans="1:14">
      <c r="A3" s="211"/>
      <c r="B3" s="53" t="s">
        <v>65</v>
      </c>
      <c r="C3" s="11" t="s">
        <v>85</v>
      </c>
      <c r="D3" s="2" t="s">
        <v>86</v>
      </c>
      <c r="E3" s="2"/>
      <c r="F3" s="2"/>
      <c r="G3" s="2"/>
      <c r="H3" s="2"/>
      <c r="I3" s="2"/>
      <c r="J3" s="2"/>
      <c r="K3" s="2"/>
      <c r="L3" s="2"/>
      <c r="M3" s="2"/>
      <c r="N3" s="2"/>
    </row>
    <row r="4" spans="1:14">
      <c r="A4" s="211"/>
      <c r="B4" s="53" t="s">
        <v>65</v>
      </c>
      <c r="C4" s="11" t="s">
        <v>87</v>
      </c>
      <c r="D4" s="2" t="s">
        <v>88</v>
      </c>
      <c r="E4" s="2"/>
      <c r="F4" s="2"/>
      <c r="G4" s="2"/>
      <c r="H4" s="2"/>
      <c r="I4" s="2"/>
      <c r="J4" s="2"/>
      <c r="K4" s="2"/>
      <c r="L4" s="2"/>
      <c r="M4" s="2"/>
      <c r="N4" s="2"/>
    </row>
    <row r="5" spans="1:14">
      <c r="A5" s="211"/>
      <c r="B5" s="53" t="s">
        <v>89</v>
      </c>
      <c r="C5" s="11" t="s">
        <v>90</v>
      </c>
      <c r="D5" s="2" t="s">
        <v>91</v>
      </c>
      <c r="E5" s="2"/>
      <c r="F5" s="2"/>
      <c r="G5" s="2"/>
      <c r="H5" s="2"/>
      <c r="I5" s="2"/>
      <c r="J5" s="2"/>
      <c r="K5" s="2"/>
      <c r="L5" s="2"/>
      <c r="M5" s="2"/>
      <c r="N5" s="2"/>
    </row>
    <row r="6" spans="1:14">
      <c r="A6" s="211"/>
      <c r="B6" s="53" t="s">
        <v>89</v>
      </c>
      <c r="C6" s="11" t="s">
        <v>90</v>
      </c>
      <c r="D6" s="2" t="s">
        <v>92</v>
      </c>
      <c r="E6" s="2"/>
      <c r="F6" s="2"/>
      <c r="G6" s="2"/>
      <c r="H6" s="2"/>
      <c r="I6" s="2"/>
      <c r="J6" s="2"/>
      <c r="K6" s="2"/>
      <c r="L6" s="2"/>
      <c r="M6" s="2"/>
      <c r="N6" s="2"/>
    </row>
    <row r="7" spans="1:14">
      <c r="A7" s="211"/>
      <c r="B7" s="53" t="s">
        <v>89</v>
      </c>
      <c r="C7" s="11" t="s">
        <v>90</v>
      </c>
      <c r="D7" s="2" t="s">
        <v>93</v>
      </c>
      <c r="E7" s="2"/>
      <c r="F7" s="2"/>
      <c r="G7" s="2"/>
      <c r="H7" s="2"/>
      <c r="I7" s="2"/>
      <c r="J7" s="2"/>
      <c r="K7" s="2"/>
      <c r="L7" s="2"/>
      <c r="M7" s="2"/>
      <c r="N7" s="2"/>
    </row>
    <row r="8" spans="1:14">
      <c r="A8" s="211"/>
      <c r="B8" s="53" t="s">
        <v>89</v>
      </c>
      <c r="C8" s="11" t="s">
        <v>90</v>
      </c>
      <c r="D8" s="2" t="s">
        <v>94</v>
      </c>
      <c r="E8" s="2"/>
      <c r="F8" s="2"/>
      <c r="G8" s="2"/>
      <c r="H8" s="2"/>
      <c r="I8" s="2"/>
      <c r="J8" s="2"/>
      <c r="K8" s="2"/>
      <c r="L8" s="2"/>
      <c r="M8" s="2"/>
      <c r="N8" s="2"/>
    </row>
    <row r="9" spans="1:14">
      <c r="A9" s="211"/>
      <c r="B9" s="53" t="s">
        <v>89</v>
      </c>
      <c r="C9" s="11" t="s">
        <v>90</v>
      </c>
      <c r="D9" s="2" t="s">
        <v>95</v>
      </c>
      <c r="E9" s="2"/>
      <c r="F9" s="2"/>
      <c r="G9" s="2"/>
      <c r="H9" s="2"/>
      <c r="I9" s="2"/>
      <c r="J9" s="2"/>
      <c r="K9" s="2"/>
      <c r="L9" s="2"/>
      <c r="M9" s="2"/>
      <c r="N9" s="2"/>
    </row>
    <row r="10" spans="1:14">
      <c r="A10" s="211"/>
      <c r="B10" s="53" t="s">
        <v>89</v>
      </c>
      <c r="C10" s="11" t="s">
        <v>90</v>
      </c>
      <c r="D10" s="2" t="s">
        <v>96</v>
      </c>
      <c r="E10" s="2"/>
      <c r="F10" s="2"/>
      <c r="G10" s="2"/>
      <c r="H10" s="2"/>
      <c r="I10" s="2"/>
      <c r="J10" s="2"/>
      <c r="K10" s="2"/>
      <c r="L10" s="2"/>
      <c r="M10" s="2"/>
      <c r="N10" s="2"/>
    </row>
    <row r="11" spans="1:14">
      <c r="A11" s="211"/>
      <c r="B11" s="53" t="s">
        <v>89</v>
      </c>
      <c r="C11" s="11" t="s">
        <v>90</v>
      </c>
      <c r="D11" s="2" t="s">
        <v>97</v>
      </c>
      <c r="E11" s="2"/>
      <c r="F11" s="2"/>
      <c r="G11" s="2"/>
      <c r="H11" s="2"/>
      <c r="I11" s="2"/>
      <c r="J11" s="2"/>
      <c r="K11" s="2"/>
      <c r="L11" s="2"/>
      <c r="M11" s="2"/>
      <c r="N11" s="2"/>
    </row>
    <row r="12" spans="1:14">
      <c r="A12" s="211"/>
      <c r="B12" s="53" t="s">
        <v>89</v>
      </c>
      <c r="C12" s="11" t="s">
        <v>98</v>
      </c>
      <c r="D12" s="2" t="s">
        <v>99</v>
      </c>
      <c r="E12" s="2"/>
      <c r="F12" s="2"/>
      <c r="G12" s="2"/>
      <c r="H12" s="2"/>
      <c r="I12" s="2"/>
      <c r="J12" s="2"/>
      <c r="K12" s="2"/>
      <c r="L12" s="2"/>
      <c r="M12" s="2"/>
      <c r="N12" s="2"/>
    </row>
    <row r="13" spans="1:14">
      <c r="A13" s="211"/>
      <c r="B13" s="53" t="s">
        <v>89</v>
      </c>
      <c r="C13" s="11" t="s">
        <v>98</v>
      </c>
      <c r="D13" s="2" t="s">
        <v>100</v>
      </c>
      <c r="E13" s="2"/>
      <c r="F13" s="2"/>
      <c r="G13" s="2"/>
      <c r="H13" s="2"/>
      <c r="I13" s="2"/>
      <c r="J13" s="2"/>
      <c r="K13" s="2"/>
      <c r="L13" s="2"/>
      <c r="M13" s="2"/>
      <c r="N13" s="2"/>
    </row>
    <row r="14" spans="1:14">
      <c r="A14" s="211"/>
      <c r="B14" s="53" t="s">
        <v>89</v>
      </c>
      <c r="C14" s="11" t="s">
        <v>98</v>
      </c>
      <c r="D14" s="2" t="s">
        <v>101</v>
      </c>
      <c r="E14" s="2"/>
      <c r="F14" s="2"/>
      <c r="G14" s="2"/>
      <c r="H14" s="2"/>
      <c r="I14" s="2"/>
      <c r="J14" s="2"/>
      <c r="K14" s="2"/>
      <c r="L14" s="2"/>
      <c r="M14" s="2"/>
      <c r="N14" s="2"/>
    </row>
    <row r="15" spans="1:14">
      <c r="A15" s="211"/>
      <c r="B15" s="53" t="s">
        <v>89</v>
      </c>
      <c r="C15" s="11" t="s">
        <v>98</v>
      </c>
      <c r="D15" s="2" t="s">
        <v>102</v>
      </c>
      <c r="E15" s="2"/>
      <c r="F15" s="2"/>
      <c r="G15" s="2"/>
      <c r="H15" s="2"/>
      <c r="I15" s="2"/>
      <c r="J15" s="2"/>
      <c r="K15" s="2"/>
      <c r="L15" s="2"/>
      <c r="M15" s="2"/>
      <c r="N15" s="2"/>
    </row>
    <row r="16" spans="1:14">
      <c r="A16" s="211"/>
      <c r="B16" s="53" t="s">
        <v>89</v>
      </c>
      <c r="C16" s="11" t="s">
        <v>98</v>
      </c>
      <c r="D16" s="2" t="s">
        <v>104</v>
      </c>
      <c r="E16" s="2"/>
      <c r="F16" s="2"/>
      <c r="G16" s="2"/>
      <c r="H16" s="2"/>
      <c r="I16" s="2"/>
      <c r="J16" s="2"/>
      <c r="K16" s="2"/>
      <c r="L16" s="2"/>
      <c r="M16" s="2"/>
      <c r="N16" s="2"/>
    </row>
    <row r="17" spans="1:14">
      <c r="A17" s="211"/>
      <c r="B17" s="53" t="s">
        <v>89</v>
      </c>
      <c r="C17" s="11" t="s">
        <v>98</v>
      </c>
      <c r="D17" s="2" t="s">
        <v>105</v>
      </c>
      <c r="E17" s="2"/>
      <c r="F17" s="2"/>
      <c r="G17" s="2"/>
      <c r="H17" s="2"/>
      <c r="I17" s="2"/>
      <c r="J17" s="2"/>
      <c r="K17" s="2"/>
      <c r="L17" s="2"/>
      <c r="M17" s="2"/>
      <c r="N17" s="2"/>
    </row>
    <row r="18" spans="1:14">
      <c r="A18" s="211"/>
      <c r="B18" s="53" t="s">
        <v>65</v>
      </c>
      <c r="C18" s="11" t="s">
        <v>106</v>
      </c>
      <c r="D18" s="2" t="s">
        <v>107</v>
      </c>
      <c r="E18" s="2"/>
      <c r="F18" s="2"/>
      <c r="G18" s="2"/>
      <c r="H18" s="2"/>
      <c r="I18" s="2"/>
      <c r="J18" s="2"/>
      <c r="K18" s="2"/>
      <c r="L18" s="2"/>
      <c r="M18" s="2"/>
      <c r="N18" s="2"/>
    </row>
    <row r="19" spans="1:14">
      <c r="A19" s="211"/>
      <c r="B19" s="53" t="s">
        <v>108</v>
      </c>
      <c r="C19" s="11" t="s">
        <v>109</v>
      </c>
      <c r="D19" s="2" t="s">
        <v>110</v>
      </c>
      <c r="E19" s="2"/>
      <c r="F19" s="2"/>
      <c r="G19" s="2"/>
      <c r="H19" s="2"/>
      <c r="I19" s="2"/>
      <c r="J19" s="2"/>
      <c r="K19" s="2"/>
      <c r="L19" s="2"/>
      <c r="M19" s="2"/>
      <c r="N19" s="2"/>
    </row>
    <row r="20" spans="1:14">
      <c r="A20" s="211"/>
      <c r="B20" s="53" t="s">
        <v>89</v>
      </c>
      <c r="C20" s="11" t="s">
        <v>111</v>
      </c>
      <c r="D20" s="2" t="s">
        <v>112</v>
      </c>
      <c r="E20" s="2"/>
      <c r="F20" s="2"/>
      <c r="G20" s="2"/>
      <c r="H20" s="2"/>
      <c r="I20" s="2"/>
      <c r="J20" s="2"/>
      <c r="K20" s="2"/>
      <c r="L20" s="2"/>
      <c r="M20" s="2"/>
      <c r="N20" s="2"/>
    </row>
    <row r="21" spans="1:14">
      <c r="A21" s="211"/>
      <c r="B21" s="53" t="s">
        <v>89</v>
      </c>
      <c r="C21" s="11" t="s">
        <v>111</v>
      </c>
      <c r="D21" s="2" t="s">
        <v>113</v>
      </c>
      <c r="E21" s="2"/>
      <c r="F21" s="2"/>
      <c r="G21" s="2"/>
      <c r="H21" s="2"/>
      <c r="I21" s="2"/>
      <c r="J21" s="2"/>
      <c r="K21" s="2"/>
      <c r="L21" s="2"/>
      <c r="M21" s="2"/>
      <c r="N21" s="2"/>
    </row>
    <row r="22" spans="1:14">
      <c r="A22" s="211"/>
      <c r="B22" s="53" t="s">
        <v>89</v>
      </c>
      <c r="C22" s="11" t="s">
        <v>111</v>
      </c>
      <c r="D22" s="2" t="s">
        <v>114</v>
      </c>
      <c r="E22" s="2"/>
      <c r="F22" s="2"/>
      <c r="G22" s="2"/>
      <c r="H22" s="2"/>
      <c r="I22" s="2"/>
      <c r="J22" s="2"/>
      <c r="K22" s="2"/>
      <c r="L22" s="2"/>
      <c r="M22" s="2"/>
      <c r="N22" s="2"/>
    </row>
    <row r="23" spans="1:14">
      <c r="A23" s="211"/>
      <c r="B23" s="53" t="s">
        <v>89</v>
      </c>
      <c r="C23" s="11" t="s">
        <v>111</v>
      </c>
      <c r="D23" s="2" t="s">
        <v>115</v>
      </c>
      <c r="E23" s="2"/>
      <c r="F23" s="2"/>
      <c r="G23" s="2"/>
      <c r="H23" s="2"/>
      <c r="I23" s="2"/>
      <c r="J23" s="2"/>
      <c r="K23" s="2"/>
      <c r="L23" s="2"/>
      <c r="M23" s="2"/>
      <c r="N23" s="2"/>
    </row>
    <row r="24" spans="1:14">
      <c r="A24" s="211"/>
      <c r="B24" s="53" t="s">
        <v>89</v>
      </c>
      <c r="C24" s="11" t="s">
        <v>111</v>
      </c>
      <c r="D24" s="2" t="s">
        <v>116</v>
      </c>
      <c r="E24" s="2"/>
      <c r="F24" s="2"/>
      <c r="G24" s="2"/>
      <c r="H24" s="2"/>
      <c r="I24" s="2"/>
      <c r="J24" s="2"/>
      <c r="K24" s="2"/>
      <c r="L24" s="2"/>
      <c r="M24" s="2"/>
      <c r="N24" s="2"/>
    </row>
    <row r="25" spans="1:14">
      <c r="A25" s="211"/>
      <c r="B25" s="53" t="s">
        <v>89</v>
      </c>
      <c r="C25" s="11" t="s">
        <v>111</v>
      </c>
      <c r="D25" s="2" t="s">
        <v>117</v>
      </c>
      <c r="E25" s="2"/>
      <c r="F25" s="2"/>
      <c r="G25" s="2"/>
      <c r="H25" s="2"/>
      <c r="I25" s="2"/>
      <c r="J25" s="2"/>
      <c r="K25" s="2"/>
      <c r="L25" s="2"/>
      <c r="M25" s="2"/>
      <c r="N25" s="2"/>
    </row>
    <row r="26" spans="1:14">
      <c r="A26" s="211"/>
      <c r="B26" s="53" t="s">
        <v>89</v>
      </c>
      <c r="C26" s="11" t="s">
        <v>111</v>
      </c>
      <c r="D26" s="2" t="s">
        <v>118</v>
      </c>
      <c r="E26" s="2"/>
      <c r="F26" s="2"/>
      <c r="G26" s="2"/>
      <c r="H26" s="2"/>
      <c r="I26" s="2"/>
      <c r="J26" s="2"/>
      <c r="K26" s="2"/>
      <c r="L26" s="2"/>
      <c r="M26" s="2"/>
      <c r="N26" s="2"/>
    </row>
    <row r="27" spans="1:14">
      <c r="A27" s="211"/>
      <c r="B27" s="53" t="s">
        <v>89</v>
      </c>
      <c r="C27" s="11" t="s">
        <v>119</v>
      </c>
      <c r="D27" s="2" t="s">
        <v>120</v>
      </c>
      <c r="E27" s="2"/>
      <c r="F27" s="2"/>
      <c r="G27" s="2"/>
      <c r="H27" s="2"/>
      <c r="I27" s="2"/>
      <c r="J27" s="2"/>
      <c r="K27" s="2"/>
      <c r="L27" s="2"/>
      <c r="M27" s="2"/>
      <c r="N27" s="2"/>
    </row>
    <row r="28" spans="1:14">
      <c r="A28" s="211"/>
      <c r="B28" s="53" t="s">
        <v>89</v>
      </c>
      <c r="C28" s="11" t="s">
        <v>119</v>
      </c>
      <c r="D28" s="2" t="s">
        <v>121</v>
      </c>
      <c r="E28" s="2"/>
      <c r="F28" s="2"/>
      <c r="G28" s="2"/>
      <c r="H28" s="2"/>
      <c r="I28" s="2"/>
      <c r="J28" s="2"/>
      <c r="K28" s="2"/>
      <c r="L28" s="2"/>
      <c r="M28" s="2"/>
      <c r="N28" s="2"/>
    </row>
    <row r="29" spans="1:14">
      <c r="A29" s="211"/>
      <c r="B29" s="53" t="s">
        <v>89</v>
      </c>
      <c r="C29" s="11" t="s">
        <v>122</v>
      </c>
      <c r="D29" s="2" t="s">
        <v>123</v>
      </c>
      <c r="E29" s="2"/>
      <c r="F29" s="2"/>
      <c r="G29" s="2"/>
      <c r="H29" s="2"/>
      <c r="I29" s="2"/>
      <c r="J29" s="2"/>
      <c r="K29" s="2"/>
      <c r="L29" s="2"/>
      <c r="M29" s="2"/>
      <c r="N29" s="2"/>
    </row>
    <row r="30" spans="1:14">
      <c r="A30" s="211"/>
      <c r="B30" s="53" t="s">
        <v>89</v>
      </c>
      <c r="C30" s="11" t="s">
        <v>122</v>
      </c>
      <c r="D30" s="2" t="s">
        <v>124</v>
      </c>
      <c r="E30" s="2"/>
      <c r="F30" s="2"/>
      <c r="G30" s="2"/>
      <c r="H30" s="2"/>
      <c r="I30" s="2"/>
      <c r="J30" s="2"/>
      <c r="K30" s="2"/>
      <c r="L30" s="2"/>
      <c r="M30" s="2"/>
      <c r="N30" s="2"/>
    </row>
    <row r="31" spans="1:14">
      <c r="A31" s="211"/>
      <c r="B31" s="53" t="s">
        <v>65</v>
      </c>
      <c r="C31" s="11" t="s">
        <v>125</v>
      </c>
      <c r="D31" s="2" t="s">
        <v>126</v>
      </c>
      <c r="E31" s="2"/>
      <c r="F31" s="2"/>
      <c r="G31" s="2"/>
      <c r="H31" s="2"/>
      <c r="I31" s="2"/>
      <c r="J31" s="2"/>
      <c r="K31" s="2"/>
      <c r="L31" s="2"/>
      <c r="M31" s="2"/>
      <c r="N31" s="2"/>
    </row>
    <row r="32" spans="1:14">
      <c r="A32" s="211"/>
      <c r="B32" s="53" t="s">
        <v>65</v>
      </c>
      <c r="C32" s="11" t="s">
        <v>125</v>
      </c>
      <c r="D32" s="2" t="s">
        <v>127</v>
      </c>
      <c r="E32" s="2"/>
      <c r="F32" s="2"/>
      <c r="G32" s="2"/>
      <c r="H32" s="2"/>
      <c r="I32" s="2"/>
      <c r="J32" s="2"/>
      <c r="K32" s="2"/>
      <c r="L32" s="2"/>
      <c r="M32" s="2"/>
      <c r="N32" s="2"/>
    </row>
    <row r="33" spans="1:14">
      <c r="A33" s="211"/>
      <c r="B33" s="53" t="s">
        <v>108</v>
      </c>
      <c r="C33" s="11" t="s">
        <v>128</v>
      </c>
      <c r="D33" s="2" t="s">
        <v>129</v>
      </c>
      <c r="E33" s="2"/>
      <c r="F33" s="2"/>
      <c r="G33" s="2"/>
      <c r="H33" s="2"/>
      <c r="I33" s="2"/>
      <c r="J33" s="2"/>
      <c r="K33" s="2"/>
      <c r="L33" s="2"/>
      <c r="M33" s="2"/>
      <c r="N33" s="2"/>
    </row>
    <row r="34" spans="1:14">
      <c r="A34" s="211"/>
      <c r="B34" s="53" t="s">
        <v>108</v>
      </c>
      <c r="C34" s="11" t="s">
        <v>130</v>
      </c>
      <c r="D34" s="2" t="s">
        <v>131</v>
      </c>
      <c r="E34" s="2"/>
      <c r="F34" s="2"/>
      <c r="G34" s="2"/>
      <c r="H34" s="2"/>
      <c r="I34" s="2"/>
      <c r="J34" s="2"/>
      <c r="K34" s="2"/>
      <c r="L34" s="2"/>
      <c r="M34" s="2"/>
      <c r="N34" s="2"/>
    </row>
    <row r="35" spans="1:14">
      <c r="A35" s="211"/>
      <c r="B35" s="53" t="s">
        <v>108</v>
      </c>
      <c r="C35" s="11" t="s">
        <v>130</v>
      </c>
      <c r="D35" s="2" t="s">
        <v>132</v>
      </c>
      <c r="E35" s="2"/>
      <c r="F35" s="2"/>
      <c r="G35" s="2"/>
      <c r="H35" s="2"/>
      <c r="I35" s="2"/>
      <c r="J35" s="2"/>
      <c r="K35" s="2"/>
      <c r="L35" s="2"/>
      <c r="M35" s="2"/>
      <c r="N35" s="2"/>
    </row>
    <row r="36" spans="1:14">
      <c r="A36" s="211"/>
      <c r="B36" s="53" t="s">
        <v>108</v>
      </c>
      <c r="C36" s="11" t="s">
        <v>130</v>
      </c>
      <c r="D36" s="2" t="s">
        <v>133</v>
      </c>
      <c r="E36" s="2"/>
      <c r="F36" s="2"/>
      <c r="G36" s="2"/>
      <c r="H36" s="2"/>
      <c r="I36" s="2"/>
      <c r="J36" s="2"/>
      <c r="K36" s="2"/>
      <c r="L36" s="2"/>
      <c r="M36" s="2"/>
      <c r="N36" s="2"/>
    </row>
    <row r="37" spans="1:14">
      <c r="A37" s="211"/>
      <c r="B37" s="53" t="s">
        <v>89</v>
      </c>
      <c r="C37" s="11" t="s">
        <v>134</v>
      </c>
      <c r="D37" s="2" t="s">
        <v>135</v>
      </c>
      <c r="E37" s="2"/>
      <c r="F37" s="2"/>
      <c r="G37" s="2"/>
      <c r="H37" s="2"/>
      <c r="I37" s="2"/>
      <c r="J37" s="2"/>
      <c r="K37" s="2"/>
      <c r="L37" s="2"/>
      <c r="M37" s="2"/>
      <c r="N37" s="2"/>
    </row>
    <row r="38" spans="1:14">
      <c r="A38" s="211"/>
      <c r="B38" s="53" t="s">
        <v>89</v>
      </c>
      <c r="C38" s="11" t="s">
        <v>134</v>
      </c>
      <c r="D38" s="2" t="s">
        <v>136</v>
      </c>
      <c r="E38" s="2"/>
      <c r="F38" s="2"/>
      <c r="G38" s="2"/>
      <c r="H38" s="2"/>
      <c r="I38" s="2"/>
      <c r="J38" s="2"/>
      <c r="K38" s="2"/>
      <c r="L38" s="2"/>
      <c r="M38" s="2"/>
      <c r="N38" s="2"/>
    </row>
    <row r="39" spans="1:14">
      <c r="A39" s="211"/>
      <c r="B39" s="53" t="s">
        <v>89</v>
      </c>
      <c r="C39" s="11" t="s">
        <v>134</v>
      </c>
      <c r="D39" s="2" t="s">
        <v>137</v>
      </c>
      <c r="E39" s="2"/>
      <c r="F39" s="2"/>
      <c r="G39" s="2"/>
      <c r="H39" s="2"/>
      <c r="I39" s="2"/>
      <c r="J39" s="2"/>
      <c r="K39" s="2"/>
      <c r="L39" s="2"/>
      <c r="M39" s="2"/>
      <c r="N39" s="2"/>
    </row>
    <row r="40" spans="1:14">
      <c r="A40" s="211"/>
      <c r="B40" s="53" t="s">
        <v>89</v>
      </c>
      <c r="C40" s="11" t="s">
        <v>134</v>
      </c>
      <c r="D40" s="2" t="s">
        <v>138</v>
      </c>
      <c r="E40" s="2"/>
      <c r="F40" s="2"/>
      <c r="G40" s="2"/>
      <c r="H40" s="2"/>
      <c r="I40" s="2"/>
      <c r="J40" s="2"/>
      <c r="K40" s="2"/>
      <c r="L40" s="2"/>
      <c r="M40" s="2"/>
      <c r="N40" s="2"/>
    </row>
    <row r="41" spans="1:14">
      <c r="A41" s="211"/>
      <c r="B41" s="53" t="s">
        <v>89</v>
      </c>
      <c r="C41" s="11" t="s">
        <v>139</v>
      </c>
      <c r="D41" s="2" t="s">
        <v>140</v>
      </c>
      <c r="E41" s="2"/>
      <c r="F41" s="2"/>
      <c r="G41" s="2"/>
      <c r="H41" s="2"/>
      <c r="I41" s="2"/>
      <c r="J41" s="2"/>
      <c r="K41" s="2"/>
      <c r="L41" s="2"/>
      <c r="M41" s="2"/>
      <c r="N41" s="2"/>
    </row>
    <row r="42" spans="1:14">
      <c r="A42" s="211"/>
      <c r="B42" s="53" t="s">
        <v>89</v>
      </c>
      <c r="C42" s="11" t="s">
        <v>139</v>
      </c>
      <c r="D42" s="2" t="s">
        <v>141</v>
      </c>
      <c r="E42" s="2"/>
      <c r="F42" s="2"/>
      <c r="G42" s="2"/>
      <c r="H42" s="2"/>
      <c r="I42" s="2"/>
      <c r="J42" s="2"/>
      <c r="K42" s="2"/>
      <c r="L42" s="2"/>
      <c r="M42" s="2"/>
      <c r="N42" s="2"/>
    </row>
    <row r="43" spans="1:14">
      <c r="A43" s="211"/>
      <c r="B43" s="11" t="s">
        <v>89</v>
      </c>
      <c r="C43" s="11" t="s">
        <v>139</v>
      </c>
      <c r="D43" s="53" t="s">
        <v>142</v>
      </c>
      <c r="E43" s="2"/>
      <c r="F43" s="2"/>
      <c r="G43" s="2"/>
      <c r="H43" s="2"/>
      <c r="I43" s="2"/>
      <c r="J43" s="2"/>
      <c r="K43" s="2"/>
      <c r="L43" s="2"/>
      <c r="M43" s="2"/>
      <c r="N43" s="2"/>
    </row>
    <row r="44" spans="1:14">
      <c r="A44" s="211"/>
      <c r="B44" s="11" t="s">
        <v>89</v>
      </c>
      <c r="C44" s="11" t="s">
        <v>139</v>
      </c>
      <c r="D44" s="53" t="s">
        <v>143</v>
      </c>
      <c r="E44" s="2"/>
      <c r="F44" s="2"/>
      <c r="G44" s="2"/>
      <c r="H44" s="2"/>
      <c r="I44" s="2"/>
      <c r="J44" s="2"/>
      <c r="K44" s="2"/>
      <c r="L44" s="2"/>
      <c r="M44" s="2"/>
      <c r="N44" s="2"/>
    </row>
    <row r="45" spans="1:14">
      <c r="A45" s="211"/>
      <c r="B45" s="11" t="s">
        <v>89</v>
      </c>
      <c r="C45" s="11" t="s">
        <v>139</v>
      </c>
      <c r="D45" s="53" t="s">
        <v>144</v>
      </c>
      <c r="E45" s="2"/>
      <c r="F45" s="2"/>
      <c r="G45" s="2"/>
      <c r="H45" s="2"/>
      <c r="I45" s="2"/>
      <c r="J45" s="2"/>
      <c r="K45" s="2"/>
      <c r="L45" s="2"/>
      <c r="M45" s="2"/>
      <c r="N45" s="2"/>
    </row>
    <row r="46" spans="1:14">
      <c r="A46" s="211"/>
      <c r="B46" s="53" t="s">
        <v>108</v>
      </c>
      <c r="C46" s="11" t="s">
        <v>145</v>
      </c>
      <c r="D46" s="2" t="s">
        <v>146</v>
      </c>
      <c r="E46" s="2"/>
      <c r="F46" s="2"/>
      <c r="G46" s="2"/>
      <c r="H46" s="2"/>
      <c r="I46" s="2"/>
      <c r="J46" s="2"/>
      <c r="K46" s="2"/>
      <c r="L46" s="2"/>
      <c r="M46" s="2"/>
      <c r="N46" s="2"/>
    </row>
    <row r="47" spans="1:14">
      <c r="A47" s="211"/>
      <c r="B47" s="53" t="s">
        <v>108</v>
      </c>
      <c r="C47" s="11" t="s">
        <v>145</v>
      </c>
      <c r="D47" s="2" t="s">
        <v>147</v>
      </c>
      <c r="E47" s="2"/>
      <c r="F47" s="2"/>
      <c r="G47" s="2"/>
      <c r="H47" s="2"/>
      <c r="I47" s="2"/>
      <c r="J47" s="2"/>
      <c r="K47" s="2"/>
      <c r="L47" s="2"/>
      <c r="M47" s="2"/>
      <c r="N47" s="2"/>
    </row>
    <row r="48" spans="1:14">
      <c r="A48" s="211"/>
      <c r="B48" s="53" t="s">
        <v>108</v>
      </c>
      <c r="C48" s="11" t="s">
        <v>145</v>
      </c>
      <c r="D48" s="2" t="s">
        <v>148</v>
      </c>
      <c r="E48" s="2"/>
      <c r="F48" s="2"/>
      <c r="G48" s="2"/>
      <c r="H48" s="2"/>
      <c r="I48" s="2"/>
      <c r="J48" s="2"/>
      <c r="K48" s="2"/>
      <c r="L48" s="2"/>
      <c r="M48" s="2"/>
      <c r="N48" s="2"/>
    </row>
    <row r="49" spans="1:14">
      <c r="A49" s="211"/>
      <c r="B49" s="53" t="s">
        <v>65</v>
      </c>
      <c r="C49" s="11" t="s">
        <v>145</v>
      </c>
      <c r="D49" s="2" t="s">
        <v>149</v>
      </c>
      <c r="E49" s="2"/>
      <c r="F49" s="2"/>
      <c r="G49" s="2"/>
      <c r="H49" s="2"/>
      <c r="I49" s="2"/>
      <c r="J49" s="2"/>
      <c r="K49" s="2"/>
      <c r="L49" s="2"/>
      <c r="M49" s="2"/>
      <c r="N49" s="2"/>
    </row>
    <row r="50" spans="1:14">
      <c r="A50" s="211"/>
      <c r="B50" s="53" t="s">
        <v>89</v>
      </c>
      <c r="C50" s="11" t="s">
        <v>150</v>
      </c>
      <c r="D50" s="2" t="s">
        <v>151</v>
      </c>
      <c r="E50" s="2"/>
      <c r="F50" s="2"/>
      <c r="G50" s="2"/>
      <c r="H50" s="2"/>
      <c r="I50" s="2"/>
      <c r="J50" s="2"/>
      <c r="K50" s="2"/>
      <c r="L50" s="2"/>
      <c r="M50" s="2"/>
      <c r="N50" s="2"/>
    </row>
    <row r="51" spans="1:14">
      <c r="A51" s="211"/>
      <c r="B51" s="212" t="s">
        <v>89</v>
      </c>
      <c r="C51" s="213" t="s">
        <v>357</v>
      </c>
      <c r="D51" s="214" t="s">
        <v>358</v>
      </c>
      <c r="E51" s="2"/>
      <c r="F51" s="2"/>
      <c r="G51" s="2"/>
      <c r="H51" s="2"/>
      <c r="I51" s="2"/>
      <c r="J51" s="2"/>
      <c r="K51" s="2"/>
      <c r="L51" s="2"/>
      <c r="M51" s="2"/>
      <c r="N51" s="2"/>
    </row>
    <row r="52" spans="1:14">
      <c r="A52" s="211"/>
      <c r="B52" s="212" t="s">
        <v>89</v>
      </c>
      <c r="C52" s="213" t="s">
        <v>357</v>
      </c>
      <c r="D52" s="214" t="s">
        <v>359</v>
      </c>
      <c r="E52" s="2"/>
      <c r="F52" s="2"/>
      <c r="G52" s="2"/>
      <c r="H52" s="2"/>
      <c r="I52" s="2"/>
      <c r="J52" s="2"/>
      <c r="K52" s="2"/>
      <c r="L52" s="2"/>
      <c r="M52" s="2"/>
      <c r="N52" s="2"/>
    </row>
    <row r="53" spans="1:14">
      <c r="A53" s="211"/>
      <c r="B53" s="53" t="s">
        <v>89</v>
      </c>
      <c r="C53" s="11" t="s">
        <v>362</v>
      </c>
      <c r="D53" s="2" t="s">
        <v>363</v>
      </c>
      <c r="E53" s="2"/>
      <c r="F53" s="2"/>
      <c r="G53" s="2"/>
      <c r="H53" s="2"/>
      <c r="I53" s="2"/>
      <c r="J53" s="2"/>
      <c r="K53" s="2"/>
      <c r="L53" s="2"/>
      <c r="M53" s="2"/>
      <c r="N53" s="2"/>
    </row>
    <row r="54" spans="1:14" ht="15.75" customHeight="1">
      <c r="A54" s="211"/>
      <c r="B54" s="212" t="s">
        <v>89</v>
      </c>
      <c r="C54" s="213" t="s">
        <v>362</v>
      </c>
      <c r="D54" s="214" t="s">
        <v>372</v>
      </c>
      <c r="E54" s="2"/>
      <c r="F54" s="2"/>
      <c r="G54" s="2"/>
      <c r="H54" s="2"/>
      <c r="I54" s="2"/>
      <c r="J54" s="2"/>
      <c r="K54" s="2"/>
      <c r="L54" s="2"/>
      <c r="M54" s="2"/>
      <c r="N54" s="2"/>
    </row>
    <row r="55" spans="1:14" ht="15" customHeight="1">
      <c r="B55" s="212" t="s">
        <v>89</v>
      </c>
      <c r="C55" s="213" t="s">
        <v>384</v>
      </c>
      <c r="D55" s="214" t="s">
        <v>385</v>
      </c>
    </row>
  </sheetData>
  <mergeCells count="1">
    <mergeCell ref="B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election activeCell="B14" sqref="B14"/>
    </sheetView>
  </sheetViews>
  <sheetFormatPr defaultColWidth="17.28515625" defaultRowHeight="15" customHeight="1"/>
  <cols>
    <col min="1" max="1" width="8.85546875" customWidth="1"/>
    <col min="2" max="2" width="51" customWidth="1"/>
    <col min="3" max="6" width="8.85546875" customWidth="1"/>
  </cols>
  <sheetData>
    <row r="1" spans="1:6" ht="26.25" customHeight="1">
      <c r="A1" s="183"/>
      <c r="B1" s="370" t="s">
        <v>1</v>
      </c>
      <c r="C1" s="371"/>
      <c r="D1" s="371"/>
      <c r="E1" s="371"/>
      <c r="F1" s="371"/>
    </row>
    <row r="2" spans="1:6">
      <c r="A2" s="183"/>
      <c r="B2" s="183"/>
      <c r="C2" s="183"/>
      <c r="D2" s="183"/>
      <c r="E2" s="183"/>
      <c r="F2" s="183"/>
    </row>
    <row r="3" spans="1:6" ht="15.75" customHeight="1">
      <c r="A3" s="183"/>
      <c r="B3" s="2"/>
      <c r="C3" s="2"/>
      <c r="D3" s="2"/>
      <c r="E3" s="2"/>
      <c r="F3" s="2"/>
    </row>
    <row r="4" spans="1:6" ht="15.75" customHeight="1">
      <c r="A4" s="183"/>
      <c r="B4" s="219" t="s">
        <v>361</v>
      </c>
      <c r="C4" s="7">
        <v>106</v>
      </c>
      <c r="D4" s="6" t="s">
        <v>7</v>
      </c>
      <c r="E4" s="2"/>
      <c r="F4" s="2"/>
    </row>
    <row r="5" spans="1:6">
      <c r="A5" s="183"/>
      <c r="B5" s="8" t="s">
        <v>8</v>
      </c>
      <c r="C5" s="9">
        <f>C4/4046.856</f>
        <v>2.6193173169492562E-2</v>
      </c>
      <c r="D5" s="2"/>
      <c r="E5" s="2"/>
      <c r="F5" s="2"/>
    </row>
    <row r="6" spans="1:6" ht="15.75" customHeight="1">
      <c r="A6" s="183"/>
      <c r="B6" s="10" t="s">
        <v>11</v>
      </c>
      <c r="C6" s="12">
        <f>1000*C5</f>
        <v>26.193173169492564</v>
      </c>
      <c r="D6" s="2"/>
      <c r="E6" s="2"/>
      <c r="F6" s="2"/>
    </row>
    <row r="7" spans="1:6">
      <c r="A7" s="183"/>
      <c r="B7" s="2"/>
      <c r="C7" s="2"/>
      <c r="D7" s="2"/>
      <c r="E7" s="2"/>
      <c r="F7" s="2"/>
    </row>
    <row r="8" spans="1:6">
      <c r="A8" s="183"/>
      <c r="B8" s="183"/>
      <c r="C8" s="183"/>
      <c r="D8" s="183"/>
      <c r="E8" s="183"/>
      <c r="F8" s="183"/>
    </row>
    <row r="9" spans="1:6">
      <c r="A9" s="183"/>
      <c r="B9" s="183"/>
      <c r="C9" s="183"/>
      <c r="D9" s="183"/>
      <c r="E9" s="183"/>
      <c r="F9" s="183"/>
    </row>
    <row r="10" spans="1:6">
      <c r="A10" s="183"/>
      <c r="B10" s="183"/>
      <c r="C10" s="183"/>
      <c r="D10" s="183"/>
      <c r="E10" s="183"/>
      <c r="F10" s="183"/>
    </row>
    <row r="11" spans="1:6">
      <c r="A11" s="183"/>
      <c r="B11" s="183"/>
      <c r="C11" s="183"/>
      <c r="D11" s="183"/>
      <c r="E11" s="183"/>
      <c r="F11" s="183"/>
    </row>
    <row r="12" spans="1:6">
      <c r="A12" s="183"/>
      <c r="B12" s="183"/>
      <c r="C12" s="183"/>
      <c r="D12" s="183"/>
      <c r="E12" s="183"/>
      <c r="F12" s="183"/>
    </row>
    <row r="13" spans="1:6">
      <c r="A13" s="183"/>
      <c r="B13" s="183"/>
      <c r="C13" s="183"/>
      <c r="D13" s="183"/>
      <c r="E13" s="183"/>
      <c r="F13" s="183"/>
    </row>
    <row r="14" spans="1:6">
      <c r="A14" s="183"/>
      <c r="B14" s="183"/>
      <c r="C14" s="183"/>
      <c r="D14" s="183"/>
      <c r="E14" s="183"/>
      <c r="F14" s="183"/>
    </row>
    <row r="15" spans="1:6">
      <c r="A15" s="183"/>
      <c r="B15" s="183"/>
      <c r="C15" s="183"/>
      <c r="D15" s="183"/>
      <c r="E15" s="183"/>
      <c r="F15" s="183"/>
    </row>
    <row r="16" spans="1:6">
      <c r="A16" s="183"/>
      <c r="B16" s="183"/>
      <c r="C16" s="183"/>
      <c r="D16" s="183"/>
      <c r="E16" s="183"/>
      <c r="F16" s="183"/>
    </row>
    <row r="17" spans="1:6">
      <c r="A17" s="183"/>
      <c r="B17" s="183"/>
      <c r="C17" s="183"/>
      <c r="D17" s="183"/>
      <c r="E17" s="183"/>
      <c r="F17" s="183"/>
    </row>
    <row r="18" spans="1:6">
      <c r="A18" s="183"/>
      <c r="B18" s="183"/>
      <c r="C18" s="183"/>
      <c r="D18" s="183"/>
      <c r="E18" s="183"/>
      <c r="F18" s="183"/>
    </row>
    <row r="19" spans="1:6">
      <c r="A19" s="183"/>
      <c r="B19" s="183"/>
      <c r="C19" s="183"/>
      <c r="D19" s="183"/>
      <c r="E19" s="183"/>
      <c r="F19" s="183"/>
    </row>
    <row r="20" spans="1:6">
      <c r="A20" s="183"/>
      <c r="B20" s="183"/>
      <c r="C20" s="183"/>
      <c r="D20" s="183"/>
      <c r="E20" s="183"/>
      <c r="F20" s="183"/>
    </row>
  </sheetData>
  <mergeCells count="1">
    <mergeCell ref="B1:F1"/>
  </mergeCells>
  <hyperlinks>
    <hyperlink ref="D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election activeCell="F9" sqref="F9"/>
    </sheetView>
  </sheetViews>
  <sheetFormatPr defaultColWidth="17.28515625" defaultRowHeight="15" customHeight="1"/>
  <cols>
    <col min="1" max="1" width="5.85546875" customWidth="1"/>
    <col min="2" max="2" width="12.42578125" customWidth="1"/>
    <col min="3" max="3" width="14" customWidth="1"/>
    <col min="4" max="6" width="8.85546875" customWidth="1"/>
  </cols>
  <sheetData>
    <row r="1" spans="1:6" ht="24" customHeight="1">
      <c r="A1" s="183"/>
      <c r="B1" s="370" t="s">
        <v>0</v>
      </c>
      <c r="C1" s="371"/>
      <c r="D1" s="371"/>
      <c r="E1" s="371"/>
      <c r="F1" s="371"/>
    </row>
    <row r="2" spans="1:6">
      <c r="A2" s="183"/>
      <c r="B2" s="183"/>
      <c r="C2" s="183"/>
      <c r="D2" s="183"/>
      <c r="E2" s="183"/>
      <c r="F2" s="183"/>
    </row>
    <row r="3" spans="1:6">
      <c r="A3" s="183"/>
      <c r="B3" s="1" t="s">
        <v>2</v>
      </c>
      <c r="C3" s="4">
        <v>7.5</v>
      </c>
      <c r="D3" s="14" t="s">
        <v>5</v>
      </c>
      <c r="E3" s="15"/>
      <c r="F3" s="15"/>
    </row>
    <row r="4" spans="1:6">
      <c r="A4" s="183"/>
      <c r="B4" s="20" t="s">
        <v>17</v>
      </c>
      <c r="C4" s="22">
        <f>C3*2.2369</f>
        <v>16.77675</v>
      </c>
      <c r="D4" s="15"/>
      <c r="E4" s="15"/>
      <c r="F4" s="15"/>
    </row>
    <row r="5" spans="1:6">
      <c r="A5" s="183"/>
      <c r="B5" s="32"/>
      <c r="C5" s="32"/>
      <c r="D5" s="15"/>
      <c r="E5" s="15"/>
      <c r="F5" s="15"/>
    </row>
    <row r="6" spans="1:6">
      <c r="A6" s="183"/>
      <c r="B6" s="183"/>
      <c r="C6" s="183"/>
      <c r="D6" s="183"/>
      <c r="E6" s="183"/>
      <c r="F6" s="183"/>
    </row>
    <row r="7" spans="1:6">
      <c r="A7" s="183"/>
      <c r="B7" s="183"/>
      <c r="C7" s="183"/>
      <c r="D7" s="183"/>
      <c r="E7" s="183"/>
      <c r="F7" s="183"/>
    </row>
    <row r="8" spans="1:6">
      <c r="A8" s="183"/>
      <c r="B8" s="183"/>
      <c r="C8" s="183"/>
      <c r="D8" s="183"/>
      <c r="E8" s="183"/>
      <c r="F8" s="183"/>
    </row>
    <row r="9" spans="1:6">
      <c r="A9" s="183"/>
      <c r="B9" s="183"/>
      <c r="C9" s="183"/>
      <c r="D9" s="183"/>
      <c r="E9" s="183"/>
      <c r="F9" s="183"/>
    </row>
    <row r="10" spans="1:6">
      <c r="A10" s="183"/>
      <c r="B10" s="183"/>
      <c r="C10" s="183"/>
      <c r="D10" s="183"/>
      <c r="E10" s="183"/>
      <c r="F10" s="183"/>
    </row>
    <row r="11" spans="1:6">
      <c r="A11" s="183"/>
      <c r="B11" s="183"/>
      <c r="C11" s="183"/>
      <c r="D11" s="183"/>
      <c r="E11" s="183"/>
      <c r="F11" s="183"/>
    </row>
    <row r="12" spans="1:6">
      <c r="A12" s="183"/>
      <c r="B12" s="183"/>
      <c r="C12" s="183"/>
      <c r="D12" s="183"/>
      <c r="E12" s="183"/>
      <c r="F12" s="183"/>
    </row>
    <row r="13" spans="1:6">
      <c r="A13" s="183"/>
      <c r="B13" s="183"/>
      <c r="C13" s="183"/>
      <c r="D13" s="183"/>
      <c r="E13" s="183"/>
      <c r="F13" s="183"/>
    </row>
    <row r="14" spans="1:6">
      <c r="A14" s="183"/>
      <c r="B14" s="183"/>
      <c r="C14" s="183"/>
      <c r="D14" s="183"/>
      <c r="E14" s="183"/>
      <c r="F14" s="183"/>
    </row>
    <row r="15" spans="1:6">
      <c r="A15" s="183"/>
      <c r="B15" s="183"/>
      <c r="C15" s="183"/>
      <c r="D15" s="183"/>
      <c r="E15" s="183"/>
      <c r="F15" s="183"/>
    </row>
    <row r="16" spans="1:6">
      <c r="A16" s="183"/>
      <c r="B16" s="183"/>
      <c r="C16" s="183"/>
      <c r="D16" s="183"/>
      <c r="E16" s="183"/>
      <c r="F16" s="183"/>
    </row>
    <row r="17" spans="1:6">
      <c r="A17" s="183"/>
      <c r="B17" s="183"/>
      <c r="C17" s="183"/>
      <c r="D17" s="183"/>
      <c r="E17" s="183"/>
      <c r="F17" s="183"/>
    </row>
    <row r="18" spans="1:6">
      <c r="A18" s="183"/>
      <c r="B18" s="183"/>
      <c r="C18" s="183"/>
      <c r="D18" s="183"/>
      <c r="E18" s="183"/>
      <c r="F18" s="183"/>
    </row>
    <row r="19" spans="1:6">
      <c r="A19" s="183"/>
      <c r="B19" s="183"/>
      <c r="C19" s="183"/>
      <c r="D19" s="183"/>
      <c r="E19" s="183"/>
      <c r="F19" s="183"/>
    </row>
    <row r="20" spans="1:6">
      <c r="A20" s="183"/>
      <c r="B20" s="183"/>
      <c r="C20" s="183"/>
      <c r="D20" s="183"/>
      <c r="E20" s="183"/>
      <c r="F20" s="183"/>
    </row>
    <row r="21" spans="1:6" ht="15" customHeight="1">
      <c r="B21" s="184"/>
      <c r="C21" s="184"/>
      <c r="D21" s="184"/>
      <c r="E21" s="184"/>
      <c r="F21" s="184"/>
    </row>
    <row r="22" spans="1:6" ht="15" customHeight="1">
      <c r="B22" s="184"/>
      <c r="C22" s="184"/>
      <c r="D22" s="184"/>
      <c r="E22" s="184"/>
      <c r="F22" s="184"/>
    </row>
    <row r="23" spans="1:6" ht="15" customHeight="1">
      <c r="B23" s="184"/>
      <c r="C23" s="184"/>
      <c r="D23" s="184"/>
      <c r="E23" s="184"/>
      <c r="F23" s="184"/>
    </row>
  </sheetData>
  <mergeCells count="1">
    <mergeCell ref="B1:F1"/>
  </mergeCells>
  <hyperlinks>
    <hyperlink ref="D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election activeCell="B4" sqref="B4"/>
    </sheetView>
  </sheetViews>
  <sheetFormatPr defaultColWidth="17.28515625" defaultRowHeight="15" customHeight="1"/>
  <cols>
    <col min="1" max="1" width="4.85546875" style="184" customWidth="1"/>
    <col min="2" max="2" width="65.42578125" customWidth="1"/>
    <col min="3" max="3" width="31.42578125" customWidth="1"/>
    <col min="4" max="4" width="24.7109375" customWidth="1"/>
    <col min="5" max="6" width="8.85546875" customWidth="1"/>
    <col min="7" max="7" width="23" customWidth="1"/>
  </cols>
  <sheetData>
    <row r="1" spans="1:7" ht="23.25" customHeight="1">
      <c r="A1" s="183"/>
      <c r="B1" s="370" t="s">
        <v>3</v>
      </c>
      <c r="C1" s="371"/>
      <c r="D1" s="371"/>
      <c r="E1" s="371"/>
      <c r="F1" s="371"/>
      <c r="G1" s="371"/>
    </row>
    <row r="2" spans="1:7" ht="15.75" customHeight="1">
      <c r="A2" s="183"/>
      <c r="B2" s="2"/>
      <c r="C2" s="2"/>
      <c r="D2" s="2"/>
      <c r="E2" s="2"/>
      <c r="F2" s="2"/>
      <c r="G2" s="2"/>
    </row>
    <row r="3" spans="1:7">
      <c r="A3" s="183"/>
      <c r="B3" s="3" t="s">
        <v>4</v>
      </c>
      <c r="C3" s="5">
        <f>C8</f>
        <v>0.72773814528560843</v>
      </c>
      <c r="D3" s="6" t="s">
        <v>6</v>
      </c>
      <c r="E3" s="2"/>
      <c r="F3" s="2"/>
      <c r="G3" s="2"/>
    </row>
    <row r="4" spans="1:7">
      <c r="A4" s="183"/>
      <c r="B4" s="11" t="s">
        <v>369</v>
      </c>
      <c r="C4" s="13">
        <f>47.1/(1.8*365)</f>
        <v>7.1689497716894979E-2</v>
      </c>
      <c r="D4" s="6" t="s">
        <v>12</v>
      </c>
      <c r="E4" s="2"/>
      <c r="F4" s="2"/>
      <c r="G4" s="2"/>
    </row>
    <row r="5" spans="1:7">
      <c r="A5" s="183"/>
      <c r="B5" s="11"/>
      <c r="C5" s="11"/>
      <c r="D5" s="6" t="s">
        <v>13</v>
      </c>
      <c r="E5" s="2"/>
      <c r="F5" s="2"/>
      <c r="G5" s="2"/>
    </row>
    <row r="6" spans="1:7">
      <c r="A6" s="183"/>
      <c r="B6" s="11" t="s">
        <v>14</v>
      </c>
      <c r="C6" s="11">
        <v>0.43</v>
      </c>
      <c r="D6" s="6" t="s">
        <v>15</v>
      </c>
      <c r="E6" s="2"/>
      <c r="F6" s="2"/>
      <c r="G6" s="2"/>
    </row>
    <row r="7" spans="1:7">
      <c r="A7" s="183"/>
      <c r="B7" s="11"/>
      <c r="C7" s="11"/>
      <c r="D7" s="2"/>
      <c r="E7" s="2"/>
      <c r="F7" s="2"/>
      <c r="G7" s="2"/>
    </row>
    <row r="8" spans="1:7">
      <c r="A8" s="183"/>
      <c r="B8" s="11" t="s">
        <v>16</v>
      </c>
      <c r="C8" s="17">
        <f>'Alberta Electricity Profile'!C15</f>
        <v>0.72773814528560843</v>
      </c>
      <c r="D8" s="2"/>
      <c r="E8" s="2"/>
      <c r="F8" s="2"/>
      <c r="G8" s="2"/>
    </row>
    <row r="9" spans="1:7" ht="15.75" customHeight="1">
      <c r="A9" s="183"/>
      <c r="B9" s="19" t="s">
        <v>24</v>
      </c>
      <c r="C9" s="21">
        <f>AVERAGE(E20:E22)*0.45359</f>
        <v>0.97068260000000006</v>
      </c>
      <c r="D9" s="2"/>
      <c r="E9" s="2"/>
      <c r="F9" s="2"/>
      <c r="G9" s="2"/>
    </row>
    <row r="10" spans="1:7">
      <c r="A10" s="183"/>
      <c r="B10" s="2"/>
      <c r="C10" s="2"/>
      <c r="D10" s="2"/>
      <c r="E10" s="2"/>
      <c r="F10" s="2"/>
      <c r="G10" s="2"/>
    </row>
    <row r="11" spans="1:7" s="184" customFormat="1">
      <c r="A11" s="183"/>
      <c r="B11" s="183"/>
      <c r="C11" s="183"/>
      <c r="D11" s="183"/>
      <c r="E11" s="183"/>
      <c r="F11" s="183"/>
      <c r="G11" s="183"/>
    </row>
    <row r="12" spans="1:7">
      <c r="A12" s="183"/>
      <c r="B12" s="33" t="s">
        <v>27</v>
      </c>
      <c r="C12" s="2"/>
      <c r="D12" s="2"/>
      <c r="E12" s="2"/>
      <c r="F12" s="2"/>
      <c r="G12" s="2"/>
    </row>
    <row r="13" spans="1:7">
      <c r="A13" s="183"/>
      <c r="B13" s="2" t="s">
        <v>38</v>
      </c>
      <c r="C13" s="2"/>
      <c r="D13" s="2"/>
      <c r="E13" s="2"/>
      <c r="F13" s="2"/>
      <c r="G13" s="2"/>
    </row>
    <row r="14" spans="1:7">
      <c r="A14" s="183"/>
      <c r="B14" s="2" t="s">
        <v>39</v>
      </c>
      <c r="C14" s="2"/>
      <c r="D14" s="2"/>
      <c r="E14" s="2"/>
      <c r="F14" s="2"/>
      <c r="G14" s="2"/>
    </row>
    <row r="15" spans="1:7">
      <c r="A15" s="183"/>
      <c r="B15" s="2"/>
      <c r="C15" s="2"/>
      <c r="D15" s="2"/>
      <c r="E15" s="2"/>
      <c r="F15" s="2"/>
      <c r="G15" s="2"/>
    </row>
    <row r="16" spans="1:7">
      <c r="A16" s="183"/>
      <c r="B16" s="2" t="s">
        <v>40</v>
      </c>
      <c r="C16" s="2"/>
      <c r="D16" s="2"/>
      <c r="E16" s="2"/>
      <c r="F16" s="2"/>
      <c r="G16" s="2"/>
    </row>
    <row r="17" spans="1:7" ht="15.75" customHeight="1">
      <c r="A17" s="183"/>
      <c r="B17" s="2"/>
      <c r="C17" s="2"/>
      <c r="D17" s="2"/>
      <c r="E17" s="2"/>
      <c r="F17" s="2"/>
      <c r="G17" s="2"/>
    </row>
    <row r="18" spans="1:7" ht="15.75" customHeight="1">
      <c r="A18" s="183"/>
      <c r="B18" s="7" t="s">
        <v>41</v>
      </c>
      <c r="C18" s="36" t="s">
        <v>42</v>
      </c>
      <c r="D18" s="7" t="s">
        <v>52</v>
      </c>
      <c r="E18" s="37" t="s">
        <v>53</v>
      </c>
      <c r="F18" s="38"/>
      <c r="G18" s="2"/>
    </row>
    <row r="19" spans="1:7">
      <c r="A19" s="183"/>
      <c r="B19" s="11" t="s">
        <v>54</v>
      </c>
      <c r="C19" s="2"/>
      <c r="D19" s="11"/>
      <c r="E19" s="2"/>
      <c r="F19" s="46"/>
      <c r="G19" s="2"/>
    </row>
    <row r="20" spans="1:7">
      <c r="A20" s="183"/>
      <c r="B20" s="11" t="s">
        <v>72</v>
      </c>
      <c r="C20" s="2">
        <v>205.3</v>
      </c>
      <c r="D20" s="49">
        <v>10107</v>
      </c>
      <c r="E20" s="2">
        <v>2.08</v>
      </c>
      <c r="F20" s="46"/>
      <c r="G20" s="2"/>
    </row>
    <row r="21" spans="1:7">
      <c r="A21" s="183"/>
      <c r="B21" s="11" t="s">
        <v>77</v>
      </c>
      <c r="C21" s="2">
        <v>212.7</v>
      </c>
      <c r="D21" s="49">
        <v>10107</v>
      </c>
      <c r="E21" s="2">
        <v>2.16</v>
      </c>
      <c r="F21" s="46"/>
      <c r="G21" s="2"/>
    </row>
    <row r="22" spans="1:7">
      <c r="A22" s="183"/>
      <c r="B22" s="11" t="s">
        <v>78</v>
      </c>
      <c r="C22" s="2">
        <v>215.4</v>
      </c>
      <c r="D22" s="49">
        <v>10107</v>
      </c>
      <c r="E22" s="2">
        <v>2.1800000000000002</v>
      </c>
      <c r="F22" s="46"/>
      <c r="G22" s="2"/>
    </row>
    <row r="23" spans="1:7">
      <c r="A23" s="183"/>
      <c r="B23" s="11" t="s">
        <v>79</v>
      </c>
      <c r="C23" s="2">
        <v>117.08</v>
      </c>
      <c r="D23" s="49">
        <v>10416</v>
      </c>
      <c r="E23" s="2">
        <v>1.22</v>
      </c>
      <c r="F23" s="46"/>
      <c r="G23" s="2"/>
    </row>
    <row r="24" spans="1:7">
      <c r="A24" s="183"/>
      <c r="B24" s="11" t="s">
        <v>80</v>
      </c>
      <c r="C24" s="2">
        <v>161.386</v>
      </c>
      <c r="D24" s="49">
        <v>10416</v>
      </c>
      <c r="E24" s="2">
        <v>1.68</v>
      </c>
      <c r="F24" s="46"/>
      <c r="G24" s="2"/>
    </row>
    <row r="25" spans="1:7" ht="15.75" customHeight="1">
      <c r="A25" s="183"/>
      <c r="B25" s="19" t="s">
        <v>81</v>
      </c>
      <c r="C25" s="59">
        <v>173.90600000000001</v>
      </c>
      <c r="D25" s="60">
        <v>10416</v>
      </c>
      <c r="E25" s="59">
        <v>1.81</v>
      </c>
      <c r="F25" s="66"/>
      <c r="G25" s="2"/>
    </row>
    <row r="26" spans="1:7">
      <c r="A26" s="183"/>
      <c r="B26" s="2"/>
      <c r="C26" s="2"/>
      <c r="D26" s="67"/>
      <c r="E26" s="2"/>
      <c r="F26" s="2"/>
      <c r="G26" s="2"/>
    </row>
    <row r="27" spans="1:7">
      <c r="A27" s="183"/>
      <c r="B27" s="2" t="s">
        <v>159</v>
      </c>
      <c r="C27" s="2"/>
      <c r="D27" s="2"/>
      <c r="E27" s="2"/>
      <c r="F27" s="2"/>
      <c r="G27" s="2"/>
    </row>
    <row r="28" spans="1:7">
      <c r="A28" s="183"/>
      <c r="B28" s="2"/>
      <c r="C28" s="2"/>
      <c r="D28" s="2"/>
      <c r="E28" s="2"/>
      <c r="F28" s="2"/>
      <c r="G28" s="2"/>
    </row>
    <row r="29" spans="1:7" s="184" customFormat="1">
      <c r="A29" s="183"/>
      <c r="B29" s="183"/>
      <c r="C29" s="183"/>
      <c r="D29" s="183"/>
      <c r="E29" s="183"/>
      <c r="F29" s="183"/>
      <c r="G29" s="183"/>
    </row>
    <row r="30" spans="1:7" s="184" customFormat="1" ht="15.75" customHeight="1">
      <c r="A30" s="183"/>
      <c r="B30" s="183"/>
      <c r="C30" s="183"/>
      <c r="D30" s="183"/>
      <c r="E30" s="183"/>
      <c r="F30" s="183"/>
      <c r="G30" s="183"/>
    </row>
    <row r="31" spans="1:7" ht="15.75" customHeight="1">
      <c r="A31" s="183"/>
      <c r="B31" s="7" t="s">
        <v>160</v>
      </c>
      <c r="C31" s="7" t="s">
        <v>161</v>
      </c>
      <c r="D31" s="7" t="s">
        <v>162</v>
      </c>
      <c r="E31" s="2" t="s">
        <v>163</v>
      </c>
      <c r="F31" s="2"/>
      <c r="G31" s="2"/>
    </row>
    <row r="32" spans="1:7">
      <c r="A32" s="183"/>
      <c r="B32" s="11" t="s">
        <v>164</v>
      </c>
      <c r="C32" s="11">
        <v>1135</v>
      </c>
      <c r="D32" s="13">
        <f t="shared" ref="D32:D34" si="0">C32*$C$38/1000</f>
        <v>0.51482691999999997</v>
      </c>
      <c r="E32" s="2"/>
      <c r="F32" s="2"/>
      <c r="G32" s="2"/>
    </row>
    <row r="33" spans="1:7">
      <c r="A33" s="183"/>
      <c r="B33" s="11" t="s">
        <v>54</v>
      </c>
      <c r="C33" s="11">
        <v>2249</v>
      </c>
      <c r="D33" s="13">
        <f t="shared" si="0"/>
        <v>1.0201284079999999</v>
      </c>
      <c r="E33" s="2"/>
      <c r="F33" s="2"/>
      <c r="G33" s="2"/>
    </row>
    <row r="34" spans="1:7">
      <c r="A34" s="183"/>
      <c r="B34" s="11" t="s">
        <v>177</v>
      </c>
      <c r="C34" s="11">
        <v>1672</v>
      </c>
      <c r="D34" s="13">
        <f t="shared" si="0"/>
        <v>0.7584058239999999</v>
      </c>
      <c r="E34" s="2"/>
      <c r="F34" s="2"/>
      <c r="G34" s="2"/>
    </row>
    <row r="35" spans="1:7" ht="15.75" customHeight="1">
      <c r="A35" s="183"/>
      <c r="B35" s="19" t="s">
        <v>178</v>
      </c>
      <c r="C35" s="19" t="s">
        <v>179</v>
      </c>
      <c r="D35" s="19"/>
      <c r="E35" s="2"/>
      <c r="F35" s="2"/>
      <c r="G35" s="2"/>
    </row>
    <row r="36" spans="1:7">
      <c r="A36" s="183"/>
      <c r="B36" s="2"/>
      <c r="C36" s="2"/>
      <c r="D36" s="2"/>
      <c r="E36" s="2"/>
      <c r="F36" s="2"/>
      <c r="G36" s="2"/>
    </row>
    <row r="37" spans="1:7">
      <c r="A37" s="183"/>
      <c r="B37" s="33" t="s">
        <v>180</v>
      </c>
      <c r="C37" s="33"/>
      <c r="D37" s="2"/>
      <c r="E37" s="2"/>
      <c r="F37" s="2"/>
      <c r="G37" s="2"/>
    </row>
    <row r="38" spans="1:7">
      <c r="A38" s="183"/>
      <c r="B38" s="33" t="s">
        <v>181</v>
      </c>
      <c r="C38" s="70">
        <v>0.453592</v>
      </c>
      <c r="D38" s="2"/>
      <c r="E38" s="2"/>
      <c r="F38" s="2"/>
      <c r="G38" s="2"/>
    </row>
    <row r="39" spans="1:7">
      <c r="A39" s="183"/>
      <c r="B39" s="2"/>
      <c r="C39" s="2"/>
      <c r="D39" s="2"/>
      <c r="E39" s="2"/>
      <c r="F39" s="2"/>
      <c r="G39" s="2"/>
    </row>
    <row r="40" spans="1:7">
      <c r="A40" s="183"/>
      <c r="B40" s="2"/>
      <c r="C40" s="2"/>
      <c r="D40" s="2"/>
      <c r="E40" s="2"/>
      <c r="F40" s="2"/>
      <c r="G40" s="2"/>
    </row>
  </sheetData>
  <mergeCells count="1">
    <mergeCell ref="B1:G1"/>
  </mergeCells>
  <hyperlinks>
    <hyperlink ref="D4" r:id="rId1"/>
    <hyperlink ref="D5" r:id="rId2"/>
    <hyperlink ref="D6"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showGridLines="0" topLeftCell="A48" workbookViewId="0">
      <selection activeCell="O62" sqref="O62"/>
    </sheetView>
  </sheetViews>
  <sheetFormatPr defaultColWidth="17.28515625" defaultRowHeight="15" customHeight="1"/>
  <cols>
    <col min="1" max="1" width="4.7109375" style="184" customWidth="1"/>
    <col min="2" max="8" width="8.85546875" style="184" customWidth="1"/>
    <col min="9" max="18" width="8.85546875" customWidth="1"/>
  </cols>
  <sheetData>
    <row r="1" spans="1:8">
      <c r="A1" s="183"/>
      <c r="B1" s="183"/>
      <c r="C1" s="183"/>
      <c r="D1" s="183"/>
      <c r="E1" s="183"/>
      <c r="F1" s="183"/>
      <c r="G1" s="183"/>
      <c r="H1" s="183"/>
    </row>
    <row r="2" spans="1:8">
      <c r="A2" s="183"/>
      <c r="B2" s="183" t="s">
        <v>43</v>
      </c>
      <c r="C2" s="183"/>
      <c r="D2" s="183"/>
      <c r="E2" s="183"/>
      <c r="F2" s="183"/>
      <c r="G2" s="183"/>
      <c r="H2" s="183"/>
    </row>
    <row r="3" spans="1:8">
      <c r="A3" s="183"/>
      <c r="B3" s="183"/>
      <c r="C3" s="183"/>
      <c r="D3" s="183"/>
      <c r="E3" s="183"/>
      <c r="F3" s="183"/>
      <c r="G3" s="183"/>
      <c r="H3" s="183"/>
    </row>
    <row r="4" spans="1:8">
      <c r="A4" s="183"/>
      <c r="B4" s="183"/>
      <c r="C4" s="183"/>
      <c r="D4" s="183"/>
      <c r="E4" s="183"/>
      <c r="F4" s="183"/>
      <c r="G4" s="183"/>
      <c r="H4" s="183"/>
    </row>
    <row r="5" spans="1:8">
      <c r="A5" s="183"/>
      <c r="B5" s="183"/>
      <c r="C5" s="183"/>
      <c r="D5" s="183"/>
      <c r="E5" s="183"/>
      <c r="F5" s="183"/>
      <c r="G5" s="183"/>
      <c r="H5" s="183"/>
    </row>
    <row r="6" spans="1:8">
      <c r="A6" s="183"/>
      <c r="B6" s="183"/>
      <c r="C6" s="183"/>
      <c r="D6" s="183"/>
      <c r="E6" s="183"/>
      <c r="F6" s="183"/>
      <c r="G6" s="183"/>
      <c r="H6" s="183"/>
    </row>
    <row r="7" spans="1:8">
      <c r="A7" s="183"/>
      <c r="B7" s="183"/>
      <c r="C7" s="183"/>
      <c r="D7" s="183"/>
      <c r="E7" s="183"/>
      <c r="F7" s="183"/>
      <c r="G7" s="183"/>
      <c r="H7" s="183"/>
    </row>
    <row r="8" spans="1:8">
      <c r="A8" s="183"/>
      <c r="B8" s="183"/>
      <c r="C8" s="183"/>
      <c r="D8" s="183"/>
      <c r="E8" s="183"/>
      <c r="F8" s="183"/>
      <c r="G8" s="183"/>
      <c r="H8" s="183"/>
    </row>
    <row r="9" spans="1:8">
      <c r="A9" s="183"/>
      <c r="B9" s="183"/>
      <c r="C9" s="183"/>
      <c r="D9" s="183"/>
      <c r="E9" s="183"/>
      <c r="F9" s="183"/>
      <c r="G9" s="183"/>
      <c r="H9" s="183"/>
    </row>
    <row r="10" spans="1:8">
      <c r="A10" s="183"/>
      <c r="B10" s="183"/>
      <c r="C10" s="183"/>
      <c r="D10" s="183"/>
      <c r="E10" s="183"/>
      <c r="F10" s="183"/>
      <c r="G10" s="183"/>
      <c r="H10" s="183"/>
    </row>
    <row r="11" spans="1:8">
      <c r="A11" s="183"/>
      <c r="B11" s="183"/>
      <c r="C11" s="183"/>
      <c r="D11" s="183"/>
      <c r="E11" s="183"/>
      <c r="F11" s="183"/>
      <c r="G11" s="183"/>
      <c r="H11" s="183"/>
    </row>
    <row r="12" spans="1:8">
      <c r="A12" s="183"/>
      <c r="B12" s="183"/>
      <c r="C12" s="183"/>
      <c r="D12" s="183"/>
      <c r="E12" s="183"/>
      <c r="F12" s="183"/>
      <c r="G12" s="183"/>
      <c r="H12" s="183"/>
    </row>
    <row r="13" spans="1:8">
      <c r="A13" s="183"/>
      <c r="B13" s="183"/>
      <c r="C13" s="183"/>
      <c r="D13" s="183"/>
      <c r="E13" s="183"/>
      <c r="F13" s="183"/>
      <c r="G13" s="183"/>
      <c r="H13" s="183"/>
    </row>
    <row r="14" spans="1:8">
      <c r="A14" s="183"/>
      <c r="B14" s="183"/>
      <c r="C14" s="183"/>
      <c r="D14" s="183"/>
      <c r="E14" s="183"/>
      <c r="F14" s="183"/>
      <c r="G14" s="183"/>
      <c r="H14" s="183"/>
    </row>
    <row r="15" spans="1:8">
      <c r="A15" s="183"/>
      <c r="B15" s="183"/>
      <c r="C15" s="183"/>
      <c r="D15" s="183"/>
      <c r="E15" s="183"/>
      <c r="F15" s="183"/>
      <c r="G15" s="183"/>
      <c r="H15" s="183"/>
    </row>
    <row r="16" spans="1:8">
      <c r="A16" s="183"/>
      <c r="B16" s="183"/>
      <c r="C16" s="183"/>
      <c r="D16" s="183"/>
      <c r="E16" s="183"/>
      <c r="F16" s="183"/>
      <c r="G16" s="183"/>
      <c r="H16" s="183"/>
    </row>
    <row r="17" spans="1:8">
      <c r="A17" s="183"/>
      <c r="B17" s="183"/>
      <c r="C17" s="183"/>
      <c r="D17" s="183"/>
      <c r="E17" s="183"/>
      <c r="F17" s="183"/>
      <c r="G17" s="183"/>
      <c r="H17" s="190"/>
    </row>
    <row r="18" spans="1:8">
      <c r="A18" s="183"/>
      <c r="B18" s="183"/>
      <c r="C18" s="183"/>
      <c r="D18" s="183"/>
      <c r="E18" s="183"/>
      <c r="F18" s="183"/>
      <c r="G18" s="183"/>
      <c r="H18" s="183"/>
    </row>
    <row r="19" spans="1:8">
      <c r="A19" s="183"/>
      <c r="B19" s="183"/>
      <c r="C19" s="183"/>
      <c r="D19" s="183"/>
      <c r="E19" s="183"/>
      <c r="F19" s="183"/>
      <c r="G19" s="183"/>
      <c r="H19" s="183"/>
    </row>
    <row r="20" spans="1:8">
      <c r="A20" s="183"/>
      <c r="B20" s="183"/>
      <c r="C20" s="183"/>
      <c r="D20" s="183"/>
      <c r="E20" s="183"/>
      <c r="F20" s="183"/>
      <c r="G20" s="183"/>
      <c r="H20" s="183"/>
    </row>
    <row r="21" spans="1:8">
      <c r="A21" s="183"/>
      <c r="B21" s="183"/>
      <c r="C21" s="183"/>
      <c r="D21" s="183"/>
      <c r="E21" s="183"/>
      <c r="F21" s="183"/>
      <c r="G21" s="183"/>
      <c r="H21" s="183"/>
    </row>
    <row r="22" spans="1:8">
      <c r="A22" s="183"/>
      <c r="B22" s="183"/>
      <c r="C22" s="183"/>
      <c r="D22" s="372" t="s">
        <v>48</v>
      </c>
      <c r="E22" s="373"/>
      <c r="F22" s="373"/>
      <c r="G22" s="373"/>
      <c r="H22" s="373"/>
    </row>
    <row r="23" spans="1:8">
      <c r="A23" s="183"/>
      <c r="B23" s="183"/>
      <c r="C23" s="183"/>
      <c r="D23" s="183"/>
      <c r="E23" s="183"/>
      <c r="F23" s="183"/>
      <c r="G23" s="183"/>
      <c r="H23" s="183"/>
    </row>
    <row r="24" spans="1:8">
      <c r="A24" s="183"/>
      <c r="B24" s="183"/>
      <c r="C24" s="183"/>
      <c r="D24" s="183"/>
      <c r="E24" s="183"/>
      <c r="F24" s="183"/>
      <c r="G24" s="183"/>
      <c r="H24" s="183"/>
    </row>
    <row r="25" spans="1:8">
      <c r="A25" s="183"/>
      <c r="B25" s="183"/>
      <c r="C25" s="183"/>
      <c r="D25" s="183"/>
      <c r="E25" s="183"/>
      <c r="F25" s="183"/>
      <c r="G25" s="183"/>
      <c r="H25" s="183"/>
    </row>
    <row r="26" spans="1:8">
      <c r="A26" s="183"/>
      <c r="B26" s="183"/>
      <c r="C26" s="183"/>
      <c r="D26" s="183"/>
      <c r="E26" s="183"/>
      <c r="F26" s="183"/>
      <c r="G26" s="183"/>
      <c r="H26" s="183"/>
    </row>
    <row r="27" spans="1:8">
      <c r="A27" s="183"/>
      <c r="B27" s="183"/>
      <c r="C27" s="183"/>
      <c r="D27" s="183"/>
      <c r="E27" s="183"/>
      <c r="F27" s="183"/>
      <c r="G27" s="183"/>
      <c r="H27" s="183"/>
    </row>
    <row r="28" spans="1:8">
      <c r="A28" s="183"/>
      <c r="B28" s="183"/>
      <c r="C28" s="183"/>
      <c r="D28" s="183"/>
      <c r="E28" s="183"/>
      <c r="F28" s="183"/>
      <c r="G28" s="183"/>
      <c r="H28" s="183"/>
    </row>
    <row r="29" spans="1:8">
      <c r="A29" s="183"/>
      <c r="B29" s="183"/>
      <c r="C29" s="183"/>
      <c r="D29" s="183"/>
      <c r="E29" s="183"/>
      <c r="F29" s="183"/>
      <c r="G29" s="183"/>
      <c r="H29" s="183"/>
    </row>
    <row r="30" spans="1:8">
      <c r="A30" s="183"/>
      <c r="B30" s="183"/>
      <c r="C30" s="183"/>
      <c r="D30" s="183"/>
      <c r="E30" s="183"/>
      <c r="F30" s="183"/>
      <c r="G30" s="183"/>
      <c r="H30" s="183"/>
    </row>
    <row r="31" spans="1:8">
      <c r="A31" s="183"/>
      <c r="B31" s="183"/>
      <c r="C31" s="183"/>
      <c r="D31" s="183"/>
      <c r="E31" s="183"/>
      <c r="F31" s="183"/>
      <c r="G31" s="183"/>
      <c r="H31" s="183"/>
    </row>
    <row r="32" spans="1:8">
      <c r="A32" s="183"/>
      <c r="B32" s="183"/>
      <c r="C32" s="183"/>
      <c r="D32" s="183"/>
      <c r="E32" s="183"/>
      <c r="F32" s="183"/>
      <c r="G32" s="183"/>
      <c r="H32" s="183"/>
    </row>
    <row r="33" spans="1:8">
      <c r="A33" s="183"/>
      <c r="B33" s="183"/>
      <c r="C33" s="183"/>
      <c r="D33" s="183"/>
      <c r="E33" s="183"/>
      <c r="F33" s="183"/>
      <c r="G33" s="183"/>
      <c r="H33" s="183"/>
    </row>
    <row r="34" spans="1:8">
      <c r="A34" s="183"/>
      <c r="B34" s="183"/>
      <c r="C34" s="183"/>
      <c r="D34" s="183"/>
      <c r="E34" s="183"/>
      <c r="F34" s="183"/>
      <c r="G34" s="183"/>
      <c r="H34" s="183"/>
    </row>
    <row r="35" spans="1:8">
      <c r="A35" s="183"/>
      <c r="B35" s="183"/>
      <c r="C35" s="183"/>
      <c r="D35" s="183"/>
      <c r="E35" s="183"/>
      <c r="F35" s="183"/>
      <c r="G35" s="183"/>
      <c r="H35" s="183"/>
    </row>
    <row r="36" spans="1:8">
      <c r="A36" s="183"/>
      <c r="B36" s="183" t="s">
        <v>49</v>
      </c>
      <c r="C36" s="183"/>
      <c r="D36" s="183"/>
      <c r="E36" s="183"/>
      <c r="F36" s="183"/>
      <c r="G36" s="183"/>
      <c r="H36" s="183"/>
    </row>
    <row r="37" spans="1:8">
      <c r="A37" s="183"/>
      <c r="B37" s="183"/>
      <c r="C37" s="183"/>
      <c r="D37" s="183"/>
      <c r="E37" s="183"/>
      <c r="F37" s="183"/>
      <c r="G37" s="183"/>
      <c r="H37" s="183"/>
    </row>
    <row r="38" spans="1:8">
      <c r="A38" s="183"/>
      <c r="B38" s="183"/>
      <c r="C38" s="183"/>
      <c r="D38" s="183"/>
      <c r="E38" s="183"/>
      <c r="F38" s="183"/>
      <c r="G38" s="183"/>
      <c r="H38" s="183"/>
    </row>
    <row r="39" spans="1:8" ht="18" customHeight="1">
      <c r="A39" s="183"/>
      <c r="B39" s="183"/>
      <c r="C39" s="183"/>
      <c r="D39" s="183"/>
      <c r="E39" s="183"/>
      <c r="F39" s="183"/>
      <c r="G39" s="183"/>
      <c r="H39" s="183"/>
    </row>
    <row r="40" spans="1:8">
      <c r="A40" s="183"/>
      <c r="B40" s="183"/>
      <c r="C40" s="183"/>
      <c r="D40" s="183"/>
      <c r="E40" s="183"/>
      <c r="F40" s="183"/>
      <c r="G40" s="183"/>
      <c r="H40" s="183"/>
    </row>
    <row r="41" spans="1:8">
      <c r="A41" s="183"/>
      <c r="B41" s="183"/>
      <c r="C41" s="183"/>
      <c r="D41" s="183"/>
      <c r="E41" s="183"/>
      <c r="F41" s="183"/>
      <c r="G41" s="183"/>
      <c r="H41" s="183"/>
    </row>
    <row r="42" spans="1:8">
      <c r="A42" s="183"/>
      <c r="B42" s="183"/>
      <c r="C42" s="183"/>
      <c r="D42" s="183"/>
      <c r="E42" s="183"/>
      <c r="F42" s="183"/>
      <c r="G42" s="183"/>
      <c r="H42" s="183"/>
    </row>
    <row r="43" spans="1:8">
      <c r="A43" s="183"/>
      <c r="B43" s="183"/>
      <c r="C43" s="183"/>
      <c r="D43" s="183"/>
      <c r="E43" s="183"/>
      <c r="F43" s="183"/>
      <c r="G43" s="183"/>
      <c r="H43" s="183"/>
    </row>
    <row r="44" spans="1:8">
      <c r="A44" s="183"/>
      <c r="B44" s="183"/>
      <c r="C44" s="183"/>
      <c r="D44" s="183"/>
      <c r="E44" s="183"/>
      <c r="F44" s="183"/>
      <c r="G44" s="183"/>
      <c r="H44" s="183"/>
    </row>
    <row r="45" spans="1:8">
      <c r="A45" s="183"/>
      <c r="B45" s="183"/>
      <c r="C45" s="183"/>
      <c r="D45" s="183"/>
      <c r="E45" s="183"/>
      <c r="F45" s="183"/>
      <c r="G45" s="183"/>
      <c r="H45" s="183"/>
    </row>
    <row r="46" spans="1:8">
      <c r="A46" s="183"/>
      <c r="B46" s="183"/>
      <c r="C46" s="183"/>
      <c r="D46" s="183"/>
      <c r="E46" s="183"/>
      <c r="F46" s="183"/>
      <c r="G46" s="183"/>
      <c r="H46" s="183"/>
    </row>
    <row r="47" spans="1:8">
      <c r="A47" s="183"/>
      <c r="B47" s="183"/>
      <c r="C47" s="183"/>
      <c r="D47" s="183"/>
      <c r="E47" s="183"/>
      <c r="F47" s="183"/>
      <c r="G47" s="183"/>
      <c r="H47" s="183"/>
    </row>
    <row r="48" spans="1:8">
      <c r="A48" s="183"/>
      <c r="B48" s="183"/>
      <c r="C48" s="183"/>
      <c r="D48" s="183"/>
      <c r="E48" s="183"/>
      <c r="F48" s="183"/>
      <c r="G48" s="183"/>
      <c r="H48" s="183"/>
    </row>
    <row r="49" spans="1:8">
      <c r="A49" s="183"/>
      <c r="B49" s="183"/>
      <c r="C49" s="183"/>
      <c r="D49" s="183"/>
      <c r="E49" s="183"/>
      <c r="F49" s="183"/>
      <c r="G49" s="183"/>
      <c r="H49" s="183"/>
    </row>
    <row r="50" spans="1:8">
      <c r="A50" s="183"/>
      <c r="B50" s="183"/>
      <c r="C50" s="183"/>
      <c r="D50" s="183"/>
      <c r="E50" s="183"/>
      <c r="F50" s="183"/>
      <c r="G50" s="183"/>
      <c r="H50" s="183"/>
    </row>
    <row r="51" spans="1:8">
      <c r="A51" s="183"/>
      <c r="B51" s="183"/>
      <c r="C51" s="183"/>
      <c r="D51" s="183"/>
      <c r="E51" s="183"/>
      <c r="F51" s="183"/>
      <c r="G51" s="183"/>
      <c r="H51" s="183"/>
    </row>
    <row r="52" spans="1:8">
      <c r="A52" s="183"/>
      <c r="B52" s="183"/>
      <c r="C52" s="183"/>
      <c r="D52" s="183"/>
      <c r="E52" s="183"/>
      <c r="F52" s="183"/>
      <c r="G52" s="183"/>
      <c r="H52" s="183"/>
    </row>
    <row r="53" spans="1:8">
      <c r="A53" s="183"/>
      <c r="B53" s="183"/>
      <c r="C53" s="183"/>
      <c r="D53" s="183"/>
      <c r="E53" s="183"/>
      <c r="F53" s="183"/>
      <c r="G53" s="183"/>
      <c r="H53" s="183"/>
    </row>
    <row r="54" spans="1:8">
      <c r="A54" s="183"/>
      <c r="B54" s="183"/>
      <c r="C54" s="183"/>
      <c r="D54" s="183"/>
      <c r="E54" s="183"/>
      <c r="F54" s="183"/>
      <c r="G54" s="183"/>
      <c r="H54" s="183"/>
    </row>
    <row r="55" spans="1:8">
      <c r="A55" s="183"/>
      <c r="B55" s="183"/>
      <c r="C55" s="183"/>
      <c r="D55" s="183"/>
      <c r="E55" s="183"/>
      <c r="F55" s="183"/>
      <c r="G55" s="183"/>
      <c r="H55" s="183"/>
    </row>
    <row r="56" spans="1:8">
      <c r="A56" s="183"/>
      <c r="B56" s="183"/>
      <c r="C56" s="183"/>
      <c r="D56" s="183"/>
      <c r="E56" s="183"/>
      <c r="F56" s="183"/>
      <c r="G56" s="183"/>
      <c r="H56" s="183"/>
    </row>
    <row r="57" spans="1:8">
      <c r="A57" s="183"/>
      <c r="B57" s="183"/>
      <c r="C57" s="183"/>
      <c r="D57" s="183"/>
      <c r="E57" s="183"/>
      <c r="F57" s="183"/>
      <c r="G57" s="183"/>
      <c r="H57" s="183"/>
    </row>
    <row r="58" spans="1:8">
      <c r="A58" s="183"/>
      <c r="B58" s="183"/>
      <c r="C58" s="183"/>
      <c r="D58" s="183"/>
      <c r="E58" s="183"/>
      <c r="F58" s="183"/>
      <c r="G58" s="183"/>
      <c r="H58" s="183"/>
    </row>
    <row r="59" spans="1:8">
      <c r="A59" s="183"/>
      <c r="B59" s="183"/>
      <c r="C59" s="183"/>
      <c r="D59" s="183"/>
      <c r="E59" s="183"/>
      <c r="F59" s="183"/>
      <c r="G59" s="183"/>
      <c r="H59" s="183"/>
    </row>
    <row r="60" spans="1:8">
      <c r="A60" s="183"/>
      <c r="B60" s="183"/>
      <c r="C60" s="183"/>
      <c r="D60" s="183"/>
      <c r="E60" s="183"/>
      <c r="F60" s="183"/>
      <c r="G60" s="183"/>
      <c r="H60" s="183"/>
    </row>
    <row r="61" spans="1:8">
      <c r="A61" s="183"/>
      <c r="B61" s="183" t="s">
        <v>51</v>
      </c>
      <c r="C61" s="183"/>
      <c r="D61" s="183"/>
      <c r="E61" s="183"/>
      <c r="F61" s="183"/>
      <c r="G61" s="183"/>
      <c r="H61" s="183"/>
    </row>
  </sheetData>
  <mergeCells count="1">
    <mergeCell ref="D22:H2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heetViews>
  <sheetFormatPr defaultColWidth="17.28515625" defaultRowHeight="15" customHeight="1"/>
  <cols>
    <col min="1" max="1" width="34.42578125" customWidth="1"/>
    <col min="2" max="2" width="16" customWidth="1"/>
    <col min="3" max="8" width="12.7109375" customWidth="1"/>
    <col min="9" max="9" width="21" customWidth="1"/>
    <col min="10" max="10" width="18.7109375" customWidth="1"/>
    <col min="11" max="13" width="8.85546875" customWidth="1"/>
  </cols>
  <sheetData>
    <row r="1" spans="1:10">
      <c r="A1" s="23"/>
      <c r="B1" s="24"/>
      <c r="C1" s="24"/>
      <c r="D1" s="24"/>
      <c r="E1" s="24"/>
      <c r="F1" s="24"/>
      <c r="G1" s="24"/>
      <c r="H1" s="24"/>
      <c r="I1" s="25"/>
      <c r="J1" s="25"/>
    </row>
    <row r="2" spans="1:10">
      <c r="A2" s="23"/>
      <c r="B2" s="24"/>
      <c r="C2" s="24"/>
      <c r="D2" s="24"/>
      <c r="E2" s="24"/>
      <c r="F2" s="24"/>
      <c r="G2" s="24"/>
      <c r="H2" s="24"/>
      <c r="I2" s="25"/>
      <c r="J2" s="25"/>
    </row>
    <row r="3" spans="1:10" ht="30" customHeight="1">
      <c r="A3" s="23" t="s">
        <v>28</v>
      </c>
      <c r="B3" s="30">
        <f>Summary!C31</f>
        <v>693.5</v>
      </c>
      <c r="C3" s="31"/>
      <c r="D3" s="31"/>
      <c r="E3" s="31"/>
      <c r="F3" s="31"/>
      <c r="G3" s="31"/>
      <c r="H3" s="31"/>
      <c r="I3" s="25"/>
      <c r="J3" s="25"/>
    </row>
    <row r="4" spans="1:10" ht="30" customHeight="1">
      <c r="A4" s="23" t="s">
        <v>37</v>
      </c>
      <c r="B4" s="39">
        <v>20</v>
      </c>
      <c r="C4" s="39" t="s">
        <v>55</v>
      </c>
      <c r="D4" s="39" t="s">
        <v>56</v>
      </c>
      <c r="E4" s="39"/>
      <c r="F4" s="39"/>
      <c r="G4" s="24"/>
      <c r="H4" s="24"/>
      <c r="I4" s="25"/>
      <c r="J4" s="25"/>
    </row>
    <row r="5" spans="1:10">
      <c r="A5" s="23" t="s">
        <v>57</v>
      </c>
      <c r="B5" s="40">
        <f>B4*B3*1000000</f>
        <v>13870000000</v>
      </c>
      <c r="C5" s="40"/>
      <c r="D5" s="40"/>
      <c r="E5" s="40"/>
      <c r="F5" s="40"/>
      <c r="G5" s="24"/>
      <c r="H5" s="24"/>
      <c r="I5" s="25"/>
      <c r="J5" s="25"/>
    </row>
    <row r="6" spans="1:10" ht="30" customHeight="1">
      <c r="A6" s="23" t="s">
        <v>60</v>
      </c>
      <c r="B6" s="39">
        <v>0.05</v>
      </c>
      <c r="C6" s="39"/>
      <c r="D6" s="39"/>
      <c r="E6" s="39"/>
      <c r="F6" s="39"/>
      <c r="G6" s="24"/>
      <c r="H6" s="24"/>
      <c r="I6" s="25"/>
      <c r="J6" s="25"/>
    </row>
    <row r="7" spans="1:10" ht="30" customHeight="1">
      <c r="A7" s="23" t="s">
        <v>61</v>
      </c>
      <c r="B7" s="24"/>
      <c r="C7" s="24"/>
      <c r="D7" s="24"/>
      <c r="E7" s="24"/>
      <c r="F7" s="24"/>
      <c r="G7" s="24"/>
      <c r="H7" s="24"/>
      <c r="I7" s="25"/>
      <c r="J7" s="25"/>
    </row>
    <row r="8" spans="1:10" ht="30" customHeight="1">
      <c r="A8" s="45" t="s">
        <v>62</v>
      </c>
      <c r="B8" s="24">
        <v>4</v>
      </c>
      <c r="C8" s="24"/>
      <c r="D8" s="24"/>
      <c r="E8" s="24"/>
      <c r="F8" s="24"/>
      <c r="G8" s="39"/>
      <c r="H8" s="24"/>
      <c r="I8" s="25"/>
      <c r="J8" s="25"/>
    </row>
    <row r="9" spans="1:10" ht="30" customHeight="1">
      <c r="A9" s="45" t="s">
        <v>68</v>
      </c>
      <c r="B9" s="30">
        <f>Summary!C16</f>
        <v>5</v>
      </c>
      <c r="C9" s="24"/>
      <c r="D9" s="24"/>
      <c r="E9" s="24"/>
      <c r="F9" s="24"/>
      <c r="G9" s="24"/>
      <c r="H9" s="24"/>
      <c r="I9" s="25"/>
      <c r="J9" s="25"/>
    </row>
    <row r="10" spans="1:10">
      <c r="A10" s="45" t="s">
        <v>69</v>
      </c>
      <c r="B10" s="50">
        <f>B9*1000000*B8</f>
        <v>20000000</v>
      </c>
      <c r="C10" s="50"/>
      <c r="D10" s="50"/>
      <c r="E10" s="50"/>
      <c r="F10" s="50"/>
      <c r="G10" s="31"/>
      <c r="H10" s="31"/>
      <c r="I10" s="25"/>
      <c r="J10" s="25"/>
    </row>
    <row r="11" spans="1:10" ht="30" customHeight="1">
      <c r="A11" s="45" t="s">
        <v>82</v>
      </c>
      <c r="B11" s="30">
        <f>B5/B10</f>
        <v>693.5</v>
      </c>
      <c r="C11" s="31"/>
      <c r="D11" s="31"/>
      <c r="E11" s="31"/>
      <c r="F11" s="31"/>
      <c r="G11" s="31"/>
      <c r="H11" s="31"/>
      <c r="I11" s="25"/>
      <c r="J11" s="25"/>
    </row>
    <row r="12" spans="1:10" ht="45" customHeight="1">
      <c r="A12" s="45" t="s">
        <v>83</v>
      </c>
      <c r="B12" s="57">
        <v>1000</v>
      </c>
      <c r="C12" s="31"/>
      <c r="D12" s="31"/>
      <c r="E12" s="31"/>
      <c r="F12" s="31"/>
      <c r="G12" s="31"/>
      <c r="H12" s="31"/>
      <c r="I12" s="25"/>
      <c r="J12" s="25"/>
    </row>
    <row r="13" spans="1:10" ht="60" customHeight="1">
      <c r="A13" s="68" t="s">
        <v>153</v>
      </c>
      <c r="B13" s="23" t="s">
        <v>167</v>
      </c>
      <c r="C13" s="23" t="s">
        <v>168</v>
      </c>
      <c r="D13" s="23" t="s">
        <v>169</v>
      </c>
      <c r="E13" s="23" t="s">
        <v>170</v>
      </c>
      <c r="F13" s="23" t="s">
        <v>171</v>
      </c>
      <c r="G13" s="23" t="s">
        <v>172</v>
      </c>
      <c r="H13" s="23" t="s">
        <v>173</v>
      </c>
      <c r="I13" s="23" t="s">
        <v>174</v>
      </c>
      <c r="J13" s="23" t="s">
        <v>175</v>
      </c>
    </row>
    <row r="14" spans="1:10">
      <c r="A14" s="25">
        <v>1</v>
      </c>
      <c r="B14" s="30">
        <f>D14</f>
        <v>693.5</v>
      </c>
      <c r="C14" s="78">
        <f t="shared" ref="C14:C67" si="0">G14/H14</f>
        <v>0</v>
      </c>
      <c r="D14" s="80">
        <f>J14/B$10</f>
        <v>693.5</v>
      </c>
      <c r="E14" s="82">
        <f t="shared" ref="E14:E67" si="1">D14*B$12/1000000</f>
        <v>0.69350000000000001</v>
      </c>
      <c r="F14" s="83">
        <f>B14/Summary!C$23</f>
        <v>9.8930099857346653E-3</v>
      </c>
      <c r="G14" s="84">
        <v>0</v>
      </c>
      <c r="H14" s="84">
        <f>Summary!C34</f>
        <v>347.92166666666662</v>
      </c>
      <c r="I14" s="85"/>
      <c r="J14" s="86">
        <f t="shared" ref="J14:J67" si="2">B$5+I14</f>
        <v>13870000000</v>
      </c>
    </row>
    <row r="15" spans="1:10">
      <c r="A15" s="89">
        <f t="shared" ref="A15:A67" si="3">A14+1</f>
        <v>2</v>
      </c>
      <c r="B15" s="30">
        <f t="shared" ref="B15:B67" si="4">B14+D15</f>
        <v>1417.5</v>
      </c>
      <c r="C15" s="78">
        <f t="shared" si="0"/>
        <v>1.270703529117796E-2</v>
      </c>
      <c r="D15" s="85">
        <f t="shared" ref="D15:D67" si="5">ROUNDDOWN(J15/B$10,0)</f>
        <v>724</v>
      </c>
      <c r="E15" s="82">
        <f t="shared" si="1"/>
        <v>0.72399999999999998</v>
      </c>
      <c r="F15" s="83">
        <f>B15/Summary!C$23</f>
        <v>2.0221112696148361E-2</v>
      </c>
      <c r="G15" s="84">
        <f>G14+('development plan (Wind)'!B14/Summary!C$23)*Summary!C$27</f>
        <v>8.8421057937975753</v>
      </c>
      <c r="H15" s="84">
        <f t="shared" ref="H15:H67" si="6">H14+H$14</f>
        <v>695.84333333333325</v>
      </c>
      <c r="I15" s="86">
        <f>B14*Summary!C$16*Summary!C$17*24*375*1000*B$6</f>
        <v>624150000</v>
      </c>
      <c r="J15" s="86">
        <f t="shared" si="2"/>
        <v>14494150000</v>
      </c>
    </row>
    <row r="16" spans="1:10">
      <c r="A16" s="89">
        <f t="shared" si="3"/>
        <v>3</v>
      </c>
      <c r="B16" s="30">
        <f t="shared" si="4"/>
        <v>2174.5</v>
      </c>
      <c r="C16" s="78">
        <f t="shared" si="0"/>
        <v>2.5786639269095579E-2</v>
      </c>
      <c r="D16" s="85">
        <f t="shared" si="5"/>
        <v>757</v>
      </c>
      <c r="E16" s="82">
        <f t="shared" si="1"/>
        <v>0.75700000000000001</v>
      </c>
      <c r="F16" s="83">
        <f>B16/Summary!C$23</f>
        <v>3.101997146932953E-2</v>
      </c>
      <c r="G16" s="84">
        <f>G15+('development plan (Wind)'!B15/Summary!C$23)*Summary!C$27</f>
        <v>26.915191536707542</v>
      </c>
      <c r="H16" s="84">
        <f t="shared" si="6"/>
        <v>1043.7649999999999</v>
      </c>
      <c r="I16" s="86">
        <f>B15*Summary!C$16*Summary!C$17*24*375*1000*B$6</f>
        <v>1275750000</v>
      </c>
      <c r="J16" s="86">
        <f t="shared" si="2"/>
        <v>15145750000</v>
      </c>
    </row>
    <row r="17" spans="1:10">
      <c r="A17" s="89">
        <f t="shared" si="3"/>
        <v>4</v>
      </c>
      <c r="B17" s="30">
        <f t="shared" si="4"/>
        <v>2965.5</v>
      </c>
      <c r="C17" s="78">
        <f t="shared" si="0"/>
        <v>3.9261715746462256E-2</v>
      </c>
      <c r="D17" s="85">
        <f t="shared" si="5"/>
        <v>791</v>
      </c>
      <c r="E17" s="82">
        <f t="shared" si="1"/>
        <v>0.79100000000000004</v>
      </c>
      <c r="F17" s="83">
        <f>B17/Summary!C$23</f>
        <v>4.2303851640513555E-2</v>
      </c>
      <c r="G17" s="84">
        <f>G16+('development plan (Wind)'!B16/Summary!C$23)*Summary!C$27</f>
        <v>54.640006314808232</v>
      </c>
      <c r="H17" s="84">
        <f t="shared" si="6"/>
        <v>1391.6866666666665</v>
      </c>
      <c r="I17" s="86">
        <f>B16*Summary!C$16*Summary!C$17*24*375*1000*B$6</f>
        <v>1957050000</v>
      </c>
      <c r="J17" s="86">
        <f t="shared" si="2"/>
        <v>15827050000</v>
      </c>
    </row>
    <row r="18" spans="1:10">
      <c r="A18" s="89">
        <f t="shared" si="3"/>
        <v>5</v>
      </c>
      <c r="B18" s="30">
        <f t="shared" si="4"/>
        <v>3791.5</v>
      </c>
      <c r="C18" s="78">
        <f t="shared" si="0"/>
        <v>5.3144174705886886E-2</v>
      </c>
      <c r="D18" s="85">
        <f t="shared" si="5"/>
        <v>826</v>
      </c>
      <c r="E18" s="82">
        <f t="shared" si="1"/>
        <v>0.82599999999999996</v>
      </c>
      <c r="F18" s="83">
        <f>B18/Summary!C$23</f>
        <v>5.4087018544935805E-2</v>
      </c>
      <c r="G18" s="84">
        <f>G17+('development plan (Wind)'!B17/Summary!C$23)*Summary!C$27</f>
        <v>92.450049186483369</v>
      </c>
      <c r="H18" s="84">
        <f t="shared" si="6"/>
        <v>1739.6083333333331</v>
      </c>
      <c r="I18" s="86">
        <f>B17*Summary!C$16*Summary!C$17*24*375*1000*B$6</f>
        <v>2668950000</v>
      </c>
      <c r="J18" s="86">
        <f t="shared" si="2"/>
        <v>16538950000</v>
      </c>
    </row>
    <row r="19" spans="1:10">
      <c r="A19" s="89">
        <f t="shared" si="3"/>
        <v>6</v>
      </c>
      <c r="B19" s="30">
        <f t="shared" si="4"/>
        <v>4655.5</v>
      </c>
      <c r="C19" s="78">
        <f t="shared" si="0"/>
        <v>6.7444093824961623E-2</v>
      </c>
      <c r="D19" s="85">
        <f t="shared" si="5"/>
        <v>864</v>
      </c>
      <c r="E19" s="82">
        <f t="shared" si="1"/>
        <v>0.86399999999999999</v>
      </c>
      <c r="F19" s="83">
        <f>B19/Summary!C$23</f>
        <v>6.6412268188302426E-2</v>
      </c>
      <c r="G19" s="84">
        <f>G18+('development plan (Wind)'!B18/Summary!C$23)*Summary!C$27</f>
        <v>140.79156918242211</v>
      </c>
      <c r="H19" s="84">
        <f t="shared" si="6"/>
        <v>2087.5299999999997</v>
      </c>
      <c r="I19" s="86">
        <f>B18*Summary!C$16*Summary!C$17*24*375*1000*B$6</f>
        <v>3412350000</v>
      </c>
      <c r="J19" s="86">
        <f t="shared" si="2"/>
        <v>17282350000</v>
      </c>
    </row>
    <row r="20" spans="1:10">
      <c r="A20" s="89">
        <f t="shared" si="3"/>
        <v>7</v>
      </c>
      <c r="B20" s="30">
        <f t="shared" si="4"/>
        <v>5557.5</v>
      </c>
      <c r="C20" s="78">
        <f t="shared" si="0"/>
        <v>8.2181497579940935E-2</v>
      </c>
      <c r="D20" s="85">
        <f t="shared" si="5"/>
        <v>902</v>
      </c>
      <c r="E20" s="82">
        <f t="shared" si="1"/>
        <v>0.90200000000000002</v>
      </c>
      <c r="F20" s="83">
        <f>B20/Summary!C$23</f>
        <v>7.9279600570613409E-2</v>
      </c>
      <c r="G20" s="84">
        <f>G19+('development plan (Wind)'!B19/Summary!C$23)*Summary!C$27</f>
        <v>200.14906525022977</v>
      </c>
      <c r="H20" s="84">
        <f t="shared" si="6"/>
        <v>2435.4516666666664</v>
      </c>
      <c r="I20" s="86">
        <f>B19*Summary!C$16*Summary!C$17*24*375*1000*B$6</f>
        <v>4189950000</v>
      </c>
      <c r="J20" s="86">
        <f t="shared" si="2"/>
        <v>18059950000</v>
      </c>
    </row>
    <row r="21" spans="1:10">
      <c r="A21" s="89">
        <f t="shared" si="3"/>
        <v>8</v>
      </c>
      <c r="B21" s="30">
        <f t="shared" si="4"/>
        <v>6500.5</v>
      </c>
      <c r="C21" s="78">
        <f t="shared" si="0"/>
        <v>9.7366398208952112E-2</v>
      </c>
      <c r="D21" s="85">
        <f t="shared" si="5"/>
        <v>943</v>
      </c>
      <c r="E21" s="82">
        <f t="shared" si="1"/>
        <v>0.94299999999999995</v>
      </c>
      <c r="F21" s="83">
        <f>B21/Summary!C$23</f>
        <v>9.2731811697574898E-2</v>
      </c>
      <c r="G21" s="84">
        <f>G20+('development plan (Wind)'!B20/Summary!C$23)*Summary!C$27</f>
        <v>271.00703633751169</v>
      </c>
      <c r="H21" s="84">
        <f t="shared" si="6"/>
        <v>2783.373333333333</v>
      </c>
      <c r="I21" s="86">
        <f>B20*Summary!C$16*Summary!C$17*24*375*1000*B$6</f>
        <v>5001750000</v>
      </c>
      <c r="J21" s="86">
        <f t="shared" si="2"/>
        <v>18871750000</v>
      </c>
    </row>
    <row r="22" spans="1:10">
      <c r="A22" s="89">
        <f t="shared" si="3"/>
        <v>9</v>
      </c>
      <c r="B22" s="30">
        <f t="shared" si="4"/>
        <v>7486.5</v>
      </c>
      <c r="C22" s="78">
        <f t="shared" si="0"/>
        <v>0.11301657343328864</v>
      </c>
      <c r="D22" s="85">
        <f t="shared" si="5"/>
        <v>986</v>
      </c>
      <c r="E22" s="82">
        <f t="shared" si="1"/>
        <v>0.98599999999999999</v>
      </c>
      <c r="F22" s="83">
        <f>B22/Summary!C$23</f>
        <v>0.10679743223965764</v>
      </c>
      <c r="G22" s="84">
        <f>G21+('development plan (Wind)'!B21/Summary!C$23)*Summary!C$27</f>
        <v>353.8882313087895</v>
      </c>
      <c r="H22" s="84">
        <f t="shared" si="6"/>
        <v>3131.2949999999996</v>
      </c>
      <c r="I22" s="86">
        <f>B21*Summary!C$16*Summary!C$17*24*375*1000*B$6</f>
        <v>5850450000</v>
      </c>
      <c r="J22" s="86">
        <f t="shared" si="2"/>
        <v>19720450000</v>
      </c>
    </row>
    <row r="23" spans="1:10">
      <c r="A23" s="89">
        <f t="shared" si="3"/>
        <v>10</v>
      </c>
      <c r="B23" s="30">
        <f t="shared" si="4"/>
        <v>8516.5</v>
      </c>
      <c r="C23" s="78">
        <f t="shared" si="0"/>
        <v>0.1291500191057936</v>
      </c>
      <c r="D23" s="85">
        <f t="shared" si="5"/>
        <v>1030</v>
      </c>
      <c r="E23" s="82">
        <f t="shared" si="1"/>
        <v>1.03</v>
      </c>
      <c r="F23" s="83">
        <f>B23/Summary!C$23</f>
        <v>0.121490727532097</v>
      </c>
      <c r="G23" s="84">
        <f>G22+('development plan (Wind)'!B22/Summary!C$23)*Summary!C$27</f>
        <v>449.34089897319546</v>
      </c>
      <c r="H23" s="84">
        <f t="shared" si="6"/>
        <v>3479.2166666666662</v>
      </c>
      <c r="I23" s="86">
        <f>B22*Summary!C$16*Summary!C$17*24*375*1000*B$6</f>
        <v>6737850000</v>
      </c>
      <c r="J23" s="86">
        <f t="shared" si="2"/>
        <v>20607850000</v>
      </c>
    </row>
    <row r="24" spans="1:10">
      <c r="A24" s="89">
        <f t="shared" si="3"/>
        <v>11</v>
      </c>
      <c r="B24" s="30">
        <f t="shared" si="4"/>
        <v>9592.5</v>
      </c>
      <c r="C24" s="78">
        <f t="shared" si="0"/>
        <v>0.14578151859648852</v>
      </c>
      <c r="D24" s="85">
        <f t="shared" si="5"/>
        <v>1076</v>
      </c>
      <c r="E24" s="82">
        <f t="shared" si="1"/>
        <v>1.0760000000000001</v>
      </c>
      <c r="F24" s="83">
        <f>B24/Summary!C$23</f>
        <v>0.13684022824536377</v>
      </c>
      <c r="G24" s="84">
        <f>G23+('development plan (Wind)'!B23/Summary!C$23)*Summary!C$27</f>
        <v>557.92603811216736</v>
      </c>
      <c r="H24" s="84">
        <f t="shared" si="6"/>
        <v>3827.1383333333329</v>
      </c>
      <c r="I24" s="86">
        <f>B23*Summary!C$16*Summary!C$17*24*375*1000*B$6</f>
        <v>7664850000</v>
      </c>
      <c r="J24" s="86">
        <f t="shared" si="2"/>
        <v>21534850000</v>
      </c>
    </row>
    <row r="25" spans="1:10">
      <c r="A25" s="89">
        <f t="shared" si="3"/>
        <v>12</v>
      </c>
      <c r="B25" s="30">
        <f t="shared" si="4"/>
        <v>10717.5</v>
      </c>
      <c r="C25" s="78">
        <f t="shared" si="0"/>
        <v>0.16292703516877696</v>
      </c>
      <c r="D25" s="85">
        <f t="shared" si="5"/>
        <v>1125</v>
      </c>
      <c r="E25" s="82">
        <f t="shared" si="1"/>
        <v>1.125</v>
      </c>
      <c r="F25" s="83">
        <f>B25/Summary!C$23</f>
        <v>0.15288873038516404</v>
      </c>
      <c r="G25" s="84">
        <f>G24+('development plan (Wind)'!B24/Summary!C$23)*Summary!C$27</f>
        <v>680.23014745175385</v>
      </c>
      <c r="H25" s="84">
        <f t="shared" si="6"/>
        <v>4175.0599999999995</v>
      </c>
      <c r="I25" s="86">
        <f>B24*Summary!C$16*Summary!C$17*24*375*1000*B$6</f>
        <v>8633250000</v>
      </c>
      <c r="J25" s="86">
        <f t="shared" si="2"/>
        <v>22503250000</v>
      </c>
    </row>
    <row r="26" spans="1:10">
      <c r="A26" s="89">
        <f t="shared" si="3"/>
        <v>13</v>
      </c>
      <c r="B26" s="30">
        <f t="shared" si="4"/>
        <v>11892.5</v>
      </c>
      <c r="C26" s="78">
        <f t="shared" si="0"/>
        <v>0.18060607710509249</v>
      </c>
      <c r="D26" s="85">
        <f t="shared" si="5"/>
        <v>1175</v>
      </c>
      <c r="E26" s="82">
        <f t="shared" si="1"/>
        <v>1.175</v>
      </c>
      <c r="F26" s="83">
        <f>B26/Summary!C$23</f>
        <v>0.16965049928673323</v>
      </c>
      <c r="G26" s="84">
        <f>G25+('development plan (Wind)'!B25/Summary!C$23)*Summary!C$27</f>
        <v>816.87797563491972</v>
      </c>
      <c r="H26" s="84">
        <f t="shared" si="6"/>
        <v>4522.9816666666666</v>
      </c>
      <c r="I26" s="86">
        <f>B25*Summary!C$16*Summary!C$17*24*375*1000*B$6</f>
        <v>9645750000</v>
      </c>
      <c r="J26" s="86">
        <f t="shared" si="2"/>
        <v>23515750000</v>
      </c>
    </row>
    <row r="27" spans="1:10">
      <c r="A27" s="89">
        <f t="shared" si="3"/>
        <v>14</v>
      </c>
      <c r="B27" s="30">
        <f t="shared" si="4"/>
        <v>13120.5</v>
      </c>
      <c r="C27" s="78">
        <f t="shared" si="0"/>
        <v>0.19883519647148307</v>
      </c>
      <c r="D27" s="85">
        <f t="shared" si="5"/>
        <v>1228</v>
      </c>
      <c r="E27" s="82">
        <f t="shared" si="1"/>
        <v>1.228</v>
      </c>
      <c r="F27" s="83">
        <f>B27/Summary!C$23</f>
        <v>0.18716833095577745</v>
      </c>
      <c r="G27" s="84">
        <f>G26+('development plan (Wind)'!B26/Summary!C$23)*Summary!C$27</f>
        <v>968.50702127693512</v>
      </c>
      <c r="H27" s="84">
        <f t="shared" si="6"/>
        <v>4870.9033333333336</v>
      </c>
      <c r="I27" s="86">
        <f>B26*Summary!C$16*Summary!C$17*24*375*1000*B$6</f>
        <v>10703250000</v>
      </c>
      <c r="J27" s="86">
        <f t="shared" si="2"/>
        <v>24573250000</v>
      </c>
    </row>
    <row r="28" spans="1:10">
      <c r="A28" s="89">
        <f t="shared" si="3"/>
        <v>15</v>
      </c>
      <c r="B28" s="30">
        <f t="shared" si="4"/>
        <v>14403.5</v>
      </c>
      <c r="C28" s="78">
        <f t="shared" si="0"/>
        <v>0.21763386066978413</v>
      </c>
      <c r="D28" s="85">
        <f t="shared" si="5"/>
        <v>1283</v>
      </c>
      <c r="E28" s="82">
        <f t="shared" si="1"/>
        <v>1.2829999999999999</v>
      </c>
      <c r="F28" s="83">
        <f>B28/Summary!C$23</f>
        <v>0.20547075606276746</v>
      </c>
      <c r="G28" s="84">
        <f>G27+('development plan (Wind)'!B27/Summary!C$23)*Summary!C$27</f>
        <v>1135.7930329099863</v>
      </c>
      <c r="H28" s="84">
        <f t="shared" si="6"/>
        <v>5218.8250000000007</v>
      </c>
      <c r="I28" s="86">
        <f>B27*Summary!C$16*Summary!C$17*24*375*1000*B$6</f>
        <v>11808450000</v>
      </c>
      <c r="J28" s="86">
        <f t="shared" si="2"/>
        <v>25678450000</v>
      </c>
    </row>
    <row r="29" spans="1:10">
      <c r="A29" s="89">
        <f t="shared" si="3"/>
        <v>16</v>
      </c>
      <c r="B29" s="30">
        <f t="shared" si="4"/>
        <v>15744.5</v>
      </c>
      <c r="C29" s="78">
        <f t="shared" si="0"/>
        <v>0.23702125101391427</v>
      </c>
      <c r="D29" s="85">
        <f t="shared" si="5"/>
        <v>1341</v>
      </c>
      <c r="E29" s="82">
        <f t="shared" si="1"/>
        <v>1.341</v>
      </c>
      <c r="F29" s="83">
        <f>B29/Summary!C$23</f>
        <v>0.22460057061340941</v>
      </c>
      <c r="G29" s="84">
        <f>G28+('development plan (Wind)'!B28/Summary!C$23)*Summary!C$27</f>
        <v>1319.4372590108708</v>
      </c>
      <c r="H29" s="84">
        <f t="shared" si="6"/>
        <v>5566.7466666666678</v>
      </c>
      <c r="I29" s="86">
        <f>B28*Summary!C$16*Summary!C$17*24*375*1000*B$6</f>
        <v>12963150000</v>
      </c>
      <c r="J29" s="86">
        <f t="shared" si="2"/>
        <v>26833150000</v>
      </c>
    </row>
    <row r="30" spans="1:10">
      <c r="A30" s="89">
        <f t="shared" si="3"/>
        <v>17</v>
      </c>
      <c r="B30" s="30">
        <f t="shared" si="4"/>
        <v>17146.5</v>
      </c>
      <c r="C30" s="78">
        <f t="shared" si="0"/>
        <v>0.25701850252634084</v>
      </c>
      <c r="D30" s="85">
        <f t="shared" si="5"/>
        <v>1402</v>
      </c>
      <c r="E30" s="82">
        <f t="shared" si="1"/>
        <v>1.4019999999999999</v>
      </c>
      <c r="F30" s="83">
        <f>B30/Summary!C$23</f>
        <v>0.24460057061340942</v>
      </c>
      <c r="G30" s="84">
        <f>G29+('development plan (Wind)'!B29/Summary!C$23)*Summary!C$27</f>
        <v>1520.1791979733018</v>
      </c>
      <c r="H30" s="84">
        <f t="shared" si="6"/>
        <v>5914.6683333333349</v>
      </c>
      <c r="I30" s="86">
        <f>B29*Summary!C$16*Summary!C$17*24*375*1000*B$6</f>
        <v>14170050000</v>
      </c>
      <c r="J30" s="86">
        <f t="shared" si="2"/>
        <v>28040050000</v>
      </c>
    </row>
    <row r="31" spans="1:10">
      <c r="A31" s="89">
        <f t="shared" si="3"/>
        <v>18</v>
      </c>
      <c r="B31" s="30">
        <f t="shared" si="4"/>
        <v>18611.5</v>
      </c>
      <c r="C31" s="78">
        <f t="shared" si="0"/>
        <v>0.27764816124126096</v>
      </c>
      <c r="D31" s="85">
        <f t="shared" si="5"/>
        <v>1465</v>
      </c>
      <c r="E31" s="82">
        <f t="shared" si="1"/>
        <v>1.4650000000000001</v>
      </c>
      <c r="F31" s="83">
        <f>B31/Summary!C$23</f>
        <v>0.26549928673323825</v>
      </c>
      <c r="G31" s="84">
        <f>G30+('development plan (Wind)'!B30/Summary!C$23)*Summary!C$27</f>
        <v>1738.7965981079092</v>
      </c>
      <c r="H31" s="84">
        <f t="shared" si="6"/>
        <v>6262.590000000002</v>
      </c>
      <c r="I31" s="86">
        <f>B30*Summary!C$16*Summary!C$17*24*375*1000*B$6</f>
        <v>15431850000</v>
      </c>
      <c r="J31" s="86">
        <f t="shared" si="2"/>
        <v>29301850000</v>
      </c>
    </row>
    <row r="32" spans="1:10">
      <c r="A32" s="89">
        <f t="shared" si="3"/>
        <v>19</v>
      </c>
      <c r="B32" s="30">
        <f t="shared" si="4"/>
        <v>20142.5</v>
      </c>
      <c r="C32" s="78">
        <f t="shared" si="0"/>
        <v>0.29893188414360244</v>
      </c>
      <c r="D32" s="85">
        <f t="shared" si="5"/>
        <v>1531</v>
      </c>
      <c r="E32" s="82">
        <f t="shared" si="1"/>
        <v>1.5309999999999999</v>
      </c>
      <c r="F32" s="83">
        <f>B32/Summary!C$23</f>
        <v>0.287339514978602</v>
      </c>
      <c r="G32" s="84">
        <f>G31+('development plan (Wind)'!B31/Summary!C$23)*Summary!C$27</f>
        <v>1976.0927076699331</v>
      </c>
      <c r="H32" s="84">
        <f t="shared" si="6"/>
        <v>6610.511666666669</v>
      </c>
      <c r="I32" s="86">
        <f>B31*Summary!C$16*Summary!C$17*24*375*1000*B$6</f>
        <v>16750350000</v>
      </c>
      <c r="J32" s="86">
        <f t="shared" si="2"/>
        <v>30620350000</v>
      </c>
    </row>
    <row r="33" spans="1:10">
      <c r="A33" s="89">
        <f t="shared" si="3"/>
        <v>20</v>
      </c>
      <c r="B33" s="30">
        <f t="shared" si="4"/>
        <v>21741.5</v>
      </c>
      <c r="C33" s="78">
        <f t="shared" si="0"/>
        <v>0.3208924937363577</v>
      </c>
      <c r="D33" s="85">
        <f t="shared" si="5"/>
        <v>1599</v>
      </c>
      <c r="E33" s="82">
        <f t="shared" si="1"/>
        <v>1.599</v>
      </c>
      <c r="F33" s="83">
        <f>B33/Summary!C$23</f>
        <v>0.31014978601997145</v>
      </c>
      <c r="G33" s="84">
        <f>G32+('development plan (Wind)'!B32/Summary!C$23)*Summary!C$27</f>
        <v>2232.9090248315301</v>
      </c>
      <c r="H33" s="84">
        <f t="shared" si="6"/>
        <v>6958.4333333333361</v>
      </c>
      <c r="I33" s="86">
        <f>B32*Summary!C$16*Summary!C$17*24*375*1000*B$6</f>
        <v>18128250000</v>
      </c>
      <c r="J33" s="86">
        <f t="shared" si="2"/>
        <v>31998250000</v>
      </c>
    </row>
    <row r="34" spans="1:10">
      <c r="A34" s="89">
        <f t="shared" si="3"/>
        <v>21</v>
      </c>
      <c r="B34" s="30">
        <f t="shared" si="4"/>
        <v>23412.5</v>
      </c>
      <c r="C34" s="78">
        <f t="shared" si="0"/>
        <v>0.34355195548388584</v>
      </c>
      <c r="D34" s="85">
        <f t="shared" si="5"/>
        <v>1671</v>
      </c>
      <c r="E34" s="82">
        <f t="shared" si="1"/>
        <v>1.671</v>
      </c>
      <c r="F34" s="83">
        <f>B34/Summary!C$23</f>
        <v>0.33398716119828814</v>
      </c>
      <c r="G34" s="84">
        <f>G33+('development plan (Wind)'!B33/Summary!C$23)*Summary!C$27</f>
        <v>2510.1125477094679</v>
      </c>
      <c r="H34" s="84">
        <f t="shared" si="6"/>
        <v>7306.3550000000032</v>
      </c>
      <c r="I34" s="86">
        <f>B33*Summary!C$16*Summary!C$17*24*375*1000*B$6</f>
        <v>19567350000</v>
      </c>
      <c r="J34" s="86">
        <f t="shared" si="2"/>
        <v>33437350000</v>
      </c>
    </row>
    <row r="35" spans="1:10">
      <c r="A35" s="89">
        <f t="shared" si="3"/>
        <v>22</v>
      </c>
      <c r="B35" s="30">
        <f t="shared" si="4"/>
        <v>25159.5</v>
      </c>
      <c r="C35" s="78">
        <f t="shared" si="0"/>
        <v>0.36693490405708717</v>
      </c>
      <c r="D35" s="85">
        <f t="shared" si="5"/>
        <v>1747</v>
      </c>
      <c r="E35" s="82">
        <f t="shared" si="1"/>
        <v>1.7470000000000001</v>
      </c>
      <c r="F35" s="83">
        <f>B35/Summary!C$23</f>
        <v>0.35890870185449358</v>
      </c>
      <c r="G35" s="84">
        <f>G34+('development plan (Wind)'!B34/Summary!C$23)*Summary!C$27</f>
        <v>2808.6212743097358</v>
      </c>
      <c r="H35" s="84">
        <f t="shared" si="6"/>
        <v>7654.2766666666703</v>
      </c>
      <c r="I35" s="86">
        <f>B34*Summary!C$16*Summary!C$17*24*375*1000*B$6</f>
        <v>21071250000</v>
      </c>
      <c r="J35" s="86">
        <f t="shared" si="2"/>
        <v>34941250000</v>
      </c>
    </row>
    <row r="36" spans="1:10">
      <c r="A36" s="89">
        <f t="shared" si="3"/>
        <v>23</v>
      </c>
      <c r="B36" s="30">
        <f t="shared" si="4"/>
        <v>26984.5</v>
      </c>
      <c r="C36" s="78">
        <f t="shared" si="0"/>
        <v>0.39106806307111136</v>
      </c>
      <c r="D36" s="85">
        <f t="shared" si="5"/>
        <v>1825</v>
      </c>
      <c r="E36" s="82">
        <f t="shared" si="1"/>
        <v>1.825</v>
      </c>
      <c r="F36" s="83">
        <f>B36/Summary!C$23</f>
        <v>0.38494293865905849</v>
      </c>
      <c r="G36" s="84">
        <f>G35+('development plan (Wind)'!B35/Summary!C$23)*Summary!C$27</f>
        <v>3129.4042025275439</v>
      </c>
      <c r="H36" s="84">
        <f t="shared" si="6"/>
        <v>8002.1983333333374</v>
      </c>
      <c r="I36" s="86">
        <f>B35*Summary!C$16*Summary!C$17*24*375*1000*B$6</f>
        <v>22643550000</v>
      </c>
      <c r="J36" s="86">
        <f t="shared" si="2"/>
        <v>36513550000</v>
      </c>
    </row>
    <row r="37" spans="1:10">
      <c r="A37" s="89">
        <f t="shared" si="3"/>
        <v>24</v>
      </c>
      <c r="B37" s="30">
        <f t="shared" si="4"/>
        <v>28891.5</v>
      </c>
      <c r="C37" s="78">
        <f t="shared" si="0"/>
        <v>0.41597675604694456</v>
      </c>
      <c r="D37" s="85">
        <f t="shared" si="5"/>
        <v>1907</v>
      </c>
      <c r="E37" s="82">
        <f t="shared" si="1"/>
        <v>1.907</v>
      </c>
      <c r="F37" s="83">
        <f>B37/Summary!C$23</f>
        <v>0.41214693295292437</v>
      </c>
      <c r="G37" s="84">
        <f>G36+('development plan (Wind)'!B36/Summary!C$23)*Summary!C$27</f>
        <v>3473.4558302027144</v>
      </c>
      <c r="H37" s="84">
        <f t="shared" si="6"/>
        <v>8350.1200000000044</v>
      </c>
      <c r="I37" s="86">
        <f>B36*Summary!C$16*Summary!C$17*24*375*1000*B$6</f>
        <v>24286050000</v>
      </c>
      <c r="J37" s="86">
        <f t="shared" si="2"/>
        <v>38156050000</v>
      </c>
    </row>
    <row r="38" spans="1:10">
      <c r="A38" s="89">
        <f t="shared" si="3"/>
        <v>25</v>
      </c>
      <c r="B38" s="30">
        <f t="shared" si="4"/>
        <v>30884.5</v>
      </c>
      <c r="C38" s="78">
        <f t="shared" si="0"/>
        <v>0.44168811811826852</v>
      </c>
      <c r="D38" s="85">
        <f t="shared" si="5"/>
        <v>1993</v>
      </c>
      <c r="E38" s="82">
        <f t="shared" si="1"/>
        <v>1.9930000000000001</v>
      </c>
      <c r="F38" s="83">
        <f>B38/Summary!C$23</f>
        <v>0.44057774607703282</v>
      </c>
      <c r="G38" s="84">
        <f>G37+('development plan (Wind)'!B37/Summary!C$23)*Summary!C$27</f>
        <v>3841.8216550642901</v>
      </c>
      <c r="H38" s="84">
        <f t="shared" si="6"/>
        <v>8698.0416666666715</v>
      </c>
      <c r="I38" s="86">
        <f>B37*Summary!C$16*Summary!C$17*24*375*1000*B$6</f>
        <v>26002350000</v>
      </c>
      <c r="J38" s="86">
        <f t="shared" si="2"/>
        <v>39872350000</v>
      </c>
    </row>
    <row r="39" spans="1:10">
      <c r="A39" s="89">
        <f t="shared" si="3"/>
        <v>26</v>
      </c>
      <c r="B39" s="30">
        <f t="shared" si="4"/>
        <v>32967.5</v>
      </c>
      <c r="C39" s="78">
        <f t="shared" si="0"/>
        <v>0.4682307476444042</v>
      </c>
      <c r="D39" s="85">
        <f t="shared" si="5"/>
        <v>2083</v>
      </c>
      <c r="E39" s="82">
        <f t="shared" si="1"/>
        <v>2.0830000000000002</v>
      </c>
      <c r="F39" s="83">
        <f>B39/Summary!C$23</f>
        <v>0.47029243937232523</v>
      </c>
      <c r="G39" s="84">
        <f>G38+('development plan (Wind)'!B38/Summary!C$23)*Summary!C$27</f>
        <v>4235.5981747305359</v>
      </c>
      <c r="H39" s="84">
        <f t="shared" si="6"/>
        <v>9045.9633333333386</v>
      </c>
      <c r="I39" s="86">
        <f>B38*Summary!C$16*Summary!C$17*24*375*1000*B$6</f>
        <v>27796050000</v>
      </c>
      <c r="J39" s="86">
        <f t="shared" si="2"/>
        <v>41666050000</v>
      </c>
    </row>
    <row r="40" spans="1:10">
      <c r="A40" s="89">
        <f t="shared" si="3"/>
        <v>27</v>
      </c>
      <c r="B40" s="30">
        <f t="shared" si="4"/>
        <v>35144.5</v>
      </c>
      <c r="C40" s="78">
        <f t="shared" si="0"/>
        <v>0.49563443524260031</v>
      </c>
      <c r="D40" s="85">
        <f t="shared" si="5"/>
        <v>2177</v>
      </c>
      <c r="E40" s="82">
        <f t="shared" si="1"/>
        <v>2.177</v>
      </c>
      <c r="F40" s="83">
        <f>B40/Summary!C$23</f>
        <v>0.50134807417974325</v>
      </c>
      <c r="G40" s="84">
        <f>G39+('development plan (Wind)'!B39/Summary!C$23)*Summary!C$27</f>
        <v>4655.9328867089371</v>
      </c>
      <c r="H40" s="84">
        <f t="shared" si="6"/>
        <v>9393.8850000000057</v>
      </c>
      <c r="I40" s="86">
        <f>B39*Summary!C$16*Summary!C$17*24*375*1000*B$6</f>
        <v>29670750000</v>
      </c>
      <c r="J40" s="86">
        <f t="shared" si="2"/>
        <v>43540750000</v>
      </c>
    </row>
    <row r="41" spans="1:10">
      <c r="A41" s="89">
        <f t="shared" si="3"/>
        <v>28</v>
      </c>
      <c r="B41" s="30">
        <f t="shared" si="4"/>
        <v>37419.5</v>
      </c>
      <c r="C41" s="78">
        <f t="shared" si="0"/>
        <v>0.52392995088483241</v>
      </c>
      <c r="D41" s="85">
        <f t="shared" si="5"/>
        <v>2275</v>
      </c>
      <c r="E41" s="82">
        <f t="shared" si="1"/>
        <v>2.2749999999999999</v>
      </c>
      <c r="F41" s="83">
        <f>B41/Summary!C$23</f>
        <v>0.53380171184022829</v>
      </c>
      <c r="G41" s="84">
        <f>G40+('development plan (Wind)'!B40/Summary!C$23)*Summary!C$27</f>
        <v>5104.0242883962028</v>
      </c>
      <c r="H41" s="84">
        <f t="shared" si="6"/>
        <v>9741.8066666666728</v>
      </c>
      <c r="I41" s="86">
        <f>B40*Summary!C$16*Summary!C$17*24*375*1000*B$6</f>
        <v>31630050000</v>
      </c>
      <c r="J41" s="86">
        <f t="shared" si="2"/>
        <v>45500050000</v>
      </c>
    </row>
    <row r="42" spans="1:10">
      <c r="A42" s="89">
        <f t="shared" si="3"/>
        <v>29</v>
      </c>
      <c r="B42" s="30">
        <f t="shared" si="4"/>
        <v>39796.5</v>
      </c>
      <c r="C42" s="78">
        <f t="shared" si="0"/>
        <v>0.55314887504353938</v>
      </c>
      <c r="D42" s="85">
        <f t="shared" si="5"/>
        <v>2377</v>
      </c>
      <c r="E42" s="82">
        <f t="shared" si="1"/>
        <v>2.3769999999999998</v>
      </c>
      <c r="F42" s="83">
        <f>B42/Summary!C$23</f>
        <v>0.56771041369472186</v>
      </c>
      <c r="G42" s="84">
        <f>G41+('development plan (Wind)'!B41/Summary!C$23)*Summary!C$27</f>
        <v>5581.1218770782625</v>
      </c>
      <c r="H42" s="84">
        <f t="shared" si="6"/>
        <v>10089.72833333334</v>
      </c>
      <c r="I42" s="86">
        <f>B41*Summary!C$16*Summary!C$17*24*375*1000*B$6</f>
        <v>33677550000</v>
      </c>
      <c r="J42" s="86">
        <f t="shared" si="2"/>
        <v>47547550000</v>
      </c>
    </row>
    <row r="43" spans="1:10">
      <c r="A43" s="128">
        <f t="shared" si="3"/>
        <v>30</v>
      </c>
      <c r="B43" s="129">
        <f t="shared" si="4"/>
        <v>42280.5</v>
      </c>
      <c r="C43" s="130">
        <f t="shared" si="0"/>
        <v>0.58332346360821286</v>
      </c>
      <c r="D43" s="132">
        <f t="shared" si="5"/>
        <v>2484</v>
      </c>
      <c r="E43" s="135">
        <f t="shared" si="1"/>
        <v>2.484</v>
      </c>
      <c r="F43" s="138">
        <f>B43/Summary!C$23</f>
        <v>0.6031455064194009</v>
      </c>
      <c r="G43" s="140">
        <f>G42+('development plan (Wind)'!B42/Summary!C$23)*Summary!C$27</f>
        <v>6088.5261499302669</v>
      </c>
      <c r="H43" s="140">
        <f t="shared" si="6"/>
        <v>10437.650000000007</v>
      </c>
      <c r="I43" s="86">
        <f>B42*Summary!C$16*Summary!C$17*24*375*1000*B$6</f>
        <v>35816850000</v>
      </c>
      <c r="J43" s="86">
        <f t="shared" si="2"/>
        <v>49686850000</v>
      </c>
    </row>
    <row r="44" spans="1:10">
      <c r="A44" s="89">
        <f t="shared" si="3"/>
        <v>31</v>
      </c>
      <c r="B44" s="30">
        <f t="shared" si="4"/>
        <v>44876.5</v>
      </c>
      <c r="C44" s="78">
        <f t="shared" si="0"/>
        <v>0.61448772107943184</v>
      </c>
      <c r="D44" s="85">
        <f t="shared" si="5"/>
        <v>2596</v>
      </c>
      <c r="E44" s="82">
        <f t="shared" si="1"/>
        <v>2.5960000000000001</v>
      </c>
      <c r="F44" s="83">
        <f>B44/Summary!C$23</f>
        <v>0.64017831669044223</v>
      </c>
      <c r="G44" s="84">
        <f>G43+('development plan (Wind)'!B43/Summary!C$23)*Summary!C$27</f>
        <v>6627.6013539888945</v>
      </c>
      <c r="H44" s="84">
        <f t="shared" si="6"/>
        <v>10785.571666666674</v>
      </c>
      <c r="I44" s="86">
        <f>B43*Summary!C$16*Summary!C$17*24*375*1000*B$6</f>
        <v>38052450000</v>
      </c>
      <c r="J44" s="86">
        <f t="shared" si="2"/>
        <v>51922450000</v>
      </c>
    </row>
    <row r="45" spans="1:10">
      <c r="A45" s="89">
        <f t="shared" si="3"/>
        <v>32</v>
      </c>
      <c r="B45" s="30">
        <f t="shared" si="4"/>
        <v>47588.5</v>
      </c>
      <c r="C45" s="78">
        <f t="shared" si="0"/>
        <v>0.64667712734838056</v>
      </c>
      <c r="D45" s="85">
        <f t="shared" si="5"/>
        <v>2712</v>
      </c>
      <c r="E45" s="82">
        <f t="shared" si="1"/>
        <v>2.7120000000000002</v>
      </c>
      <c r="F45" s="83">
        <f>B45/Summary!C$23</f>
        <v>0.67886590584878748</v>
      </c>
      <c r="G45" s="84">
        <f>G44+('development plan (Wind)'!B44/Summary!C$23)*Summary!C$27</f>
        <v>7199.7754861523508</v>
      </c>
      <c r="H45" s="84">
        <f t="shared" si="6"/>
        <v>11133.493333333341</v>
      </c>
      <c r="I45" s="86">
        <f>B44*Summary!C$16*Summary!C$17*24*375*1000*B$6</f>
        <v>40388850000</v>
      </c>
      <c r="J45" s="86">
        <f t="shared" si="2"/>
        <v>54258850000</v>
      </c>
    </row>
    <row r="46" spans="1:10">
      <c r="A46" s="89">
        <f t="shared" si="3"/>
        <v>33</v>
      </c>
      <c r="B46" s="30">
        <f t="shared" si="4"/>
        <v>50422.5</v>
      </c>
      <c r="C46" s="78">
        <f t="shared" si="0"/>
        <v>0.67992730366492782</v>
      </c>
      <c r="D46" s="85">
        <f t="shared" si="5"/>
        <v>2834</v>
      </c>
      <c r="E46" s="82">
        <f t="shared" si="1"/>
        <v>2.8340000000000001</v>
      </c>
      <c r="F46" s="83">
        <f>B46/Summary!C$23</f>
        <v>0.71929386590584876</v>
      </c>
      <c r="G46" s="84">
        <f>G45+('development plan (Wind)'!B45/Summary!C$23)*Summary!C$27</f>
        <v>7806.5275432080625</v>
      </c>
      <c r="H46" s="84">
        <f t="shared" si="6"/>
        <v>11481.415000000008</v>
      </c>
      <c r="I46" s="86">
        <f>B45*Summary!C$16*Summary!C$17*24*375*1000*B$6</f>
        <v>42829650000</v>
      </c>
      <c r="J46" s="86">
        <f t="shared" si="2"/>
        <v>56699650000</v>
      </c>
    </row>
    <row r="47" spans="1:10">
      <c r="A47" s="89">
        <f t="shared" si="3"/>
        <v>34</v>
      </c>
      <c r="B47" s="30">
        <f t="shared" si="4"/>
        <v>53384.5</v>
      </c>
      <c r="C47" s="78">
        <f t="shared" si="0"/>
        <v>0.71427614750254664</v>
      </c>
      <c r="D47" s="85">
        <f t="shared" si="5"/>
        <v>2962</v>
      </c>
      <c r="E47" s="82">
        <f t="shared" si="1"/>
        <v>2.9620000000000002</v>
      </c>
      <c r="F47" s="83">
        <f>B47/Summary!C$23</f>
        <v>0.76154778887303853</v>
      </c>
      <c r="G47" s="84">
        <f>G46+('development plan (Wind)'!B46/Summary!C$23)*Summary!C$27</f>
        <v>8449.413021777289</v>
      </c>
      <c r="H47" s="84">
        <f t="shared" si="6"/>
        <v>11829.336666666675</v>
      </c>
      <c r="I47" s="86">
        <f>B46*Summary!C$16*Summary!C$17*24*375*1000*B$6</f>
        <v>45380250000</v>
      </c>
      <c r="J47" s="86">
        <f t="shared" si="2"/>
        <v>59250250000</v>
      </c>
    </row>
    <row r="48" spans="1:10">
      <c r="A48" s="128">
        <f t="shared" si="3"/>
        <v>35</v>
      </c>
      <c r="B48" s="129">
        <f t="shared" si="4"/>
        <v>56479.5</v>
      </c>
      <c r="C48" s="130">
        <f t="shared" si="0"/>
        <v>0.74976350738351327</v>
      </c>
      <c r="D48" s="132">
        <f t="shared" si="5"/>
        <v>3095</v>
      </c>
      <c r="E48" s="135">
        <f t="shared" si="1"/>
        <v>3.0950000000000002</v>
      </c>
      <c r="F48" s="138">
        <f>B48/Summary!C$23</f>
        <v>0.8056990014265335</v>
      </c>
      <c r="G48" s="140">
        <f>G47+('development plan (Wind)'!B47/Summary!C$23)*Summary!C$27</f>
        <v>9130.0639183151216</v>
      </c>
      <c r="H48" s="140">
        <f t="shared" si="6"/>
        <v>12177.258333333342</v>
      </c>
      <c r="I48" s="86">
        <f>B47*Summary!C$16*Summary!C$17*24*375*1000*B$6</f>
        <v>48046050000</v>
      </c>
      <c r="J48" s="86">
        <f t="shared" si="2"/>
        <v>61916050000</v>
      </c>
    </row>
    <row r="49" spans="1:10">
      <c r="A49" s="89">
        <f t="shared" si="3"/>
        <v>36</v>
      </c>
      <c r="B49" s="30">
        <f t="shared" si="4"/>
        <v>59714.5</v>
      </c>
      <c r="C49" s="78">
        <f t="shared" si="0"/>
        <v>0.78642989395267549</v>
      </c>
      <c r="D49" s="85">
        <f t="shared" si="5"/>
        <v>3235</v>
      </c>
      <c r="E49" s="82">
        <f t="shared" si="1"/>
        <v>3.2349999999999999</v>
      </c>
      <c r="F49" s="83">
        <f>B49/Summary!C$23</f>
        <v>0.85184736091298141</v>
      </c>
      <c r="G49" s="84">
        <f>G48+('development plan (Wind)'!B48/Summary!C$23)*Summary!C$27</f>
        <v>9850.1759791381792</v>
      </c>
      <c r="H49" s="84">
        <f t="shared" si="6"/>
        <v>12525.180000000009</v>
      </c>
      <c r="I49" s="86">
        <f>B48*Summary!C$16*Summary!C$17*24*375*1000*B$6</f>
        <v>50831550000</v>
      </c>
      <c r="J49" s="86">
        <f t="shared" si="2"/>
        <v>64701550000</v>
      </c>
    </row>
    <row r="50" spans="1:10">
      <c r="A50" s="89">
        <f t="shared" si="3"/>
        <v>37</v>
      </c>
      <c r="B50" s="30">
        <f t="shared" si="4"/>
        <v>63094.5</v>
      </c>
      <c r="C50" s="78">
        <f t="shared" si="0"/>
        <v>0.8243183713717176</v>
      </c>
      <c r="D50" s="85">
        <f t="shared" si="5"/>
        <v>3380</v>
      </c>
      <c r="E50" s="82">
        <f t="shared" si="1"/>
        <v>3.38</v>
      </c>
      <c r="F50" s="83">
        <f>B50/Summary!C$23</f>
        <v>0.90006419400855919</v>
      </c>
      <c r="G50" s="84">
        <f>G49+('development plan (Wind)'!B49/Summary!C$23)*Summary!C$27</f>
        <v>10611.534200369219</v>
      </c>
      <c r="H50" s="84">
        <f t="shared" si="6"/>
        <v>12873.101666666676</v>
      </c>
      <c r="I50" s="86">
        <f>B49*Summary!C$16*Summary!C$17*24*375*1000*B$6</f>
        <v>53743050000</v>
      </c>
      <c r="J50" s="86">
        <f t="shared" si="2"/>
        <v>67613050000</v>
      </c>
    </row>
    <row r="51" spans="1:10">
      <c r="A51" s="89">
        <f t="shared" si="3"/>
        <v>38</v>
      </c>
      <c r="B51" s="30">
        <f t="shared" si="4"/>
        <v>66626.5</v>
      </c>
      <c r="C51" s="78">
        <f t="shared" si="0"/>
        <v>0.86347229258798019</v>
      </c>
      <c r="D51" s="85">
        <f t="shared" si="5"/>
        <v>3532</v>
      </c>
      <c r="E51" s="82">
        <f t="shared" si="1"/>
        <v>3.532</v>
      </c>
      <c r="F51" s="83">
        <f>B51/Summary!C$23</f>
        <v>0.95044935805991437</v>
      </c>
      <c r="G51" s="84">
        <f>G50+('development plan (Wind)'!B50/Summary!C$23)*Summary!C$27</f>
        <v>11415.987327992521</v>
      </c>
      <c r="H51" s="84">
        <f t="shared" si="6"/>
        <v>13221.023333333344</v>
      </c>
      <c r="I51" s="86">
        <f>B50*Summary!C$16*Summary!C$17*24*375*1000*B$6</f>
        <v>56785050000</v>
      </c>
      <c r="J51" s="86">
        <f t="shared" si="2"/>
        <v>70655050000</v>
      </c>
    </row>
    <row r="52" spans="1:10">
      <c r="A52" s="89">
        <f t="shared" si="3"/>
        <v>39</v>
      </c>
      <c r="B52" s="30">
        <f t="shared" si="4"/>
        <v>70317.5</v>
      </c>
      <c r="C52" s="78">
        <f t="shared" si="0"/>
        <v>0.90393714159785465</v>
      </c>
      <c r="D52" s="85">
        <f t="shared" si="5"/>
        <v>3691</v>
      </c>
      <c r="E52" s="82">
        <f t="shared" si="1"/>
        <v>3.6909999999999998</v>
      </c>
      <c r="F52" s="83">
        <f>B52/Summary!C$23</f>
        <v>1.0031027104136947</v>
      </c>
      <c r="G52" s="84">
        <f>G51+('development plan (Wind)'!B51/Summary!C$23)*Summary!C$27</f>
        <v>12265.473357798512</v>
      </c>
      <c r="H52" s="84">
        <f t="shared" si="6"/>
        <v>13568.945000000011</v>
      </c>
      <c r="I52" s="86">
        <f>B51*Summary!C$16*Summary!C$17*24*375*1000*B$6</f>
        <v>59963850000</v>
      </c>
      <c r="J52" s="86">
        <f t="shared" si="2"/>
        <v>73833850000</v>
      </c>
    </row>
    <row r="53" spans="1:10">
      <c r="A53" s="89">
        <f t="shared" si="3"/>
        <v>40</v>
      </c>
      <c r="B53" s="30">
        <f t="shared" si="4"/>
        <v>74174.5</v>
      </c>
      <c r="C53" s="78">
        <f t="shared" si="0"/>
        <v>0.94576026706565208</v>
      </c>
      <c r="D53" s="85">
        <f t="shared" si="5"/>
        <v>3857</v>
      </c>
      <c r="E53" s="82">
        <f t="shared" si="1"/>
        <v>3.8570000000000002</v>
      </c>
      <c r="F53" s="83">
        <f>B53/Summary!C$23</f>
        <v>1.0581241084165478</v>
      </c>
      <c r="G53" s="84">
        <f>G52+('development plan (Wind)'!B52/Summary!C$23)*Summary!C$27</f>
        <v>13162.019535383748</v>
      </c>
      <c r="H53" s="84">
        <f t="shared" si="6"/>
        <v>13916.866666666678</v>
      </c>
      <c r="I53" s="86">
        <f>B52*Summary!C$16*Summary!C$17*24*375*1000*B$6</f>
        <v>63285750000</v>
      </c>
      <c r="J53" s="86">
        <f t="shared" si="2"/>
        <v>77155750000</v>
      </c>
    </row>
    <row r="54" spans="1:10">
      <c r="A54" s="89">
        <f t="shared" si="3"/>
        <v>41</v>
      </c>
      <c r="B54" s="30">
        <f t="shared" si="4"/>
        <v>78205.5</v>
      </c>
      <c r="C54" s="78">
        <f t="shared" si="0"/>
        <v>0.98899065492507587</v>
      </c>
      <c r="D54" s="85">
        <f t="shared" si="5"/>
        <v>4031</v>
      </c>
      <c r="E54" s="82">
        <f t="shared" si="1"/>
        <v>4.0309999999999997</v>
      </c>
      <c r="F54" s="83">
        <f>B54/Summary!C$23</f>
        <v>1.1156276747503566</v>
      </c>
      <c r="G54" s="84">
        <f>G53+('development plan (Wind)'!B53/Summary!C$23)*Summary!C$27</f>
        <v>14107.742356150926</v>
      </c>
      <c r="H54" s="84">
        <f t="shared" si="6"/>
        <v>14264.788333333345</v>
      </c>
      <c r="I54" s="86">
        <f>B53*Summary!C$16*Summary!C$17*24*375*1000*B$6</f>
        <v>66757050000</v>
      </c>
      <c r="J54" s="86">
        <f t="shared" si="2"/>
        <v>80627050000</v>
      </c>
    </row>
    <row r="55" spans="1:10">
      <c r="A55" s="89">
        <f t="shared" si="3"/>
        <v>42</v>
      </c>
      <c r="B55" s="30">
        <f t="shared" si="4"/>
        <v>82417.5</v>
      </c>
      <c r="C55" s="78">
        <f t="shared" si="0"/>
        <v>1.0336796059923981</v>
      </c>
      <c r="D55" s="85">
        <f t="shared" si="5"/>
        <v>4212</v>
      </c>
      <c r="E55" s="82">
        <f t="shared" si="1"/>
        <v>4.2119999999999997</v>
      </c>
      <c r="F55" s="83">
        <f>B55/Summary!C$23</f>
        <v>1.1757132667617689</v>
      </c>
      <c r="G55" s="84">
        <f>G54+('development plan (Wind)'!B54/Summary!C$23)*Summary!C$27</f>
        <v>15104.860315281187</v>
      </c>
      <c r="H55" s="84">
        <f t="shared" si="6"/>
        <v>14612.710000000012</v>
      </c>
      <c r="I55" s="86">
        <f>B54*Summary!C$16*Summary!C$17*24*375*1000*B$6</f>
        <v>70384950000</v>
      </c>
      <c r="J55" s="86">
        <f t="shared" si="2"/>
        <v>84254950000</v>
      </c>
    </row>
    <row r="56" spans="1:10">
      <c r="A56" s="89">
        <f t="shared" si="3"/>
        <v>43</v>
      </c>
      <c r="B56" s="30">
        <f t="shared" si="4"/>
        <v>86819.5</v>
      </c>
      <c r="C56" s="78">
        <f t="shared" si="0"/>
        <v>1.0798796145591756</v>
      </c>
      <c r="D56" s="85">
        <f t="shared" si="5"/>
        <v>4402</v>
      </c>
      <c r="E56" s="82">
        <f t="shared" si="1"/>
        <v>4.4020000000000001</v>
      </c>
      <c r="F56" s="83">
        <f>B56/Summary!C$23</f>
        <v>1.238509272467903</v>
      </c>
      <c r="G56" s="84">
        <f>G55+('development plan (Wind)'!B55/Summary!C$23)*Summary!C$27</f>
        <v>16155.681157761808</v>
      </c>
      <c r="H56" s="84">
        <f t="shared" si="6"/>
        <v>14960.631666666679</v>
      </c>
      <c r="I56" s="86">
        <f>B55*Summary!C$16*Summary!C$17*24*375*1000*B$6</f>
        <v>74175750000</v>
      </c>
      <c r="J56" s="86">
        <f t="shared" si="2"/>
        <v>88045750000</v>
      </c>
    </row>
    <row r="57" spans="1:10">
      <c r="A57" s="89">
        <f t="shared" si="3"/>
        <v>44</v>
      </c>
      <c r="B57" s="30">
        <f t="shared" si="4"/>
        <v>91419.5</v>
      </c>
      <c r="C57" s="78">
        <f t="shared" si="0"/>
        <v>1.1276458985018922</v>
      </c>
      <c r="D57" s="85">
        <f t="shared" si="5"/>
        <v>4600</v>
      </c>
      <c r="E57" s="82">
        <f t="shared" si="1"/>
        <v>4.5999999999999996</v>
      </c>
      <c r="F57" s="83">
        <f>B57/Summary!C$23</f>
        <v>1.3041298145506419</v>
      </c>
      <c r="G57" s="84">
        <f>G56+('development plan (Wind)'!B56/Summary!C$23)*Summary!C$27</f>
        <v>17262.627378330817</v>
      </c>
      <c r="H57" s="84">
        <f t="shared" si="6"/>
        <v>15308.553333333346</v>
      </c>
      <c r="I57" s="86">
        <f>B56*Summary!C$16*Summary!C$17*24*375*1000*B$6</f>
        <v>78137550000</v>
      </c>
      <c r="J57" s="86">
        <f t="shared" si="2"/>
        <v>92007550000</v>
      </c>
    </row>
    <row r="58" spans="1:10">
      <c r="A58" s="89">
        <f t="shared" si="3"/>
        <v>45</v>
      </c>
      <c r="B58" s="30">
        <f t="shared" si="4"/>
        <v>96226.5</v>
      </c>
      <c r="C58" s="78">
        <f t="shared" si="0"/>
        <v>1.1770352823036263</v>
      </c>
      <c r="D58" s="85">
        <f t="shared" si="5"/>
        <v>4807</v>
      </c>
      <c r="E58" s="82">
        <f t="shared" si="1"/>
        <v>4.8070000000000004</v>
      </c>
      <c r="F58" s="83">
        <f>B58/Summary!C$23</f>
        <v>1.372703281027104</v>
      </c>
      <c r="G58" s="84">
        <f>G57+('development plan (Wind)'!B57/Summary!C$23)*Summary!C$27</f>
        <v>18428.223471504683</v>
      </c>
      <c r="H58" s="84">
        <f t="shared" si="6"/>
        <v>15656.475000000013</v>
      </c>
      <c r="I58" s="86">
        <f>B57*Summary!C$16*Summary!C$17*24*375*1000*B$6</f>
        <v>82277550000</v>
      </c>
      <c r="J58" s="86">
        <f t="shared" si="2"/>
        <v>96147550000</v>
      </c>
    </row>
    <row r="59" spans="1:10">
      <c r="A59" s="89">
        <f t="shared" si="3"/>
        <v>46</v>
      </c>
      <c r="B59" s="30">
        <f t="shared" si="4"/>
        <v>101249.5</v>
      </c>
      <c r="C59" s="78">
        <f t="shared" si="0"/>
        <v>1.2281068190772542</v>
      </c>
      <c r="D59" s="85">
        <f t="shared" si="5"/>
        <v>5023</v>
      </c>
      <c r="E59" s="82">
        <f t="shared" si="1"/>
        <v>5.0229999999999997</v>
      </c>
      <c r="F59" s="83">
        <f>B59/Summary!C$23</f>
        <v>1.4443580599144079</v>
      </c>
      <c r="G59" s="84">
        <f>G58+('development plan (Wind)'!B58/Summary!C$23)*Summary!C$27</f>
        <v>19655.108681550628</v>
      </c>
      <c r="H59" s="84">
        <f t="shared" si="6"/>
        <v>16004.39666666668</v>
      </c>
      <c r="I59" s="86">
        <f>B58*Summary!C$16*Summary!C$17*24*375*1000*B$6</f>
        <v>86603850000</v>
      </c>
      <c r="J59" s="86">
        <f t="shared" si="2"/>
        <v>100473850000</v>
      </c>
    </row>
    <row r="60" spans="1:10">
      <c r="A60" s="89">
        <f t="shared" si="3"/>
        <v>47</v>
      </c>
      <c r="B60" s="30">
        <f t="shared" si="4"/>
        <v>106498.5</v>
      </c>
      <c r="C60" s="78">
        <f t="shared" si="0"/>
        <v>1.2809215534771736</v>
      </c>
      <c r="D60" s="85">
        <f t="shared" si="5"/>
        <v>5249</v>
      </c>
      <c r="E60" s="82">
        <f t="shared" si="1"/>
        <v>5.2489999999999997</v>
      </c>
      <c r="F60" s="83">
        <f>B60/Summary!C$23</f>
        <v>1.5192368045649072</v>
      </c>
      <c r="G60" s="84">
        <f>G59+('development plan (Wind)'!B59/Summary!C$23)*Summary!C$27</f>
        <v>20946.037002486617</v>
      </c>
      <c r="H60" s="84">
        <f t="shared" si="6"/>
        <v>16352.318333333347</v>
      </c>
      <c r="I60" s="86">
        <f>B59*Summary!C$16*Summary!C$17*24*375*1000*B$6</f>
        <v>91124550000</v>
      </c>
      <c r="J60" s="86">
        <f t="shared" si="2"/>
        <v>104994550000</v>
      </c>
    </row>
    <row r="61" spans="1:10">
      <c r="A61" s="89">
        <f t="shared" si="3"/>
        <v>48</v>
      </c>
      <c r="B61" s="30">
        <f t="shared" si="4"/>
        <v>111983.5</v>
      </c>
      <c r="C61" s="78">
        <f t="shared" si="0"/>
        <v>1.335543077707485</v>
      </c>
      <c r="D61" s="85">
        <f t="shared" si="5"/>
        <v>5485</v>
      </c>
      <c r="E61" s="82">
        <f t="shared" si="1"/>
        <v>5.4850000000000003</v>
      </c>
      <c r="F61" s="83">
        <f>B61/Summary!C$23</f>
        <v>1.5974821683309557</v>
      </c>
      <c r="G61" s="84">
        <f>G60+('development plan (Wind)'!B60/Summary!C$23)*Summary!C$27</f>
        <v>22303.889928053668</v>
      </c>
      <c r="H61" s="84">
        <f t="shared" si="6"/>
        <v>16700.240000000013</v>
      </c>
      <c r="I61" s="86">
        <f>B60*Summary!C$16*Summary!C$17*24*375*1000*B$6</f>
        <v>95848650000</v>
      </c>
      <c r="J61" s="86">
        <f t="shared" si="2"/>
        <v>109718650000</v>
      </c>
    </row>
    <row r="62" spans="1:10">
      <c r="A62" s="89">
        <f t="shared" si="3"/>
        <v>49</v>
      </c>
      <c r="B62" s="30">
        <f t="shared" si="4"/>
        <v>117715.5</v>
      </c>
      <c r="C62" s="78">
        <f t="shared" si="0"/>
        <v>1.3920372715679419</v>
      </c>
      <c r="D62" s="85">
        <f t="shared" si="5"/>
        <v>5732</v>
      </c>
      <c r="E62" s="82">
        <f t="shared" si="1"/>
        <v>5.7320000000000002</v>
      </c>
      <c r="F62" s="83">
        <f>B62/Summary!C$23</f>
        <v>1.6792510699001426</v>
      </c>
      <c r="G62" s="84">
        <f>G61+('development plan (Wind)'!B61/Summary!C$23)*Summary!C$27</f>
        <v>23731.676451715859</v>
      </c>
      <c r="H62" s="84">
        <f t="shared" si="6"/>
        <v>17048.161666666678</v>
      </c>
      <c r="I62" s="86">
        <f>B61*Summary!C$16*Summary!C$17*24*375*1000*B$6</f>
        <v>100785150000</v>
      </c>
      <c r="J62" s="86">
        <f t="shared" si="2"/>
        <v>114655150000</v>
      </c>
    </row>
    <row r="63" spans="1:10">
      <c r="A63" s="128">
        <f t="shared" si="3"/>
        <v>50</v>
      </c>
      <c r="B63" s="129">
        <f t="shared" si="4"/>
        <v>123705.5</v>
      </c>
      <c r="C63" s="130">
        <f t="shared" si="0"/>
        <v>1.4504728066163906</v>
      </c>
      <c r="D63" s="132">
        <f t="shared" si="5"/>
        <v>5990</v>
      </c>
      <c r="E63" s="135">
        <f t="shared" si="1"/>
        <v>5.99</v>
      </c>
      <c r="F63" s="138">
        <f>B63/Summary!C$23</f>
        <v>1.7647004279600571</v>
      </c>
      <c r="G63" s="140">
        <f>G62+('development plan (Wind)'!B62/Summary!C$23)*Summary!C$27</f>
        <v>25232.545816632628</v>
      </c>
      <c r="H63" s="140">
        <f t="shared" si="6"/>
        <v>17396.083333333343</v>
      </c>
      <c r="I63" s="86">
        <f>B62*Summary!C$16*Summary!C$17*24*375*1000*B$6</f>
        <v>105943950000</v>
      </c>
      <c r="J63" s="86">
        <f t="shared" si="2"/>
        <v>119813950000</v>
      </c>
    </row>
    <row r="64" spans="1:10">
      <c r="A64" s="89">
        <f t="shared" si="3"/>
        <v>51</v>
      </c>
      <c r="B64" s="30">
        <f t="shared" si="4"/>
        <v>129965.5</v>
      </c>
      <c r="C64" s="78">
        <f t="shared" si="0"/>
        <v>1.5109208724669967</v>
      </c>
      <c r="D64" s="85">
        <f t="shared" si="5"/>
        <v>6260</v>
      </c>
      <c r="E64" s="82">
        <f t="shared" si="1"/>
        <v>6.26</v>
      </c>
      <c r="F64" s="83">
        <f>B64/Summary!C$23</f>
        <v>1.8540014265335236</v>
      </c>
      <c r="G64" s="84">
        <f>G63+('development plan (Wind)'!B63/Summary!C$23)*Summary!C$27</f>
        <v>26809.787515658765</v>
      </c>
      <c r="H64" s="84">
        <f t="shared" si="6"/>
        <v>17744.005000000008</v>
      </c>
      <c r="I64" s="86">
        <f>B63*Summary!C$16*Summary!C$17*24*375*1000*B$6</f>
        <v>111334950000</v>
      </c>
      <c r="J64" s="86">
        <f t="shared" si="2"/>
        <v>125204950000</v>
      </c>
    </row>
    <row r="65" spans="1:10">
      <c r="A65" s="89">
        <f t="shared" si="3"/>
        <v>52</v>
      </c>
      <c r="B65" s="30">
        <f t="shared" si="4"/>
        <v>136506.5</v>
      </c>
      <c r="C65" s="78">
        <f t="shared" si="0"/>
        <v>1.5734556394021451</v>
      </c>
      <c r="D65" s="85">
        <f t="shared" si="5"/>
        <v>6541</v>
      </c>
      <c r="E65" s="82">
        <f t="shared" si="1"/>
        <v>6.5410000000000004</v>
      </c>
      <c r="F65" s="83">
        <f>B65/Summary!C$23</f>
        <v>1.9473109843081313</v>
      </c>
      <c r="G65" s="84">
        <f>G64+('development plan (Wind)'!B64/Summary!C$23)*Summary!C$27</f>
        <v>28466.84404131673</v>
      </c>
      <c r="H65" s="84">
        <f t="shared" si="6"/>
        <v>18091.926666666674</v>
      </c>
      <c r="I65" s="86">
        <f>B64*Summary!C$16*Summary!C$17*24*375*1000*B$6</f>
        <v>116968950000</v>
      </c>
      <c r="J65" s="86">
        <f t="shared" si="2"/>
        <v>130838950000</v>
      </c>
    </row>
    <row r="66" spans="1:10">
      <c r="A66" s="89">
        <f t="shared" si="3"/>
        <v>53</v>
      </c>
      <c r="B66" s="30">
        <f t="shared" si="4"/>
        <v>143342.5</v>
      </c>
      <c r="C66" s="78">
        <f t="shared" si="0"/>
        <v>1.638153285741468</v>
      </c>
      <c r="D66" s="85">
        <f t="shared" si="5"/>
        <v>6836</v>
      </c>
      <c r="E66" s="82">
        <f t="shared" si="1"/>
        <v>6.8360000000000003</v>
      </c>
      <c r="F66" s="83">
        <f>B66/Summary!C$23</f>
        <v>2.0448288159771755</v>
      </c>
      <c r="G66" s="84">
        <f>G65+('development plan (Wind)'!B65/Summary!C$23)*Summary!C$27</f>
        <v>30207.298135824341</v>
      </c>
      <c r="H66" s="84">
        <f t="shared" si="6"/>
        <v>18439.848333333339</v>
      </c>
      <c r="I66" s="86">
        <f>B65*Summary!C$16*Summary!C$17*24*375*1000*B$6</f>
        <v>122855850000</v>
      </c>
      <c r="J66" s="86">
        <f t="shared" si="2"/>
        <v>136725850000</v>
      </c>
    </row>
    <row r="67" spans="1:10">
      <c r="A67" s="89">
        <f t="shared" si="3"/>
        <v>54</v>
      </c>
      <c r="B67" s="30">
        <f t="shared" si="4"/>
        <v>150485.5</v>
      </c>
      <c r="C67" s="78">
        <f t="shared" si="0"/>
        <v>1.7050938478069344</v>
      </c>
      <c r="D67" s="85">
        <f t="shared" si="5"/>
        <v>7143</v>
      </c>
      <c r="E67" s="82">
        <f t="shared" si="1"/>
        <v>7.1429999999999998</v>
      </c>
      <c r="F67" s="83">
        <f>B67/Summary!C$23</f>
        <v>2.1467261055634808</v>
      </c>
      <c r="G67" s="84">
        <f>G66+('development plan (Wind)'!B66/Summary!C$23)*Summary!C$27</f>
        <v>32034.911041011695</v>
      </c>
      <c r="H67" s="84">
        <f t="shared" si="6"/>
        <v>18787.770000000004</v>
      </c>
      <c r="I67" s="86">
        <f>B66*Summary!C$16*Summary!C$17*24*375*1000*B$6</f>
        <v>129008250000</v>
      </c>
      <c r="J67" s="86">
        <f t="shared" si="2"/>
        <v>142878250000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2"/>
  <sheetViews>
    <sheetView showGridLines="0" topLeftCell="A14" workbookViewId="0">
      <selection activeCell="H24" sqref="H24"/>
    </sheetView>
  </sheetViews>
  <sheetFormatPr defaultColWidth="17.28515625" defaultRowHeight="15" customHeight="1"/>
  <cols>
    <col min="1" max="1" width="5.42578125" style="184" customWidth="1"/>
    <col min="2" max="2" width="34.42578125" customWidth="1"/>
    <col min="3" max="3" width="16.5703125" customWidth="1"/>
    <col min="4" max="4" width="14.5703125" customWidth="1"/>
    <col min="5" max="5" width="14.42578125" customWidth="1"/>
    <col min="6" max="8" width="14.5703125" customWidth="1"/>
    <col min="9" max="9" width="20" customWidth="1"/>
    <col min="10" max="11" width="18" customWidth="1"/>
    <col min="12" max="12" width="21" customWidth="1"/>
    <col min="13" max="13" width="20" customWidth="1"/>
    <col min="14" max="14" width="16.28515625" customWidth="1"/>
    <col min="15" max="15" width="14.85546875" customWidth="1"/>
    <col min="16" max="16" width="14.42578125" customWidth="1"/>
    <col min="17" max="17" width="13.85546875" customWidth="1"/>
    <col min="18" max="18" width="15.140625" customWidth="1"/>
    <col min="19" max="19" width="15" customWidth="1"/>
    <col min="20" max="20" width="13.5703125" customWidth="1"/>
    <col min="21" max="21" width="14.140625" customWidth="1"/>
    <col min="22" max="22" width="11.7109375" customWidth="1"/>
    <col min="23" max="23" width="13" customWidth="1"/>
  </cols>
  <sheetData>
    <row r="1" spans="1:24" ht="28.5" customHeight="1">
      <c r="A1" s="183"/>
      <c r="B1" s="374" t="s">
        <v>26</v>
      </c>
      <c r="C1" s="371"/>
      <c r="D1" s="371"/>
      <c r="E1" s="371"/>
      <c r="F1" s="371"/>
      <c r="G1" s="371"/>
      <c r="H1" s="371"/>
      <c r="I1" s="371"/>
      <c r="J1" s="371"/>
      <c r="K1" s="371"/>
      <c r="L1" s="371"/>
      <c r="M1" s="371"/>
      <c r="N1" s="371"/>
      <c r="O1" s="221"/>
      <c r="P1" s="221"/>
      <c r="Q1" s="221"/>
      <c r="R1" s="221"/>
      <c r="S1" s="183"/>
      <c r="T1" s="183"/>
      <c r="U1" s="183"/>
      <c r="V1" s="183"/>
      <c r="W1" s="183"/>
      <c r="X1" s="184"/>
    </row>
    <row r="2" spans="1:24" s="184" customFormat="1" ht="21" customHeight="1">
      <c r="A2" s="183"/>
      <c r="B2" s="220"/>
      <c r="C2" s="220"/>
      <c r="D2" s="220"/>
      <c r="E2" s="220"/>
      <c r="F2" s="220"/>
      <c r="G2" s="220"/>
      <c r="H2" s="220"/>
      <c r="I2" s="220"/>
      <c r="J2" s="220"/>
      <c r="K2" s="220"/>
      <c r="L2" s="220"/>
      <c r="M2" s="220"/>
      <c r="N2" s="220"/>
      <c r="O2" s="221"/>
      <c r="P2" s="221"/>
      <c r="Q2" s="221"/>
      <c r="R2" s="221"/>
      <c r="S2" s="183"/>
      <c r="T2" s="183"/>
      <c r="U2" s="183"/>
      <c r="V2" s="183"/>
      <c r="W2" s="183"/>
    </row>
    <row r="3" spans="1:24" ht="18.75" customHeight="1">
      <c r="A3" s="183"/>
      <c r="B3" s="240" t="s">
        <v>46</v>
      </c>
      <c r="C3" s="241"/>
      <c r="D3" s="223"/>
      <c r="E3" s="223"/>
      <c r="F3" s="223"/>
      <c r="G3" s="223"/>
      <c r="H3" s="223"/>
      <c r="I3" s="224"/>
      <c r="J3" s="224"/>
      <c r="K3" s="223"/>
      <c r="L3" s="223"/>
      <c r="M3" s="223"/>
      <c r="N3" s="223"/>
      <c r="O3" s="223"/>
      <c r="P3" s="223"/>
      <c r="Q3" s="223"/>
      <c r="R3" s="223"/>
      <c r="S3" s="183"/>
      <c r="T3" s="183"/>
      <c r="U3" s="183"/>
      <c r="V3" s="183"/>
      <c r="W3" s="183"/>
    </row>
    <row r="4" spans="1:24" ht="16.5" customHeight="1">
      <c r="A4" s="183"/>
      <c r="B4" s="238" t="s">
        <v>50</v>
      </c>
      <c r="C4" s="239"/>
      <c r="D4" s="223"/>
      <c r="E4" s="223"/>
      <c r="F4" s="223"/>
      <c r="G4" s="223"/>
      <c r="H4" s="223"/>
      <c r="I4" s="224"/>
      <c r="J4" s="224"/>
      <c r="K4" s="223"/>
      <c r="L4" s="223"/>
      <c r="M4" s="223"/>
      <c r="N4" s="223"/>
      <c r="O4" s="223"/>
      <c r="P4" s="223"/>
      <c r="Q4" s="223"/>
      <c r="R4" s="223"/>
      <c r="S4" s="183"/>
      <c r="T4" s="183"/>
      <c r="U4" s="183"/>
      <c r="V4" s="183"/>
      <c r="W4" s="183"/>
    </row>
    <row r="5" spans="1:24" s="184" customFormat="1" ht="16.5" customHeight="1" thickBot="1">
      <c r="A5" s="183"/>
      <c r="B5" s="228"/>
      <c r="C5" s="222"/>
      <c r="D5" s="223"/>
      <c r="E5" s="223"/>
      <c r="F5" s="223"/>
      <c r="G5" s="223"/>
      <c r="H5" s="223"/>
      <c r="I5" s="224"/>
      <c r="J5" s="224"/>
      <c r="K5" s="223"/>
      <c r="L5" s="223"/>
      <c r="M5" s="223"/>
      <c r="N5" s="223"/>
      <c r="O5" s="223"/>
      <c r="P5" s="223"/>
      <c r="Q5" s="223"/>
      <c r="R5" s="223"/>
      <c r="S5" s="183"/>
      <c r="T5" s="183"/>
      <c r="U5" s="183"/>
      <c r="V5" s="183"/>
      <c r="W5" s="183"/>
    </row>
    <row r="6" spans="1:24" ht="16.5" customHeight="1" thickBot="1">
      <c r="A6" s="183"/>
      <c r="B6" s="375" t="s">
        <v>74</v>
      </c>
      <c r="C6" s="376"/>
      <c r="D6" s="223"/>
      <c r="E6" s="223"/>
      <c r="F6" s="223"/>
      <c r="G6" s="223"/>
      <c r="H6" s="223"/>
      <c r="I6" s="224"/>
      <c r="J6" s="224"/>
      <c r="K6" s="223"/>
      <c r="L6" s="223"/>
      <c r="M6" s="223"/>
      <c r="N6" s="223"/>
      <c r="O6" s="223"/>
      <c r="P6" s="223"/>
      <c r="Q6" s="223"/>
      <c r="R6" s="223"/>
      <c r="S6" s="183"/>
      <c r="T6" s="183"/>
      <c r="U6" s="183"/>
      <c r="V6" s="183"/>
      <c r="W6" s="183"/>
    </row>
    <row r="7" spans="1:24" ht="30" customHeight="1">
      <c r="A7" s="183"/>
      <c r="B7" s="61" t="s">
        <v>76</v>
      </c>
      <c r="C7" s="62">
        <v>20</v>
      </c>
      <c r="D7" s="189" t="s">
        <v>156</v>
      </c>
      <c r="E7" s="192"/>
      <c r="F7" s="192"/>
      <c r="G7" s="192"/>
      <c r="H7" s="192"/>
      <c r="I7" s="183"/>
      <c r="J7" s="183"/>
      <c r="K7" s="192"/>
      <c r="L7" s="183"/>
      <c r="M7" s="183"/>
      <c r="N7" s="183"/>
      <c r="O7" s="183"/>
      <c r="P7" s="183"/>
      <c r="Q7" s="183"/>
      <c r="R7" s="183"/>
      <c r="S7" s="183"/>
      <c r="T7" s="183"/>
      <c r="U7" s="183"/>
      <c r="V7" s="183"/>
      <c r="W7" s="183"/>
    </row>
    <row r="8" spans="1:24" ht="30" customHeight="1">
      <c r="A8" s="183"/>
      <c r="B8" s="342" t="s">
        <v>373</v>
      </c>
      <c r="C8" s="76">
        <f>Summary!C31</f>
        <v>693.5</v>
      </c>
      <c r="D8" s="197"/>
      <c r="E8" s="197"/>
      <c r="F8" s="197"/>
      <c r="G8" s="197"/>
      <c r="H8" s="197"/>
      <c r="I8" s="183"/>
      <c r="J8" s="183"/>
      <c r="K8" s="197"/>
      <c r="L8" s="183"/>
      <c r="M8" s="183"/>
      <c r="N8" s="183"/>
      <c r="O8" s="183"/>
      <c r="P8" s="183"/>
      <c r="Q8" s="183"/>
      <c r="R8" s="183"/>
      <c r="S8" s="183"/>
      <c r="T8" s="183"/>
      <c r="U8" s="183"/>
      <c r="V8" s="183"/>
      <c r="W8" s="183"/>
    </row>
    <row r="9" spans="1:24" ht="30" customHeight="1">
      <c r="A9" s="183"/>
      <c r="B9" s="88" t="s">
        <v>204</v>
      </c>
      <c r="C9" s="92">
        <v>7.5</v>
      </c>
      <c r="D9" s="225"/>
      <c r="E9" s="225"/>
      <c r="F9" s="225"/>
      <c r="G9" s="225"/>
      <c r="H9" s="192"/>
      <c r="I9" s="183"/>
      <c r="J9" s="183"/>
      <c r="K9" s="192"/>
      <c r="L9" s="183"/>
      <c r="M9" s="183"/>
      <c r="N9" s="183"/>
      <c r="O9" s="183"/>
      <c r="P9" s="183"/>
      <c r="Q9" s="183"/>
      <c r="R9" s="183"/>
      <c r="S9" s="183"/>
      <c r="T9" s="183"/>
      <c r="U9" s="183"/>
      <c r="V9" s="183"/>
      <c r="W9" s="183"/>
    </row>
    <row r="10" spans="1:24" ht="21.75" customHeight="1">
      <c r="A10" s="183"/>
      <c r="B10" s="87" t="s">
        <v>217</v>
      </c>
      <c r="C10" s="99">
        <f>C9*C8*1000000</f>
        <v>5201250000</v>
      </c>
      <c r="D10" s="226"/>
      <c r="E10" s="226"/>
      <c r="F10" s="226"/>
      <c r="G10" s="226"/>
      <c r="H10" s="192"/>
      <c r="I10" s="183"/>
      <c r="J10" s="183"/>
      <c r="K10" s="192"/>
      <c r="L10" s="183"/>
      <c r="M10" s="183"/>
      <c r="N10" s="183"/>
      <c r="O10" s="183"/>
      <c r="P10" s="183"/>
      <c r="Q10" s="183"/>
      <c r="R10" s="183"/>
      <c r="S10" s="183"/>
      <c r="T10" s="183"/>
      <c r="U10" s="183"/>
      <c r="V10" s="183"/>
      <c r="W10" s="183"/>
    </row>
    <row r="11" spans="1:24" ht="30" customHeight="1">
      <c r="A11" s="183"/>
      <c r="B11" s="88" t="s">
        <v>224</v>
      </c>
      <c r="C11" s="92">
        <v>0.05</v>
      </c>
      <c r="D11" s="225"/>
      <c r="E11" s="225"/>
      <c r="F11" s="225"/>
      <c r="G11" s="225"/>
      <c r="H11" s="192"/>
      <c r="I11" s="183"/>
      <c r="J11" s="183"/>
      <c r="K11" s="192"/>
      <c r="L11" s="183"/>
      <c r="M11" s="183"/>
      <c r="N11" s="183"/>
      <c r="O11" s="183"/>
      <c r="P11" s="183"/>
      <c r="Q11" s="183"/>
      <c r="R11" s="183"/>
      <c r="S11" s="183"/>
      <c r="T11" s="183"/>
      <c r="U11" s="183"/>
      <c r="V11" s="183"/>
      <c r="W11" s="183"/>
    </row>
    <row r="12" spans="1:24" ht="30" customHeight="1">
      <c r="A12" s="183"/>
      <c r="B12" s="87" t="s">
        <v>225</v>
      </c>
      <c r="C12" s="97"/>
      <c r="D12" s="192"/>
      <c r="E12" s="192"/>
      <c r="F12" s="192"/>
      <c r="G12" s="192"/>
      <c r="H12" s="192"/>
      <c r="I12" s="183"/>
      <c r="J12" s="183"/>
      <c r="K12" s="192"/>
      <c r="L12" s="183"/>
      <c r="M12" s="183"/>
      <c r="N12" s="183"/>
      <c r="O12" s="183"/>
      <c r="P12" s="183"/>
      <c r="Q12" s="183"/>
      <c r="R12" s="183"/>
      <c r="S12" s="183"/>
      <c r="T12" s="183"/>
      <c r="U12" s="183"/>
      <c r="V12" s="183"/>
      <c r="W12" s="183"/>
    </row>
    <row r="13" spans="1:24" ht="30" customHeight="1">
      <c r="A13" s="183"/>
      <c r="B13" s="100" t="s">
        <v>62</v>
      </c>
      <c r="C13" s="97">
        <v>2</v>
      </c>
      <c r="D13" s="192"/>
      <c r="E13" s="192"/>
      <c r="F13" s="192"/>
      <c r="G13" s="192"/>
      <c r="H13" s="225"/>
      <c r="I13" s="183"/>
      <c r="J13" s="183"/>
      <c r="K13" s="192"/>
      <c r="L13" s="183"/>
      <c r="M13" s="183"/>
      <c r="N13" s="183"/>
      <c r="O13" s="183"/>
      <c r="P13" s="183"/>
      <c r="Q13" s="183"/>
      <c r="R13" s="183"/>
      <c r="S13" s="183"/>
      <c r="T13" s="183"/>
      <c r="U13" s="183"/>
      <c r="V13" s="183"/>
      <c r="W13" s="183"/>
    </row>
    <row r="14" spans="1:24" ht="30" customHeight="1">
      <c r="A14" s="183"/>
      <c r="B14" s="100" t="s">
        <v>68</v>
      </c>
      <c r="C14" s="76">
        <v>5</v>
      </c>
      <c r="D14" s="192"/>
      <c r="E14" s="192"/>
      <c r="F14" s="192"/>
      <c r="G14" s="192"/>
      <c r="H14" s="192"/>
      <c r="I14" s="183"/>
      <c r="J14" s="183"/>
      <c r="K14" s="192"/>
      <c r="L14" s="183"/>
      <c r="M14" s="183"/>
      <c r="N14" s="183"/>
      <c r="O14" s="183"/>
      <c r="P14" s="183"/>
      <c r="Q14" s="183"/>
      <c r="R14" s="183"/>
      <c r="S14" s="183"/>
      <c r="T14" s="183"/>
      <c r="U14" s="183"/>
      <c r="V14" s="183"/>
      <c r="W14" s="183"/>
    </row>
    <row r="15" spans="1:24">
      <c r="A15" s="183"/>
      <c r="B15" s="100" t="s">
        <v>226</v>
      </c>
      <c r="C15" s="99">
        <f>C14*1000000*C13</f>
        <v>10000000</v>
      </c>
      <c r="D15" s="227"/>
      <c r="E15" s="227"/>
      <c r="F15" s="227"/>
      <c r="G15" s="227"/>
      <c r="H15" s="197"/>
      <c r="I15" s="183"/>
      <c r="J15" s="183"/>
      <c r="K15" s="197"/>
      <c r="L15" s="183"/>
      <c r="M15" s="183"/>
      <c r="N15" s="183"/>
      <c r="O15" s="183"/>
      <c r="P15" s="183"/>
      <c r="Q15" s="183"/>
      <c r="R15" s="183"/>
      <c r="S15" s="183"/>
      <c r="T15" s="183"/>
      <c r="U15" s="183"/>
      <c r="V15" s="183"/>
      <c r="W15" s="183"/>
    </row>
    <row r="16" spans="1:24" ht="30" customHeight="1">
      <c r="A16" s="183"/>
      <c r="B16" s="100" t="s">
        <v>234</v>
      </c>
      <c r="C16" s="76">
        <f>C10/C15</f>
        <v>520.125</v>
      </c>
      <c r="D16" s="197"/>
      <c r="E16" s="197"/>
      <c r="F16" s="197"/>
      <c r="G16" s="197"/>
      <c r="H16" s="197"/>
      <c r="I16" s="183"/>
      <c r="J16" s="183"/>
      <c r="K16" s="197"/>
      <c r="L16" s="183"/>
      <c r="M16" s="183"/>
      <c r="N16" s="183"/>
      <c r="O16" s="183"/>
      <c r="P16" s="183"/>
      <c r="Q16" s="183"/>
      <c r="R16" s="183"/>
      <c r="S16" s="183"/>
      <c r="T16" s="183"/>
      <c r="U16" s="183"/>
      <c r="V16" s="183"/>
      <c r="W16" s="183"/>
    </row>
    <row r="17" spans="1:23" ht="43.5" customHeight="1" thickBot="1">
      <c r="A17" s="183"/>
      <c r="B17" s="105" t="s">
        <v>83</v>
      </c>
      <c r="C17" s="112">
        <v>1000</v>
      </c>
      <c r="D17" s="197"/>
      <c r="E17" s="197"/>
      <c r="F17" s="197"/>
      <c r="G17" s="197"/>
      <c r="H17" s="197"/>
      <c r="I17" s="183"/>
      <c r="J17" s="183"/>
      <c r="K17" s="197"/>
      <c r="L17" s="183"/>
      <c r="M17" s="183"/>
      <c r="N17" s="183"/>
      <c r="O17" s="183"/>
      <c r="P17" s="183"/>
      <c r="Q17" s="183"/>
      <c r="R17" s="183"/>
      <c r="S17" s="183"/>
      <c r="T17" s="183"/>
      <c r="U17" s="183"/>
      <c r="V17" s="183"/>
      <c r="W17" s="183"/>
    </row>
    <row r="18" spans="1:23">
      <c r="A18" s="183"/>
      <c r="B18" s="229"/>
      <c r="C18" s="230"/>
      <c r="D18" s="197"/>
      <c r="E18" s="197"/>
      <c r="F18" s="197"/>
      <c r="G18" s="197"/>
      <c r="H18" s="197"/>
      <c r="I18" s="183"/>
      <c r="J18" s="183"/>
      <c r="K18" s="197"/>
      <c r="L18" s="183"/>
      <c r="M18" s="183"/>
      <c r="N18" s="183"/>
      <c r="O18" s="183"/>
      <c r="P18" s="183"/>
      <c r="Q18" s="183"/>
      <c r="R18" s="183"/>
      <c r="S18" s="183"/>
      <c r="T18" s="183"/>
      <c r="U18" s="183"/>
      <c r="V18" s="183"/>
      <c r="W18" s="183"/>
    </row>
    <row r="19" spans="1:23" ht="15.75" thickBot="1">
      <c r="A19" s="183"/>
      <c r="B19" s="229"/>
      <c r="C19" s="230"/>
      <c r="D19" s="197"/>
      <c r="E19" s="197"/>
      <c r="F19" s="197"/>
      <c r="G19" s="197"/>
      <c r="H19" s="197"/>
      <c r="I19" s="183"/>
      <c r="J19" s="183"/>
      <c r="K19" s="197"/>
      <c r="L19" s="183"/>
      <c r="M19" s="183"/>
      <c r="N19" s="183"/>
      <c r="O19" s="183"/>
      <c r="P19" s="183"/>
      <c r="Q19" s="183"/>
      <c r="R19" s="183"/>
      <c r="S19" s="183"/>
      <c r="T19" s="183"/>
      <c r="U19" s="183"/>
      <c r="V19" s="377" t="s">
        <v>263</v>
      </c>
      <c r="W19" s="373"/>
    </row>
    <row r="20" spans="1:23" ht="75.75" customHeight="1" thickBot="1">
      <c r="A20" s="218"/>
      <c r="B20" s="43" t="s">
        <v>45</v>
      </c>
      <c r="C20" s="43" t="s">
        <v>265</v>
      </c>
      <c r="D20" s="43" t="s">
        <v>266</v>
      </c>
      <c r="E20" s="43" t="s">
        <v>267</v>
      </c>
      <c r="F20" s="43" t="s">
        <v>170</v>
      </c>
      <c r="G20" s="43" t="s">
        <v>171</v>
      </c>
      <c r="H20" s="43" t="s">
        <v>268</v>
      </c>
      <c r="I20" s="43" t="s">
        <v>269</v>
      </c>
      <c r="J20" s="43" t="s">
        <v>270</v>
      </c>
      <c r="K20" s="43" t="s">
        <v>271</v>
      </c>
      <c r="L20" s="43" t="s">
        <v>272</v>
      </c>
      <c r="M20" s="43" t="s">
        <v>273</v>
      </c>
      <c r="N20" s="43" t="s">
        <v>274</v>
      </c>
      <c r="O20" s="43" t="s">
        <v>275</v>
      </c>
      <c r="P20" s="43" t="s">
        <v>276</v>
      </c>
      <c r="Q20" s="43" t="s">
        <v>277</v>
      </c>
      <c r="R20" s="43" t="s">
        <v>278</v>
      </c>
      <c r="S20" s="231" t="s">
        <v>279</v>
      </c>
      <c r="T20" s="231" t="s">
        <v>280</v>
      </c>
      <c r="U20" s="231" t="s">
        <v>281</v>
      </c>
      <c r="V20" s="231" t="s">
        <v>282</v>
      </c>
      <c r="W20" s="231" t="s">
        <v>283</v>
      </c>
    </row>
    <row r="21" spans="1:23">
      <c r="A21" s="183"/>
      <c r="B21" s="54">
        <v>1</v>
      </c>
      <c r="C21" s="115">
        <f>E21</f>
        <v>520.125</v>
      </c>
      <c r="D21" s="48">
        <f t="shared" ref="D21:D122" si="0">H21/K21</f>
        <v>0</v>
      </c>
      <c r="E21" s="115">
        <f>M21/C$15</f>
        <v>520.125</v>
      </c>
      <c r="F21" s="116">
        <f t="shared" ref="F21:F122" si="1">E21*C$17/1000000</f>
        <v>0.52012499999999995</v>
      </c>
      <c r="G21" s="118">
        <f>C21/Summary!C$23</f>
        <v>7.4197574893009989E-3</v>
      </c>
      <c r="H21" s="119">
        <v>0</v>
      </c>
      <c r="I21" s="119">
        <f>Summary!C32</f>
        <v>49.716666666666669</v>
      </c>
      <c r="J21" s="119">
        <f>Summary!C33</f>
        <v>298.20499999999998</v>
      </c>
      <c r="K21" s="119">
        <f>SUM(I21:J21)</f>
        <v>347.92166666666662</v>
      </c>
      <c r="L21" s="120"/>
      <c r="M21" s="122">
        <f t="shared" ref="M21:M122" si="2">C$10+L21</f>
        <v>5201250000</v>
      </c>
      <c r="N21" s="120">
        <f t="shared" ref="N21:N122" ca="1" si="3">ROUNDUP(IF(B21&gt;$C$7,OFFSET(E21,-1*$C$7,0),0),0)</f>
        <v>0</v>
      </c>
      <c r="O21" s="48">
        <f t="shared" ref="O21:O122" si="4">H21/I21*100%</f>
        <v>0</v>
      </c>
      <c r="P21" s="115">
        <f>C21*Summary!$C$16</f>
        <v>2600.625</v>
      </c>
      <c r="Q21" s="115">
        <f>P21*Summary!$C$17</f>
        <v>1040.25</v>
      </c>
      <c r="R21" s="48">
        <f>Q21/'Alberta Electricity Profile'!$C$33</f>
        <v>6.9801382272025772E-2</v>
      </c>
      <c r="S21" s="232">
        <f>P21/'Alberta Electricity Profile'!$D$49</f>
        <v>1.9921596715258574E-2</v>
      </c>
      <c r="T21" s="233">
        <f t="shared" ref="T21:T122" si="5">$K$21</f>
        <v>347.92166666666662</v>
      </c>
      <c r="U21" s="234">
        <v>0</v>
      </c>
      <c r="V21" s="234">
        <f>U21/Q21*1000</f>
        <v>0</v>
      </c>
      <c r="W21" s="234"/>
    </row>
    <row r="22" spans="1:23">
      <c r="A22" s="183"/>
      <c r="B22" s="124">
        <f t="shared" ref="B22:B122" si="6">B21+1</f>
        <v>2</v>
      </c>
      <c r="C22" s="115">
        <f t="shared" ref="C22:C122" ca="1" si="7">C21+E22-N22</f>
        <v>1086.125</v>
      </c>
      <c r="D22" s="48">
        <f t="shared" si="0"/>
        <v>9.5302764683834716E-3</v>
      </c>
      <c r="E22" s="120">
        <f t="shared" ref="E22:E122" si="8">ROUNDDOWN(M22/C$15,0)</f>
        <v>566</v>
      </c>
      <c r="F22" s="116">
        <f t="shared" si="1"/>
        <v>0.56599999999999995</v>
      </c>
      <c r="G22" s="118">
        <f ca="1">C22/Summary!C$23</f>
        <v>1.5493937232524964E-2</v>
      </c>
      <c r="H22" s="119">
        <f>H21+('Dev Plan (Wind)'!C21/Summary!C$23)*Summary!C$27</f>
        <v>6.6315793453481815</v>
      </c>
      <c r="I22" s="119">
        <f t="shared" ref="I22:I122" si="9">I21+$I$21</f>
        <v>99.433333333333337</v>
      </c>
      <c r="J22" s="119">
        <f t="shared" ref="J22:J122" si="10">J21+$J$21</f>
        <v>596.41</v>
      </c>
      <c r="K22" s="119">
        <f t="shared" ref="K22:K122" si="11">SUM(I22:J22)</f>
        <v>695.84333333333325</v>
      </c>
      <c r="L22" s="122">
        <f>C21*Summary!C$16*Summary!C$17*24*375*1000*C$11</f>
        <v>468112500</v>
      </c>
      <c r="M22" s="122">
        <f>C$10+L22</f>
        <v>5669362500</v>
      </c>
      <c r="N22" s="120">
        <f t="shared" ca="1" si="3"/>
        <v>0</v>
      </c>
      <c r="O22" s="48">
        <f t="shared" si="4"/>
        <v>6.6693724559317949E-2</v>
      </c>
      <c r="P22" s="115">
        <f ca="1">C22*Summary!$C$16</f>
        <v>5430.625</v>
      </c>
      <c r="Q22" s="115">
        <f ca="1">P22*Summary!$C$17</f>
        <v>2172.25</v>
      </c>
      <c r="R22" s="48">
        <f ca="1">Q22/'Alberta Electricity Profile'!$C$33</f>
        <v>0.14575924310541502</v>
      </c>
      <c r="S22" s="235">
        <f ca="1">P22/'Alberta Electricity Profile'!$D$49</f>
        <v>4.1600277303264058E-2</v>
      </c>
      <c r="T22" s="236">
        <f t="shared" si="5"/>
        <v>347.92166666666662</v>
      </c>
      <c r="U22" s="236">
        <f t="shared" ref="U22:U122" si="12">H22-H21</f>
        <v>6.6315793453481815</v>
      </c>
      <c r="V22" s="237">
        <f t="shared" ref="V22:V122" si="13">U22/Q21*1000</f>
        <v>6.3749861527019291</v>
      </c>
      <c r="W22" s="237">
        <f t="shared" ref="W22:W122" si="14">(H22-H21)/C21*1000*1000</f>
        <v>12749.972305403859</v>
      </c>
    </row>
    <row r="23" spans="1:23">
      <c r="A23" s="183"/>
      <c r="B23" s="124">
        <f t="shared" si="6"/>
        <v>3</v>
      </c>
      <c r="C23" s="115">
        <f t="shared" ca="1" si="7"/>
        <v>1703.125</v>
      </c>
      <c r="D23" s="48">
        <f t="shared" ca="1" si="0"/>
        <v>1.9620932887723715E-2</v>
      </c>
      <c r="E23" s="120">
        <f t="shared" ca="1" si="8"/>
        <v>617</v>
      </c>
      <c r="F23" s="116">
        <f t="shared" ca="1" si="1"/>
        <v>0.61699999999999999</v>
      </c>
      <c r="G23" s="118">
        <f ca="1">C23/Summary!C$23</f>
        <v>2.4295649072753209E-2</v>
      </c>
      <c r="H23" s="119">
        <f ca="1">H22+('Dev Plan (Wind)'!C22/Summary!C$23)*Summary!C$27</f>
        <v>20.479643015554945</v>
      </c>
      <c r="I23" s="119">
        <f t="shared" si="9"/>
        <v>149.15</v>
      </c>
      <c r="J23" s="119">
        <f t="shared" si="10"/>
        <v>894.61500000000001</v>
      </c>
      <c r="K23" s="119">
        <f t="shared" si="11"/>
        <v>1043.7650000000001</v>
      </c>
      <c r="L23" s="122">
        <f ca="1">C22*Summary!C$16*Summary!C$17*24*375*1000*C$11</f>
        <v>977512500</v>
      </c>
      <c r="M23" s="122">
        <f t="shared" ca="1" si="2"/>
        <v>6178762500</v>
      </c>
      <c r="N23" s="120">
        <f t="shared" ca="1" si="3"/>
        <v>0</v>
      </c>
      <c r="O23" s="48">
        <f t="shared" ca="1" si="4"/>
        <v>0.13730903798561814</v>
      </c>
      <c r="P23" s="115">
        <f ca="1">C23*Summary!$C$16</f>
        <v>8515.625</v>
      </c>
      <c r="Q23" s="115">
        <f ca="1">P23*Summary!$C$17</f>
        <v>3406.25</v>
      </c>
      <c r="R23" s="48">
        <f ca="1">Q23/'Alberta Electricity Profile'!$C$33</f>
        <v>0.2285613634838623</v>
      </c>
      <c r="S23" s="235">
        <f ca="1">P23/'Alberta Electricity Profile'!$D$49</f>
        <v>6.5232337237538587E-2</v>
      </c>
      <c r="T23" s="236">
        <f t="shared" si="5"/>
        <v>347.92166666666662</v>
      </c>
      <c r="U23" s="236">
        <f t="shared" ca="1" si="12"/>
        <v>13.848063670206763</v>
      </c>
      <c r="V23" s="237">
        <f t="shared" ca="1" si="13"/>
        <v>6.3749861527019274</v>
      </c>
      <c r="W23" s="237">
        <f t="shared" ca="1" si="14"/>
        <v>12749.972305403855</v>
      </c>
    </row>
    <row r="24" spans="1:23">
      <c r="A24" s="183"/>
      <c r="B24" s="124">
        <f t="shared" si="6"/>
        <v>4</v>
      </c>
      <c r="C24" s="115">
        <f t="shared" ca="1" si="7"/>
        <v>2376.125</v>
      </c>
      <c r="D24" s="48">
        <f t="shared" ca="1" si="0"/>
        <v>3.0318922074075026E-2</v>
      </c>
      <c r="E24" s="120">
        <f t="shared" ca="1" si="8"/>
        <v>673</v>
      </c>
      <c r="F24" s="116">
        <f t="shared" ca="1" si="1"/>
        <v>0.67300000000000004</v>
      </c>
      <c r="G24" s="118">
        <f ca="1">C24/Summary!C$23</f>
        <v>3.3896219686162625E-2</v>
      </c>
      <c r="H24" s="119">
        <f ca="1">H23+('Dev Plan (Wind)'!C23/Summary!C$23)*Summary!C$27</f>
        <v>42.194439598195885</v>
      </c>
      <c r="I24" s="119">
        <f t="shared" si="9"/>
        <v>198.86666666666667</v>
      </c>
      <c r="J24" s="119">
        <f t="shared" si="10"/>
        <v>1192.82</v>
      </c>
      <c r="K24" s="119">
        <f t="shared" si="11"/>
        <v>1391.6866666666665</v>
      </c>
      <c r="L24" s="122">
        <f ca="1">C23*Summary!C$16*Summary!C$17*24*375*1000*C$11</f>
        <v>1532812500</v>
      </c>
      <c r="M24" s="122">
        <f t="shared" ca="1" si="2"/>
        <v>6734062500</v>
      </c>
      <c r="N24" s="120">
        <f t="shared" ca="1" si="3"/>
        <v>0</v>
      </c>
      <c r="O24" s="48">
        <f t="shared" ca="1" si="4"/>
        <v>0.21217452027252373</v>
      </c>
      <c r="P24" s="115">
        <f ca="1">C24*Summary!$C$16</f>
        <v>11880.625</v>
      </c>
      <c r="Q24" s="115">
        <f ca="1">P24*Summary!$C$17</f>
        <v>4752.25</v>
      </c>
      <c r="R24" s="48">
        <f ca="1">Q24/'Alberta Electricity Profile'!$C$33</f>
        <v>0.31887874924511844</v>
      </c>
      <c r="S24" s="235">
        <f ca="1">P24/'Alberta Electricity Profile'!$D$49</f>
        <v>9.1009284297128151E-2</v>
      </c>
      <c r="T24" s="236">
        <f t="shared" si="5"/>
        <v>347.92166666666662</v>
      </c>
      <c r="U24" s="236">
        <f t="shared" ca="1" si="12"/>
        <v>21.71479658264094</v>
      </c>
      <c r="V24" s="237">
        <f t="shared" ca="1" si="13"/>
        <v>6.3749861527019274</v>
      </c>
      <c r="W24" s="237">
        <f t="shared" ca="1" si="14"/>
        <v>12749.972305403855</v>
      </c>
    </row>
    <row r="25" spans="1:23">
      <c r="A25" s="183"/>
      <c r="B25" s="124">
        <f t="shared" si="6"/>
        <v>5</v>
      </c>
      <c r="C25" s="115">
        <f t="shared" ca="1" si="7"/>
        <v>3109.125</v>
      </c>
      <c r="D25" s="48">
        <f t="shared" ca="1" si="0"/>
        <v>4.1670280690983295E-2</v>
      </c>
      <c r="E25" s="120">
        <f t="shared" ca="1" si="8"/>
        <v>733</v>
      </c>
      <c r="F25" s="116">
        <f t="shared" ca="1" si="1"/>
        <v>0.73299999999999998</v>
      </c>
      <c r="G25" s="118">
        <f ca="1">C25/Summary!C$23</f>
        <v>4.4352710413694721E-2</v>
      </c>
      <c r="H25" s="119">
        <f ca="1">H24+('Dev Plan (Wind)'!C24/Summary!C$23)*Summary!C$27</f>
        <v>72.48996754237362</v>
      </c>
      <c r="I25" s="119">
        <f>I24+$I$21</f>
        <v>248.58333333333334</v>
      </c>
      <c r="J25" s="119">
        <f>J24+$J$21</f>
        <v>1491.0249999999999</v>
      </c>
      <c r="K25" s="119">
        <f t="shared" si="11"/>
        <v>1739.6083333333331</v>
      </c>
      <c r="L25" s="122">
        <f ca="1">C24*Summary!C$16*Summary!C$17*24*375*1000*C$11</f>
        <v>2138512500</v>
      </c>
      <c r="M25" s="122">
        <f t="shared" ca="1" si="2"/>
        <v>7339762500</v>
      </c>
      <c r="N25" s="120">
        <f t="shared" ca="1" si="3"/>
        <v>0</v>
      </c>
      <c r="O25" s="48">
        <f t="shared" ca="1" si="4"/>
        <v>0.29161234009670917</v>
      </c>
      <c r="P25" s="115">
        <f ca="1">C25*Summary!$C$16</f>
        <v>15545.625</v>
      </c>
      <c r="Q25" s="115">
        <f ca="1">P25*Summary!$C$17</f>
        <v>6218.25</v>
      </c>
      <c r="R25" s="48">
        <f ca="1">Q25/'Alberta Electricity Profile'!$C$33</f>
        <v>0.41724820505938404</v>
      </c>
      <c r="S25" s="235">
        <f ca="1">P25/'Alberta Electricity Profile'!$D$49</f>
        <v>0.11908432470526953</v>
      </c>
      <c r="T25" s="236">
        <f t="shared" si="5"/>
        <v>347.92166666666662</v>
      </c>
      <c r="U25" s="236">
        <f t="shared" ca="1" si="12"/>
        <v>30.295527944177735</v>
      </c>
      <c r="V25" s="237">
        <f t="shared" ca="1" si="13"/>
        <v>6.3749861527019274</v>
      </c>
      <c r="W25" s="237">
        <f t="shared" ca="1" si="14"/>
        <v>12749.972305403855</v>
      </c>
    </row>
    <row r="26" spans="1:23">
      <c r="A26" s="183"/>
      <c r="B26" s="124">
        <f t="shared" si="6"/>
        <v>6</v>
      </c>
      <c r="C26" s="115">
        <f t="shared" ca="1" si="7"/>
        <v>3908.125</v>
      </c>
      <c r="D26" s="48">
        <f t="shared" ca="1" si="0"/>
        <v>5.371478502652053E-2</v>
      </c>
      <c r="E26" s="120">
        <f t="shared" ca="1" si="8"/>
        <v>799</v>
      </c>
      <c r="F26" s="116">
        <f t="shared" ca="1" si="1"/>
        <v>0.79900000000000004</v>
      </c>
      <c r="G26" s="118">
        <f ca="1">C26/Summary!C$23</f>
        <v>5.5750713266761766E-2</v>
      </c>
      <c r="H26" s="119">
        <f ca="1">H25+('Dev Plan (Wind)'!C25/Summary!C$23)*Summary!C$27</f>
        <v>112.13122518641239</v>
      </c>
      <c r="I26" s="119">
        <f t="shared" si="9"/>
        <v>298.3</v>
      </c>
      <c r="J26" s="119">
        <f t="shared" si="10"/>
        <v>1789.2299999999998</v>
      </c>
      <c r="K26" s="119">
        <f t="shared" si="11"/>
        <v>2087.5299999999997</v>
      </c>
      <c r="L26" s="122">
        <f ca="1">C25*Summary!C$16*Summary!C$17*24*375*1000*C$11</f>
        <v>2798212500</v>
      </c>
      <c r="M26" s="122">
        <f t="shared" ca="1" si="2"/>
        <v>7999462500</v>
      </c>
      <c r="N26" s="120">
        <f t="shared" ca="1" si="3"/>
        <v>0</v>
      </c>
      <c r="O26" s="48">
        <f t="shared" ca="1" si="4"/>
        <v>0.37590085546903246</v>
      </c>
      <c r="P26" s="115">
        <f ca="1">C26*Summary!$C$16</f>
        <v>19540.625</v>
      </c>
      <c r="Q26" s="115">
        <f ca="1">P26*Summary!$C$17</f>
        <v>7816.25</v>
      </c>
      <c r="R26" s="48">
        <f ca="1">Q26/'Alberta Electricity Profile'!$C$33</f>
        <v>0.52447493793195998</v>
      </c>
      <c r="S26" s="235">
        <f ca="1">P26/'Alberta Electricity Profile'!$D$49</f>
        <v>0.1496872677968179</v>
      </c>
      <c r="T26" s="236">
        <f t="shared" si="5"/>
        <v>347.92166666666662</v>
      </c>
      <c r="U26" s="236">
        <f t="shared" ca="1" si="12"/>
        <v>39.641257644038774</v>
      </c>
      <c r="V26" s="237">
        <f t="shared" ca="1" si="13"/>
        <v>6.3749861527019291</v>
      </c>
      <c r="W26" s="237">
        <f t="shared" ca="1" si="14"/>
        <v>12749.972305403859</v>
      </c>
    </row>
    <row r="27" spans="1:23">
      <c r="A27" s="183"/>
      <c r="B27" s="124">
        <f t="shared" si="6"/>
        <v>7</v>
      </c>
      <c r="C27" s="115">
        <f t="shared" ca="1" si="7"/>
        <v>4779.125</v>
      </c>
      <c r="D27" s="48">
        <f t="shared" ca="1" si="0"/>
        <v>6.6500893004433334E-2</v>
      </c>
      <c r="E27" s="120">
        <f t="shared" ca="1" si="8"/>
        <v>871</v>
      </c>
      <c r="F27" s="116">
        <f t="shared" ca="1" si="1"/>
        <v>0.871</v>
      </c>
      <c r="G27" s="118">
        <f ca="1">C27/Summary!C$23</f>
        <v>6.8175820256776029E-2</v>
      </c>
      <c r="H27" s="119">
        <f ca="1">H26+('Dev Plan (Wind)'!C26/Summary!C$23)*Summary!C$27</f>
        <v>161.95971070246884</v>
      </c>
      <c r="I27" s="119">
        <f t="shared" si="9"/>
        <v>348.01666666666665</v>
      </c>
      <c r="J27" s="119">
        <f t="shared" si="10"/>
        <v>2087.4349999999999</v>
      </c>
      <c r="K27" s="119">
        <f t="shared" si="11"/>
        <v>2435.4516666666668</v>
      </c>
      <c r="L27" s="122">
        <f ca="1">C26*Summary!C$16*Summary!C$17*24*375*1000*C$11</f>
        <v>3517312500</v>
      </c>
      <c r="M27" s="122">
        <f t="shared" ca="1" si="2"/>
        <v>8718562500</v>
      </c>
      <c r="N27" s="120">
        <f t="shared" ca="1" si="3"/>
        <v>0</v>
      </c>
      <c r="O27" s="48">
        <f t="shared" ca="1" si="4"/>
        <v>0.46537917926096117</v>
      </c>
      <c r="P27" s="115">
        <f ca="1">C27*Summary!$C$16</f>
        <v>23895.625</v>
      </c>
      <c r="Q27" s="115">
        <f ca="1">P27*Summary!$C$17</f>
        <v>9558.25</v>
      </c>
      <c r="R27" s="48">
        <f ca="1">Q27/'Alberta Electricity Profile'!$C$33</f>
        <v>0.64136415486814735</v>
      </c>
      <c r="S27" s="235">
        <f ca="1">P27/'Alberta Electricity Profile'!$D$49</f>
        <v>0.18304792290662847</v>
      </c>
      <c r="T27" s="236">
        <f t="shared" si="5"/>
        <v>347.92166666666662</v>
      </c>
      <c r="U27" s="236">
        <f t="shared" ca="1" si="12"/>
        <v>49.828485516056446</v>
      </c>
      <c r="V27" s="237">
        <f t="shared" ca="1" si="13"/>
        <v>6.3749861527019283</v>
      </c>
      <c r="W27" s="237">
        <f t="shared" ca="1" si="14"/>
        <v>12749.972305403857</v>
      </c>
    </row>
    <row r="28" spans="1:23">
      <c r="A28" s="183"/>
      <c r="B28" s="124">
        <f t="shared" si="6"/>
        <v>8</v>
      </c>
      <c r="C28" s="115">
        <f t="shared" ca="1" si="7"/>
        <v>5729.125</v>
      </c>
      <c r="D28" s="48">
        <f t="shared" ca="1" si="0"/>
        <v>8.0080318161846326E-2</v>
      </c>
      <c r="E28" s="120">
        <f t="shared" ca="1" si="8"/>
        <v>950</v>
      </c>
      <c r="F28" s="116">
        <f t="shared" ca="1" si="1"/>
        <v>0.95</v>
      </c>
      <c r="G28" s="118">
        <f ca="1">C28/Summary!C$23</f>
        <v>8.1727888730385168E-2</v>
      </c>
      <c r="H28" s="119">
        <f ca="1">H27+('Dev Plan (Wind)'!C27/Summary!C$23)*Summary!C$27</f>
        <v>222.89342209653205</v>
      </c>
      <c r="I28" s="119">
        <f t="shared" si="9"/>
        <v>397.73333333333335</v>
      </c>
      <c r="J28" s="119">
        <f t="shared" si="10"/>
        <v>2385.64</v>
      </c>
      <c r="K28" s="119">
        <f t="shared" si="11"/>
        <v>2783.373333333333</v>
      </c>
      <c r="L28" s="122">
        <f ca="1">C27*Summary!C$16*Summary!C$17*24*375*1000*C$11</f>
        <v>4301212500</v>
      </c>
      <c r="M28" s="122">
        <f t="shared" ca="1" si="2"/>
        <v>9502462500</v>
      </c>
      <c r="N28" s="120">
        <f t="shared" ca="1" si="3"/>
        <v>0</v>
      </c>
      <c r="O28" s="48">
        <f t="shared" ca="1" si="4"/>
        <v>0.56040920741669131</v>
      </c>
      <c r="P28" s="115">
        <f ca="1">C28*Summary!$C$16</f>
        <v>28645.625</v>
      </c>
      <c r="Q28" s="115">
        <f ca="1">P28*Summary!$C$17</f>
        <v>11458.25</v>
      </c>
      <c r="R28" s="48">
        <f ca="1">Q28/'Alberta Electricity Profile'!$C$33</f>
        <v>0.76885526404079718</v>
      </c>
      <c r="S28" s="235">
        <f ca="1">P28/'Alberta Electricity Profile'!$D$49</f>
        <v>0.21943440092536559</v>
      </c>
      <c r="T28" s="236">
        <f t="shared" si="5"/>
        <v>347.92166666666662</v>
      </c>
      <c r="U28" s="236">
        <f t="shared" ca="1" si="12"/>
        <v>60.933711394063209</v>
      </c>
      <c r="V28" s="237">
        <f t="shared" ca="1" si="13"/>
        <v>6.3749861527019283</v>
      </c>
      <c r="W28" s="237">
        <f t="shared" ca="1" si="14"/>
        <v>12749.972305403857</v>
      </c>
    </row>
    <row r="29" spans="1:23">
      <c r="A29" s="183"/>
      <c r="B29" s="124">
        <f t="shared" si="6"/>
        <v>9</v>
      </c>
      <c r="C29" s="115">
        <f t="shared" ca="1" si="7"/>
        <v>6764.125</v>
      </c>
      <c r="D29" s="48">
        <f t="shared" ca="1" si="0"/>
        <v>9.451029276408926E-2</v>
      </c>
      <c r="E29" s="120">
        <f t="shared" ca="1" si="8"/>
        <v>1035</v>
      </c>
      <c r="F29" s="116">
        <f t="shared" ca="1" si="1"/>
        <v>1.0349999999999999</v>
      </c>
      <c r="G29" s="118">
        <f ca="1">C29/Summary!C$23</f>
        <v>9.649251069900143E-2</v>
      </c>
      <c r="H29" s="119">
        <f ca="1">H28+('Dev Plan (Wind)'!C28/Summary!C$23)*Summary!C$27</f>
        <v>295.9396071807289</v>
      </c>
      <c r="I29" s="119">
        <f t="shared" si="9"/>
        <v>447.45000000000005</v>
      </c>
      <c r="J29" s="119">
        <f t="shared" si="10"/>
        <v>2683.8449999999998</v>
      </c>
      <c r="K29" s="119">
        <f t="shared" si="11"/>
        <v>3131.2950000000001</v>
      </c>
      <c r="L29" s="122">
        <f ca="1">C28*Summary!C$16*Summary!C$17*24*375*1000*C$11</f>
        <v>5156212500</v>
      </c>
      <c r="M29" s="122">
        <f t="shared" ca="1" si="2"/>
        <v>10357462500</v>
      </c>
      <c r="N29" s="120">
        <f t="shared" ca="1" si="3"/>
        <v>0</v>
      </c>
      <c r="O29" s="48">
        <f t="shared" ca="1" si="4"/>
        <v>0.66139145643251507</v>
      </c>
      <c r="P29" s="115">
        <f ca="1">C29*Summary!$C$16</f>
        <v>33820.625</v>
      </c>
      <c r="Q29" s="115">
        <f ca="1">P29*Summary!$C$17</f>
        <v>13528.25</v>
      </c>
      <c r="R29" s="48">
        <f ca="1">Q29/'Alberta Electricity Profile'!$C$33</f>
        <v>0.90775347245521032</v>
      </c>
      <c r="S29" s="235">
        <f ca="1">P29/'Alberta Electricity Profile'!$D$49</f>
        <v>0.25907651118788444</v>
      </c>
      <c r="T29" s="236">
        <f t="shared" si="5"/>
        <v>347.92166666666662</v>
      </c>
      <c r="U29" s="236">
        <f t="shared" ca="1" si="12"/>
        <v>73.04618508419685</v>
      </c>
      <c r="V29" s="237">
        <f t="shared" ca="1" si="13"/>
        <v>6.3749861527019265</v>
      </c>
      <c r="W29" s="237">
        <f t="shared" ca="1" si="14"/>
        <v>12749.972305403853</v>
      </c>
    </row>
    <row r="30" spans="1:23">
      <c r="A30" s="183"/>
      <c r="B30" s="124">
        <f t="shared" si="6"/>
        <v>10</v>
      </c>
      <c r="C30" s="115">
        <f t="shared" ca="1" si="7"/>
        <v>7892.125</v>
      </c>
      <c r="D30" s="48">
        <f t="shared" ca="1" si="0"/>
        <v>0.10984714383056113</v>
      </c>
      <c r="E30" s="120">
        <f t="shared" ca="1" si="8"/>
        <v>1128</v>
      </c>
      <c r="F30" s="116">
        <f t="shared" ca="1" si="1"/>
        <v>1.1279999999999999</v>
      </c>
      <c r="G30" s="118">
        <f ca="1">C30/Summary!C$23</f>
        <v>0.11258380884450785</v>
      </c>
      <c r="H30" s="119">
        <f ca="1">H29+('Dev Plan (Wind)'!C29/Summary!C$23)*Summary!C$27</f>
        <v>382.18201360101875</v>
      </c>
      <c r="I30" s="119">
        <f t="shared" si="9"/>
        <v>497.16666666666674</v>
      </c>
      <c r="J30" s="119">
        <f t="shared" si="10"/>
        <v>2982.0499999999997</v>
      </c>
      <c r="K30" s="119">
        <f t="shared" si="11"/>
        <v>3479.2166666666662</v>
      </c>
      <c r="L30" s="122">
        <f ca="1">C29*Summary!C$16*Summary!C$17*24*375*1000*C$11</f>
        <v>6087712500</v>
      </c>
      <c r="M30" s="122">
        <f t="shared" ca="1" si="2"/>
        <v>11288962500</v>
      </c>
      <c r="N30" s="120">
        <f t="shared" ca="1" si="3"/>
        <v>0</v>
      </c>
      <c r="O30" s="48">
        <f t="shared" ca="1" si="4"/>
        <v>0.76872010781297762</v>
      </c>
      <c r="P30" s="115">
        <f ca="1">C30*Summary!$C$16</f>
        <v>39460.625</v>
      </c>
      <c r="Q30" s="115">
        <f ca="1">P30*Summary!$C$17</f>
        <v>15784.25</v>
      </c>
      <c r="R30" s="48">
        <f ca="1">Q30/'Alberta Electricity Profile'!$C$33</f>
        <v>1.0591323894517883</v>
      </c>
      <c r="S30" s="235">
        <f ca="1">P30/'Alberta Electricity Profile'!$D$49</f>
        <v>0.30228066614065863</v>
      </c>
      <c r="T30" s="236">
        <f t="shared" si="5"/>
        <v>347.92166666666662</v>
      </c>
      <c r="U30" s="236">
        <f t="shared" ca="1" si="12"/>
        <v>86.242406420289853</v>
      </c>
      <c r="V30" s="237">
        <f t="shared" ca="1" si="13"/>
        <v>6.3749861527019274</v>
      </c>
      <c r="W30" s="237">
        <f t="shared" ca="1" si="14"/>
        <v>12749.972305403855</v>
      </c>
    </row>
    <row r="31" spans="1:23">
      <c r="A31" s="183"/>
      <c r="B31" s="124">
        <f t="shared" si="6"/>
        <v>11</v>
      </c>
      <c r="C31" s="115">
        <f t="shared" ca="1" si="7"/>
        <v>9122.125</v>
      </c>
      <c r="D31" s="48">
        <f t="shared" ca="1" si="0"/>
        <v>0.12615336753748668</v>
      </c>
      <c r="E31" s="120">
        <f t="shared" ca="1" si="8"/>
        <v>1230</v>
      </c>
      <c r="F31" s="116">
        <f t="shared" ca="1" si="1"/>
        <v>1.23</v>
      </c>
      <c r="G31" s="118">
        <f ca="1">C31/Summary!C$23</f>
        <v>0.13013017118402281</v>
      </c>
      <c r="H31" s="119">
        <f ca="1">H30+('Dev Plan (Wind)'!C30/Summary!C$23)*Summary!C$27</f>
        <v>482.80638878180417</v>
      </c>
      <c r="I31" s="119">
        <f t="shared" si="9"/>
        <v>546.88333333333344</v>
      </c>
      <c r="J31" s="119">
        <f t="shared" si="10"/>
        <v>3280.2549999999997</v>
      </c>
      <c r="K31" s="119">
        <f t="shared" si="11"/>
        <v>3827.1383333333333</v>
      </c>
      <c r="L31" s="122">
        <f ca="1">C30*Summary!C$16*Summary!C$17*24*375*1000*C$11</f>
        <v>7102912500</v>
      </c>
      <c r="M31" s="122">
        <f t="shared" ca="1" si="2"/>
        <v>12304162500</v>
      </c>
      <c r="N31" s="120">
        <f t="shared" ca="1" si="3"/>
        <v>0</v>
      </c>
      <c r="O31" s="48">
        <f t="shared" ca="1" si="4"/>
        <v>0.88283251537220753</v>
      </c>
      <c r="P31" s="115">
        <f ca="1">C31*Summary!$C$16</f>
        <v>45610.625</v>
      </c>
      <c r="Q31" s="115">
        <f ca="1">P31*Summary!$C$17</f>
        <v>18244.25</v>
      </c>
      <c r="R31" s="48">
        <f ca="1">Q31/'Alberta Electricity Profile'!$C$33</f>
        <v>1.2241998255384823</v>
      </c>
      <c r="S31" s="235">
        <f ca="1">P31/'Alberta Electricity Profile'!$D$49</f>
        <v>0.34939157978597091</v>
      </c>
      <c r="T31" s="236">
        <f t="shared" si="5"/>
        <v>347.92166666666662</v>
      </c>
      <c r="U31" s="236">
        <f t="shared" ca="1" si="12"/>
        <v>100.62437518078542</v>
      </c>
      <c r="V31" s="237">
        <f t="shared" ca="1" si="13"/>
        <v>6.3749861527019291</v>
      </c>
      <c r="W31" s="237">
        <f t="shared" ca="1" si="14"/>
        <v>12749.972305403859</v>
      </c>
    </row>
    <row r="32" spans="1:23">
      <c r="A32" s="183"/>
      <c r="B32" s="124">
        <f t="shared" si="6"/>
        <v>12</v>
      </c>
      <c r="C32" s="115">
        <f t="shared" ca="1" si="7"/>
        <v>10463.125</v>
      </c>
      <c r="D32" s="48">
        <f t="shared" ca="1" si="0"/>
        <v>0.14349811257760042</v>
      </c>
      <c r="E32" s="120">
        <f t="shared" ca="1" si="8"/>
        <v>1341</v>
      </c>
      <c r="F32" s="116">
        <f t="shared" ca="1" si="1"/>
        <v>1.341</v>
      </c>
      <c r="G32" s="118">
        <f ca="1">C32/Summary!C$23</f>
        <v>0.14925998573466476</v>
      </c>
      <c r="H32" s="119">
        <f ca="1">H31+('Dev Plan (Wind)'!C31/Summary!C$23)*Summary!C$27</f>
        <v>599.11322989823634</v>
      </c>
      <c r="I32" s="119">
        <f t="shared" si="9"/>
        <v>596.60000000000014</v>
      </c>
      <c r="J32" s="119">
        <f t="shared" si="10"/>
        <v>3578.4599999999996</v>
      </c>
      <c r="K32" s="119">
        <f t="shared" si="11"/>
        <v>4175.0599999999995</v>
      </c>
      <c r="L32" s="122">
        <f ca="1">C31*Summary!C$16*Summary!C$17*24*375*1000*C$11</f>
        <v>8209912500</v>
      </c>
      <c r="M32" s="122">
        <f t="shared" ca="1" si="2"/>
        <v>13411162500</v>
      </c>
      <c r="N32" s="120">
        <f t="shared" ca="1" si="3"/>
        <v>0</v>
      </c>
      <c r="O32" s="48">
        <f t="shared" ca="1" si="4"/>
        <v>1.0042125878280861</v>
      </c>
      <c r="P32" s="115">
        <f ca="1">C32*Summary!$C$16</f>
        <v>52315.625</v>
      </c>
      <c r="Q32" s="115">
        <f ca="1">P32*Summary!$C$17</f>
        <v>20926.25</v>
      </c>
      <c r="R32" s="48">
        <f ca="1">Q32/'Alberta Electricity Profile'!$C$33</f>
        <v>1.4041635912232437</v>
      </c>
      <c r="S32" s="235">
        <f ca="1">P32/'Alberta Electricity Profile'!$D$49</f>
        <v>0.40075396612610403</v>
      </c>
      <c r="T32" s="236">
        <f t="shared" si="5"/>
        <v>347.92166666666662</v>
      </c>
      <c r="U32" s="236">
        <f t="shared" ca="1" si="12"/>
        <v>116.30684111643217</v>
      </c>
      <c r="V32" s="237">
        <f t="shared" ca="1" si="13"/>
        <v>6.3749861527019291</v>
      </c>
      <c r="W32" s="237">
        <f t="shared" ca="1" si="14"/>
        <v>12749.972305403859</v>
      </c>
    </row>
    <row r="33" spans="1:23">
      <c r="A33" s="183"/>
      <c r="B33" s="124">
        <f t="shared" si="6"/>
        <v>13</v>
      </c>
      <c r="C33" s="115">
        <f t="shared" ca="1" si="7"/>
        <v>11924.125</v>
      </c>
      <c r="D33" s="48">
        <f t="shared" ca="1" si="0"/>
        <v>0.16195462149995046</v>
      </c>
      <c r="E33" s="120">
        <f t="shared" ca="1" si="8"/>
        <v>1461</v>
      </c>
      <c r="F33" s="116">
        <f t="shared" ca="1" si="1"/>
        <v>1.4610000000000001</v>
      </c>
      <c r="G33" s="118">
        <f ca="1">C33/Summary!C$23</f>
        <v>0.17010164051355206</v>
      </c>
      <c r="H33" s="119">
        <f ca="1">H32+('Dev Plan (Wind)'!C32/Summary!C$23)*Summary!C$27</f>
        <v>732.51778387621505</v>
      </c>
      <c r="I33" s="119">
        <f t="shared" si="9"/>
        <v>646.31666666666683</v>
      </c>
      <c r="J33" s="119">
        <f t="shared" si="10"/>
        <v>3876.6649999999995</v>
      </c>
      <c r="K33" s="119">
        <f t="shared" si="11"/>
        <v>4522.9816666666666</v>
      </c>
      <c r="L33" s="122">
        <f ca="1">C32*Summary!C$16*Summary!C$17*24*375*1000*C$11</f>
        <v>9416812500</v>
      </c>
      <c r="M33" s="122">
        <f t="shared" ca="1" si="2"/>
        <v>14618062500</v>
      </c>
      <c r="N33" s="120">
        <f t="shared" ca="1" si="3"/>
        <v>0</v>
      </c>
      <c r="O33" s="48">
        <f t="shared" ca="1" si="4"/>
        <v>1.1333728830700351</v>
      </c>
      <c r="P33" s="115">
        <f ca="1">C33*Summary!$C$16</f>
        <v>59620.625</v>
      </c>
      <c r="Q33" s="115">
        <f ca="1">P33*Summary!$C$17</f>
        <v>23848.25</v>
      </c>
      <c r="R33" s="48">
        <f ca="1">Q33/'Alberta Electricity Profile'!$C$33</f>
        <v>1.6002314970140241</v>
      </c>
      <c r="S33" s="235">
        <f ca="1">P33/'Alberta Electricity Profile'!$D$49</f>
        <v>0.45671253916334081</v>
      </c>
      <c r="T33" s="236">
        <f t="shared" si="5"/>
        <v>347.92166666666662</v>
      </c>
      <c r="U33" s="236">
        <f t="shared" ca="1" si="12"/>
        <v>133.40455397797871</v>
      </c>
      <c r="V33" s="237">
        <f t="shared" ca="1" si="13"/>
        <v>6.3749861527019274</v>
      </c>
      <c r="W33" s="237">
        <f t="shared" ca="1" si="14"/>
        <v>12749.972305403855</v>
      </c>
    </row>
    <row r="34" spans="1:23">
      <c r="A34" s="183"/>
      <c r="B34" s="124">
        <f t="shared" si="6"/>
        <v>14</v>
      </c>
      <c r="C34" s="115">
        <f t="shared" ca="1" si="7"/>
        <v>13517.125</v>
      </c>
      <c r="D34" s="48">
        <f t="shared" ca="1" si="0"/>
        <v>0.181598768618358</v>
      </c>
      <c r="E34" s="120">
        <f t="shared" ca="1" si="8"/>
        <v>1593</v>
      </c>
      <c r="F34" s="116">
        <f t="shared" ca="1" si="1"/>
        <v>1.593</v>
      </c>
      <c r="G34" s="118">
        <f ca="1">C34/Summary!C$23</f>
        <v>0.19282631954350926</v>
      </c>
      <c r="H34" s="119">
        <f ca="1">H33+('Dev Plan (Wind)'!C33/Summary!C$23)*Summary!C$27</f>
        <v>884.55004739238882</v>
      </c>
      <c r="I34" s="119">
        <f t="shared" si="9"/>
        <v>696.03333333333353</v>
      </c>
      <c r="J34" s="119">
        <f t="shared" si="10"/>
        <v>4174.87</v>
      </c>
      <c r="K34" s="119">
        <f t="shared" si="11"/>
        <v>4870.9033333333336</v>
      </c>
      <c r="L34" s="122">
        <f ca="1">C33*Summary!C$16*Summary!C$17*24*375*1000*C$11</f>
        <v>10731712500</v>
      </c>
      <c r="M34" s="122">
        <f t="shared" ca="1" si="2"/>
        <v>15932962500</v>
      </c>
      <c r="N34" s="120">
        <f t="shared" ca="1" si="3"/>
        <v>0</v>
      </c>
      <c r="O34" s="48">
        <f t="shared" ca="1" si="4"/>
        <v>1.2708443763120376</v>
      </c>
      <c r="P34" s="115">
        <f ca="1">C34*Summary!$C$16</f>
        <v>67585.625</v>
      </c>
      <c r="Q34" s="115">
        <f ca="1">P34*Summary!$C$17</f>
        <v>27034.25</v>
      </c>
      <c r="R34" s="48">
        <f ca="1">Q34/'Alberta Electricity Profile'!$C$33</f>
        <v>1.8140139569214253</v>
      </c>
      <c r="S34" s="235">
        <f ca="1">P34/'Alberta Electricity Profile'!$D$49</f>
        <v>0.51772691756739164</v>
      </c>
      <c r="T34" s="236">
        <f t="shared" si="5"/>
        <v>347.92166666666662</v>
      </c>
      <c r="U34" s="236">
        <f t="shared" ca="1" si="12"/>
        <v>152.03226351617377</v>
      </c>
      <c r="V34" s="237">
        <f t="shared" ca="1" si="13"/>
        <v>6.3749861527019283</v>
      </c>
      <c r="W34" s="237">
        <f t="shared" ca="1" si="14"/>
        <v>12749.972305403857</v>
      </c>
    </row>
    <row r="35" spans="1:23">
      <c r="A35" s="183"/>
      <c r="B35" s="124">
        <f t="shared" si="6"/>
        <v>15</v>
      </c>
      <c r="C35" s="115">
        <f t="shared" ca="1" si="7"/>
        <v>15253.125</v>
      </c>
      <c r="D35" s="48">
        <f t="shared" ca="1" si="0"/>
        <v>0.20251551197656006</v>
      </c>
      <c r="E35" s="120">
        <f t="shared" ca="1" si="8"/>
        <v>1736</v>
      </c>
      <c r="F35" s="116">
        <f t="shared" ca="1" si="1"/>
        <v>1.736</v>
      </c>
      <c r="G35" s="118">
        <f ca="1">C35/Summary!C$23</f>
        <v>0.21759094151212555</v>
      </c>
      <c r="H35" s="119">
        <f ca="1">H34+('Dev Plan (Wind)'!C34/Summary!C$23)*Summary!C$27</f>
        <v>1056.893016791071</v>
      </c>
      <c r="I35" s="119">
        <f t="shared" si="9"/>
        <v>745.75000000000023</v>
      </c>
      <c r="J35" s="119">
        <f t="shared" si="10"/>
        <v>4473.0749999999998</v>
      </c>
      <c r="K35" s="119">
        <f t="shared" si="11"/>
        <v>5218.8249999999998</v>
      </c>
      <c r="L35" s="122">
        <f ca="1">C34*Summary!C$16*Summary!C$17*24*375*1000*C$11</f>
        <v>12165412500</v>
      </c>
      <c r="M35" s="122">
        <f t="shared" ca="1" si="2"/>
        <v>17366662500</v>
      </c>
      <c r="N35" s="120">
        <f t="shared" ca="1" si="3"/>
        <v>0</v>
      </c>
      <c r="O35" s="48">
        <f t="shared" ca="1" si="4"/>
        <v>1.4172216115200411</v>
      </c>
      <c r="P35" s="115">
        <f ca="1">C35*Summary!$C$16</f>
        <v>76265.625</v>
      </c>
      <c r="Q35" s="115">
        <f ca="1">P35*Summary!$C$17</f>
        <v>30506.25</v>
      </c>
      <c r="R35" s="48">
        <f ca="1">Q35/'Alberta Electricity Profile'!$C$33</f>
        <v>2.0469871837884988</v>
      </c>
      <c r="S35" s="235">
        <f ca="1">P35/'Alberta Electricity Profile'!$D$49</f>
        <v>0.5842184184521575</v>
      </c>
      <c r="T35" s="236">
        <f t="shared" si="5"/>
        <v>347.92166666666662</v>
      </c>
      <c r="U35" s="236">
        <f t="shared" ca="1" si="12"/>
        <v>172.34296939868216</v>
      </c>
      <c r="V35" s="237">
        <f t="shared" ca="1" si="13"/>
        <v>6.37498615270193</v>
      </c>
      <c r="W35" s="237">
        <f t="shared" ca="1" si="14"/>
        <v>12749.97230540386</v>
      </c>
    </row>
    <row r="36" spans="1:23">
      <c r="A36" s="183"/>
      <c r="B36" s="124">
        <f t="shared" si="6"/>
        <v>16</v>
      </c>
      <c r="C36" s="115">
        <f t="shared" ca="1" si="7"/>
        <v>17145.125</v>
      </c>
      <c r="D36" s="48">
        <f t="shared" ca="1" si="0"/>
        <v>0.22479376430133954</v>
      </c>
      <c r="E36" s="120">
        <f t="shared" ca="1" si="8"/>
        <v>1892</v>
      </c>
      <c r="F36" s="116">
        <f t="shared" ca="1" si="1"/>
        <v>1.8919999999999999</v>
      </c>
      <c r="G36" s="118">
        <f ca="1">C36/Summary!C$23</f>
        <v>0.24458095577746078</v>
      </c>
      <c r="H36" s="119">
        <f ca="1">H35+('Dev Plan (Wind)'!C35/Summary!C$23)*Summary!C$27</f>
        <v>1251.3699381119343</v>
      </c>
      <c r="I36" s="119">
        <f t="shared" si="9"/>
        <v>795.46666666666692</v>
      </c>
      <c r="J36" s="119">
        <f t="shared" si="10"/>
        <v>4771.28</v>
      </c>
      <c r="K36" s="119">
        <f t="shared" si="11"/>
        <v>5566.7466666666669</v>
      </c>
      <c r="L36" s="122">
        <f ca="1">C35*Summary!C$16*Summary!C$17*24*375*1000*C$11</f>
        <v>13727812500</v>
      </c>
      <c r="M36" s="122">
        <f t="shared" ca="1" si="2"/>
        <v>18929062500</v>
      </c>
      <c r="N36" s="120">
        <f t="shared" ca="1" si="3"/>
        <v>0</v>
      </c>
      <c r="O36" s="48">
        <f t="shared" ca="1" si="4"/>
        <v>1.5731268078845968</v>
      </c>
      <c r="P36" s="115">
        <f ca="1">C36*Summary!$C$16</f>
        <v>85725.625</v>
      </c>
      <c r="Q36" s="115">
        <f ca="1">P36*Summary!$C$17</f>
        <v>34290.25</v>
      </c>
      <c r="R36" s="48">
        <f ca="1">Q36/'Alberta Electricity Profile'!$C$33</f>
        <v>2.3008957927933973</v>
      </c>
      <c r="S36" s="235">
        <f ca="1">P36/'Alberta Electricity Profile'!$D$49</f>
        <v>0.65668496204315818</v>
      </c>
      <c r="T36" s="236">
        <f t="shared" si="5"/>
        <v>347.92166666666662</v>
      </c>
      <c r="U36" s="236">
        <f t="shared" ca="1" si="12"/>
        <v>194.47692132086331</v>
      </c>
      <c r="V36" s="237">
        <f t="shared" ca="1" si="13"/>
        <v>6.3749861527019318</v>
      </c>
      <c r="W36" s="237">
        <f t="shared" ca="1" si="14"/>
        <v>12749.972305403864</v>
      </c>
    </row>
    <row r="37" spans="1:23">
      <c r="A37" s="183"/>
      <c r="B37" s="124">
        <f t="shared" si="6"/>
        <v>17</v>
      </c>
      <c r="C37" s="115">
        <f t="shared" ca="1" si="7"/>
        <v>19208.125</v>
      </c>
      <c r="D37" s="48">
        <f t="shared" ca="1" si="0"/>
        <v>0.24852954116637507</v>
      </c>
      <c r="E37" s="120">
        <f t="shared" ca="1" si="8"/>
        <v>2063</v>
      </c>
      <c r="F37" s="116">
        <f t="shared" ca="1" si="1"/>
        <v>2.0630000000000002</v>
      </c>
      <c r="G37" s="118">
        <f ca="1">C37/Summary!C$23</f>
        <v>0.27401034236804567</v>
      </c>
      <c r="H37" s="119">
        <f ca="1">H36+('Dev Plan (Wind)'!C36/Summary!C$23)*Summary!C$27</f>
        <v>1469.9698070346217</v>
      </c>
      <c r="I37" s="119">
        <f t="shared" si="9"/>
        <v>845.18333333333362</v>
      </c>
      <c r="J37" s="119">
        <f t="shared" si="10"/>
        <v>5069.4849999999997</v>
      </c>
      <c r="K37" s="119">
        <f t="shared" si="11"/>
        <v>5914.6683333333331</v>
      </c>
      <c r="L37" s="122">
        <f ca="1">C36*Summary!C$16*Summary!C$17*24*375*1000*C$11</f>
        <v>15430612500</v>
      </c>
      <c r="M37" s="122">
        <f t="shared" ca="1" si="2"/>
        <v>20631862500</v>
      </c>
      <c r="N37" s="120">
        <f t="shared" ca="1" si="3"/>
        <v>0</v>
      </c>
      <c r="O37" s="48">
        <f t="shared" ca="1" si="4"/>
        <v>1.7392318909522051</v>
      </c>
      <c r="P37" s="115">
        <f ca="1">C37*Summary!$C$16</f>
        <v>96040.625</v>
      </c>
      <c r="Q37" s="115">
        <f ca="1">P37*Summary!$C$17</f>
        <v>38416.25</v>
      </c>
      <c r="R37" s="48">
        <f ca="1">Q37/'Alberta Electricity Profile'!$C$33</f>
        <v>2.5777528014493725</v>
      </c>
      <c r="S37" s="235">
        <f ca="1">P37/'Alberta Electricity Profile'!$D$49</f>
        <v>0.73570107167753152</v>
      </c>
      <c r="T37" s="236">
        <f t="shared" si="5"/>
        <v>347.92166666666662</v>
      </c>
      <c r="U37" s="236">
        <f t="shared" ca="1" si="12"/>
        <v>218.59986892268739</v>
      </c>
      <c r="V37" s="237">
        <f t="shared" ca="1" si="13"/>
        <v>6.3749861527019309</v>
      </c>
      <c r="W37" s="237">
        <f t="shared" ca="1" si="14"/>
        <v>12749.972305403862</v>
      </c>
    </row>
    <row r="38" spans="1:23">
      <c r="A38" s="183"/>
      <c r="B38" s="124">
        <f t="shared" si="6"/>
        <v>18</v>
      </c>
      <c r="C38" s="115">
        <f t="shared" ca="1" si="7"/>
        <v>21456.125</v>
      </c>
      <c r="D38" s="48">
        <f t="shared" ca="1" si="0"/>
        <v>0.27382805976814018</v>
      </c>
      <c r="E38" s="120">
        <f t="shared" ca="1" si="8"/>
        <v>2248</v>
      </c>
      <c r="F38" s="116">
        <f t="shared" ca="1" si="1"/>
        <v>2.2480000000000002</v>
      </c>
      <c r="G38" s="118">
        <f ca="1">C38/Summary!C$23</f>
        <v>0.30607881597717546</v>
      </c>
      <c r="H38" s="119">
        <f ca="1">H37+('Dev Plan (Wind)'!C37/Summary!C$23)*Summary!C$27</f>
        <v>1714.8728688233571</v>
      </c>
      <c r="I38" s="119">
        <f t="shared" si="9"/>
        <v>894.90000000000032</v>
      </c>
      <c r="J38" s="119">
        <f t="shared" si="10"/>
        <v>5367.69</v>
      </c>
      <c r="K38" s="119">
        <f t="shared" si="11"/>
        <v>6262.59</v>
      </c>
      <c r="L38" s="122">
        <f ca="1">C37*Summary!C$16*Summary!C$17*24*375*1000*C$11</f>
        <v>17287312500</v>
      </c>
      <c r="M38" s="122">
        <f t="shared" ca="1" si="2"/>
        <v>22488562500</v>
      </c>
      <c r="N38" s="120">
        <f t="shared" ca="1" si="3"/>
        <v>0</v>
      </c>
      <c r="O38" s="48">
        <f t="shared" ca="1" si="4"/>
        <v>1.9162731800462134</v>
      </c>
      <c r="P38" s="115">
        <f ca="1">C38*Summary!$C$16</f>
        <v>107280.625</v>
      </c>
      <c r="Q38" s="115">
        <f ca="1">P38*Summary!$C$17</f>
        <v>42912.25</v>
      </c>
      <c r="R38" s="48">
        <f ca="1">Q38/'Alberta Electricity Profile'!$C$33</f>
        <v>2.8794370261021269</v>
      </c>
      <c r="S38" s="235">
        <f ca="1">P38/'Alberta Electricity Profile'!$D$49</f>
        <v>0.82180296913660633</v>
      </c>
      <c r="T38" s="236">
        <f t="shared" si="5"/>
        <v>347.92166666666662</v>
      </c>
      <c r="U38" s="236">
        <f t="shared" ca="1" si="12"/>
        <v>244.90306178873539</v>
      </c>
      <c r="V38" s="237">
        <f t="shared" ca="1" si="13"/>
        <v>6.3749861527019265</v>
      </c>
      <c r="W38" s="237">
        <f t="shared" ca="1" si="14"/>
        <v>12749.972305403853</v>
      </c>
    </row>
    <row r="39" spans="1:23">
      <c r="A39" s="183"/>
      <c r="B39" s="124">
        <f t="shared" si="6"/>
        <v>19</v>
      </c>
      <c r="C39" s="115">
        <f t="shared" ca="1" si="7"/>
        <v>23907.125</v>
      </c>
      <c r="D39" s="48">
        <f t="shared" ca="1" si="0"/>
        <v>0.30079938870409789</v>
      </c>
      <c r="E39" s="120">
        <f t="shared" ca="1" si="8"/>
        <v>2451</v>
      </c>
      <c r="F39" s="116">
        <f t="shared" ca="1" si="1"/>
        <v>2.4510000000000001</v>
      </c>
      <c r="G39" s="118">
        <f ca="1">C39/Summary!C$23</f>
        <v>0.34104315263908702</v>
      </c>
      <c r="H39" s="119">
        <f ca="1">H38+('Dev Plan (Wind)'!C38/Summary!C$23)*Summary!C$27</f>
        <v>1988.4378683546404</v>
      </c>
      <c r="I39" s="119">
        <f t="shared" si="9"/>
        <v>944.61666666666702</v>
      </c>
      <c r="J39" s="119">
        <f t="shared" si="10"/>
        <v>5665.8949999999995</v>
      </c>
      <c r="K39" s="119">
        <f t="shared" si="11"/>
        <v>6610.5116666666663</v>
      </c>
      <c r="L39" s="122">
        <f ca="1">C38*Summary!C$16*Summary!C$17*24*375*1000*C$11</f>
        <v>19310512500</v>
      </c>
      <c r="M39" s="122">
        <f t="shared" ca="1" si="2"/>
        <v>24511762500</v>
      </c>
      <c r="N39" s="120">
        <f t="shared" ca="1" si="3"/>
        <v>0</v>
      </c>
      <c r="O39" s="48">
        <f t="shared" ca="1" si="4"/>
        <v>2.1050209450267019</v>
      </c>
      <c r="P39" s="115">
        <f ca="1">C39*Summary!$C$16</f>
        <v>119535.625</v>
      </c>
      <c r="Q39" s="115">
        <f ca="1">P39*Summary!$C$17</f>
        <v>47814.25</v>
      </c>
      <c r="R39" s="48">
        <f ca="1">Q39/'Alberta Electricity Profile'!$C$33</f>
        <v>3.2083640877675634</v>
      </c>
      <c r="S39" s="235">
        <f ca="1">P39/'Alberta Electricity Profile'!$D$49</f>
        <v>0.91568008242494814</v>
      </c>
      <c r="T39" s="236">
        <f t="shared" si="5"/>
        <v>347.92166666666662</v>
      </c>
      <c r="U39" s="236">
        <f t="shared" ca="1" si="12"/>
        <v>273.56499953128332</v>
      </c>
      <c r="V39" s="237">
        <f t="shared" ca="1" si="13"/>
        <v>6.3749861527019283</v>
      </c>
      <c r="W39" s="237">
        <f t="shared" ca="1" si="14"/>
        <v>12749.972305403857</v>
      </c>
    </row>
    <row r="40" spans="1:23">
      <c r="A40" s="183"/>
      <c r="B40" s="124">
        <f t="shared" si="6"/>
        <v>20</v>
      </c>
      <c r="C40" s="115">
        <f t="shared" ca="1" si="7"/>
        <v>26578.125</v>
      </c>
      <c r="D40" s="48">
        <f t="shared" ca="1" si="0"/>
        <v>0.32956456434251991</v>
      </c>
      <c r="E40" s="120">
        <f t="shared" ca="1" si="8"/>
        <v>2671</v>
      </c>
      <c r="F40" s="116">
        <f t="shared" ca="1" si="1"/>
        <v>2.6709999999999998</v>
      </c>
      <c r="G40" s="118">
        <f ca="1">C40/Summary!C$23</f>
        <v>0.37914586305278175</v>
      </c>
      <c r="H40" s="119">
        <f ca="1">H39+('Dev Plan (Wind)'!C39/Summary!C$23)*Summary!C$27</f>
        <v>2293.2530500064686</v>
      </c>
      <c r="I40" s="119">
        <f t="shared" si="9"/>
        <v>994.33333333333371</v>
      </c>
      <c r="J40" s="119">
        <f t="shared" si="10"/>
        <v>5964.0999999999995</v>
      </c>
      <c r="K40" s="119">
        <f t="shared" si="11"/>
        <v>6958.4333333333334</v>
      </c>
      <c r="L40" s="122">
        <f ca="1">C39*Summary!C$16*Summary!C$17*24*375*1000*C$11</f>
        <v>21516412500</v>
      </c>
      <c r="M40" s="122">
        <f t="shared" ca="1" si="2"/>
        <v>26717662500</v>
      </c>
      <c r="N40" s="120">
        <f t="shared" ca="1" si="3"/>
        <v>0</v>
      </c>
      <c r="O40" s="48">
        <f t="shared" ca="1" si="4"/>
        <v>2.3063222091918885</v>
      </c>
      <c r="P40" s="115">
        <f ca="1">C40*Summary!$C$16</f>
        <v>132890.625</v>
      </c>
      <c r="Q40" s="115">
        <f ca="1">P40*Summary!$C$17</f>
        <v>53156.25</v>
      </c>
      <c r="R40" s="48">
        <f ca="1">Q40/'Alberta Electricity Profile'!$C$33</f>
        <v>3.5668154062940349</v>
      </c>
      <c r="S40" s="235">
        <f ca="1">P40/'Alberta Electricity Profile'!$D$49</f>
        <v>1.0179835379913131</v>
      </c>
      <c r="T40" s="236">
        <f t="shared" si="5"/>
        <v>347.92166666666662</v>
      </c>
      <c r="U40" s="236">
        <f t="shared" ca="1" si="12"/>
        <v>304.8151816518282</v>
      </c>
      <c r="V40" s="237">
        <f t="shared" ca="1" si="13"/>
        <v>6.3749861527019283</v>
      </c>
      <c r="W40" s="237">
        <f t="shared" ca="1" si="14"/>
        <v>12749.972305403857</v>
      </c>
    </row>
    <row r="41" spans="1:23">
      <c r="A41" s="183"/>
      <c r="B41" s="124">
        <f t="shared" si="6"/>
        <v>21</v>
      </c>
      <c r="C41" s="115">
        <f t="shared" ca="1" si="7"/>
        <v>28969.125</v>
      </c>
      <c r="D41" s="48">
        <f t="shared" ca="1" si="0"/>
        <v>0.36025123439608814</v>
      </c>
      <c r="E41" s="120">
        <f t="shared" ca="1" si="8"/>
        <v>2912</v>
      </c>
      <c r="F41" s="116">
        <f t="shared" ca="1" si="1"/>
        <v>2.9119999999999999</v>
      </c>
      <c r="G41" s="118">
        <f ca="1">C41/Summary!C$23</f>
        <v>0.4132542796005706</v>
      </c>
      <c r="H41" s="119">
        <f ca="1">H40+('Dev Plan (Wind)'!C40/Summary!C$23)*Summary!C$27</f>
        <v>2632.1234076860305</v>
      </c>
      <c r="I41" s="119">
        <f t="shared" si="9"/>
        <v>1044.0500000000004</v>
      </c>
      <c r="J41" s="119">
        <f t="shared" si="10"/>
        <v>6262.3049999999994</v>
      </c>
      <c r="K41" s="119">
        <f t="shared" si="11"/>
        <v>7306.3549999999996</v>
      </c>
      <c r="L41" s="122">
        <f ca="1">C40*Summary!C$16*Summary!C$17*24*375*1000*C$11</f>
        <v>23920312500</v>
      </c>
      <c r="M41" s="122">
        <f t="shared" ca="1" si="2"/>
        <v>29121562500</v>
      </c>
      <c r="N41" s="120">
        <f t="shared" ca="1" si="3"/>
        <v>521</v>
      </c>
      <c r="O41" s="48">
        <f t="shared" ca="1" si="4"/>
        <v>2.521070262617719</v>
      </c>
      <c r="P41" s="115">
        <f ca="1">C41*Summary!$C$16</f>
        <v>144845.625</v>
      </c>
      <c r="Q41" s="115">
        <f ca="1">P41*Summary!$C$17</f>
        <v>57938.25</v>
      </c>
      <c r="R41" s="48">
        <f ca="1">Q41/'Alberta Electricity Profile'!$C$33</f>
        <v>3.8876903979064616</v>
      </c>
      <c r="S41" s="235">
        <f ca="1">P41/'Alberta Electricity Profile'!$D$49</f>
        <v>1.1095625579311033</v>
      </c>
      <c r="T41" s="236">
        <f t="shared" si="5"/>
        <v>347.92166666666662</v>
      </c>
      <c r="U41" s="236">
        <f t="shared" ca="1" si="12"/>
        <v>338.87035767956195</v>
      </c>
      <c r="V41" s="237">
        <f t="shared" ca="1" si="13"/>
        <v>6.3749861527019291</v>
      </c>
      <c r="W41" s="237">
        <f t="shared" ca="1" si="14"/>
        <v>12749.972305403859</v>
      </c>
    </row>
    <row r="42" spans="1:23">
      <c r="A42" s="183"/>
      <c r="B42" s="124">
        <f t="shared" si="6"/>
        <v>22</v>
      </c>
      <c r="C42" s="115">
        <f t="shared" ca="1" si="7"/>
        <v>31530.125</v>
      </c>
      <c r="D42" s="48">
        <f t="shared" ca="1" si="0"/>
        <v>0.39213097198574565</v>
      </c>
      <c r="E42" s="120">
        <f t="shared" ca="1" si="8"/>
        <v>3127</v>
      </c>
      <c r="F42" s="116">
        <f t="shared" ca="1" si="1"/>
        <v>3.1269999999999998</v>
      </c>
      <c r="G42" s="118">
        <f ca="1">C42/Summary!C$23</f>
        <v>0.44978780313837374</v>
      </c>
      <c r="H42" s="119">
        <f ca="1">H41+('Dev Plan (Wind)'!C41/Summary!C$23)*Summary!C$27</f>
        <v>3001.4789491478132</v>
      </c>
      <c r="I42" s="119">
        <f t="shared" si="9"/>
        <v>1093.7666666666671</v>
      </c>
      <c r="J42" s="119">
        <f t="shared" si="10"/>
        <v>6560.5099999999993</v>
      </c>
      <c r="K42" s="119">
        <f t="shared" si="11"/>
        <v>7654.2766666666666</v>
      </c>
      <c r="L42" s="122">
        <f ca="1">C41*Summary!C$16*Summary!C$17*24*375*1000*C$11</f>
        <v>26072212500</v>
      </c>
      <c r="M42" s="122">
        <f t="shared" ca="1" si="2"/>
        <v>31273462500</v>
      </c>
      <c r="N42" s="120">
        <f t="shared" ca="1" si="3"/>
        <v>566</v>
      </c>
      <c r="O42" s="48">
        <f t="shared" ca="1" si="4"/>
        <v>2.7441675090492903</v>
      </c>
      <c r="P42" s="115">
        <f ca="1">C42*Summary!$C$16</f>
        <v>157650.625</v>
      </c>
      <c r="Q42" s="115">
        <f ca="1">P42*Summary!$C$17</f>
        <v>63060.25</v>
      </c>
      <c r="R42" s="48">
        <f ca="1">Q42/'Alberta Electricity Profile'!$C$33</f>
        <v>4.2313795880024152</v>
      </c>
      <c r="S42" s="235">
        <f ca="1">P42/'Alberta Electricity Profile'!$D$49</f>
        <v>1.2076528423584565</v>
      </c>
      <c r="T42" s="236">
        <f t="shared" si="5"/>
        <v>347.92166666666662</v>
      </c>
      <c r="U42" s="236">
        <f t="shared" ca="1" si="12"/>
        <v>369.35554146178265</v>
      </c>
      <c r="V42" s="237">
        <f t="shared" ca="1" si="13"/>
        <v>6.3749861527019309</v>
      </c>
      <c r="W42" s="237">
        <f t="shared" ca="1" si="14"/>
        <v>12749.972305403862</v>
      </c>
    </row>
    <row r="43" spans="1:23">
      <c r="A43" s="183"/>
      <c r="B43" s="124">
        <f t="shared" si="6"/>
        <v>23</v>
      </c>
      <c r="C43" s="115">
        <f t="shared" ca="1" si="7"/>
        <v>34270.125</v>
      </c>
      <c r="D43" s="48">
        <f t="shared" ca="1" si="0"/>
        <v>0.42531902208752242</v>
      </c>
      <c r="E43" s="120">
        <f t="shared" ca="1" si="8"/>
        <v>3357</v>
      </c>
      <c r="F43" s="116">
        <f t="shared" ca="1" si="1"/>
        <v>3.3570000000000002</v>
      </c>
      <c r="G43" s="118">
        <f ca="1">C43/Summary!C$23</f>
        <v>0.48887482168330954</v>
      </c>
      <c r="H43" s="119">
        <f ca="1">H42+('Dev Plan (Wind)'!C42/Summary!C$23)*Summary!C$27</f>
        <v>3403.4871696837349</v>
      </c>
      <c r="I43" s="119">
        <f t="shared" si="9"/>
        <v>1143.4833333333338</v>
      </c>
      <c r="J43" s="119">
        <f t="shared" si="10"/>
        <v>6858.7149999999992</v>
      </c>
      <c r="K43" s="119">
        <f t="shared" si="11"/>
        <v>8002.1983333333328</v>
      </c>
      <c r="L43" s="122">
        <f ca="1">C42*Summary!C$16*Summary!C$17*24*375*1000*C$11</f>
        <v>28377112500</v>
      </c>
      <c r="M43" s="122">
        <f t="shared" ca="1" si="2"/>
        <v>33578362500</v>
      </c>
      <c r="N43" s="120">
        <f t="shared" ca="1" si="3"/>
        <v>617</v>
      </c>
      <c r="O43" s="48">
        <f t="shared" ca="1" si="4"/>
        <v>2.9764204431054821</v>
      </c>
      <c r="P43" s="115">
        <f ca="1">C43*Summary!$C$16</f>
        <v>171350.625</v>
      </c>
      <c r="Q43" s="115">
        <f ca="1">P43*Summary!$C$17</f>
        <v>68540.25</v>
      </c>
      <c r="R43" s="48">
        <f ca="1">Q43/'Alberta Electricity Profile'!$C$33</f>
        <v>4.5990907870898479</v>
      </c>
      <c r="S43" s="235">
        <f ca="1">P43/'Alberta Electricity Profile'!$D$49</f>
        <v>1.3125991052756563</v>
      </c>
      <c r="T43" s="236">
        <f t="shared" si="5"/>
        <v>347.92166666666662</v>
      </c>
      <c r="U43" s="236">
        <f t="shared" ca="1" si="12"/>
        <v>402.00822053592174</v>
      </c>
      <c r="V43" s="237">
        <f t="shared" ca="1" si="13"/>
        <v>6.3749861527019274</v>
      </c>
      <c r="W43" s="237">
        <f t="shared" ca="1" si="14"/>
        <v>12749.972305403855</v>
      </c>
    </row>
    <row r="44" spans="1:23">
      <c r="A44" s="183"/>
      <c r="B44" s="124">
        <f t="shared" si="6"/>
        <v>24</v>
      </c>
      <c r="C44" s="115">
        <f t="shared" ca="1" si="7"/>
        <v>37201.125</v>
      </c>
      <c r="D44" s="48">
        <f t="shared" ca="1" si="0"/>
        <v>0.45992516446906917</v>
      </c>
      <c r="E44" s="120">
        <f t="shared" ca="1" si="8"/>
        <v>3604</v>
      </c>
      <c r="F44" s="116">
        <f t="shared" ca="1" si="1"/>
        <v>3.6040000000000001</v>
      </c>
      <c r="G44" s="118">
        <f ca="1">C44/Summary!C$23</f>
        <v>0.53068651925820254</v>
      </c>
      <c r="H44" s="119">
        <f ca="1">H43+('Dev Plan (Wind)'!C43/Summary!C$23)*Summary!C$27</f>
        <v>3840.4303143364632</v>
      </c>
      <c r="I44" s="119">
        <f t="shared" si="9"/>
        <v>1193.2000000000005</v>
      </c>
      <c r="J44" s="119">
        <f t="shared" si="10"/>
        <v>7156.9199999999992</v>
      </c>
      <c r="K44" s="119">
        <f t="shared" si="11"/>
        <v>8350.119999999999</v>
      </c>
      <c r="L44" s="122">
        <f ca="1">C43*Summary!C$16*Summary!C$17*24*375*1000*C$11</f>
        <v>30843112500</v>
      </c>
      <c r="M44" s="122">
        <f t="shared" ca="1" si="2"/>
        <v>36044362500</v>
      </c>
      <c r="N44" s="120">
        <f t="shared" ca="1" si="3"/>
        <v>673</v>
      </c>
      <c r="O44" s="48">
        <f t="shared" ca="1" si="4"/>
        <v>3.2185973133895924</v>
      </c>
      <c r="P44" s="115">
        <f ca="1">C44*Summary!$C$16</f>
        <v>186005.625</v>
      </c>
      <c r="Q44" s="115">
        <f ca="1">P44*Summary!$C$17</f>
        <v>74402.25</v>
      </c>
      <c r="R44" s="48">
        <f ca="1">Q44/'Alberta Electricity Profile'!$C$33</f>
        <v>4.99243440917936</v>
      </c>
      <c r="S44" s="235">
        <f ca="1">P44/'Alberta Electricity Profile'!$D$49</f>
        <v>1.4248609653524127</v>
      </c>
      <c r="T44" s="236">
        <f t="shared" si="5"/>
        <v>347.92166666666662</v>
      </c>
      <c r="U44" s="236">
        <f t="shared" ca="1" si="12"/>
        <v>436.94314465272828</v>
      </c>
      <c r="V44" s="237">
        <f t="shared" ca="1" si="13"/>
        <v>6.3749861527019274</v>
      </c>
      <c r="W44" s="237">
        <f t="shared" ca="1" si="14"/>
        <v>12749.972305403855</v>
      </c>
    </row>
    <row r="45" spans="1:23">
      <c r="A45" s="183"/>
      <c r="B45" s="124">
        <f t="shared" si="6"/>
        <v>25</v>
      </c>
      <c r="C45" s="115">
        <f t="shared" ca="1" si="7"/>
        <v>40336.125</v>
      </c>
      <c r="D45" s="48">
        <f t="shared" ca="1" si="0"/>
        <v>0.49605920426337319</v>
      </c>
      <c r="E45" s="120">
        <f t="shared" ca="1" si="8"/>
        <v>3868</v>
      </c>
      <c r="F45" s="116">
        <f t="shared" ca="1" si="1"/>
        <v>3.8679999999999999</v>
      </c>
      <c r="G45" s="118">
        <f ca="1">C45/Summary!C$23</f>
        <v>0.57540834522111273</v>
      </c>
      <c r="H45" s="119">
        <f ca="1">H44+('Dev Plan (Wind)'!C44/Summary!C$23)*Summary!C$27</f>
        <v>4314.7436278163304</v>
      </c>
      <c r="I45" s="119">
        <f t="shared" si="9"/>
        <v>1242.9166666666672</v>
      </c>
      <c r="J45" s="119">
        <f t="shared" si="10"/>
        <v>7455.1249999999991</v>
      </c>
      <c r="K45" s="119">
        <f t="shared" si="11"/>
        <v>8698.0416666666661</v>
      </c>
      <c r="L45" s="122">
        <f ca="1">C44*Summary!C$16*Summary!C$17*24*375*1000*C$11</f>
        <v>33481012500</v>
      </c>
      <c r="M45" s="122">
        <f t="shared" ca="1" si="2"/>
        <v>38682262500</v>
      </c>
      <c r="N45" s="120">
        <f t="shared" ca="1" si="3"/>
        <v>733</v>
      </c>
      <c r="O45" s="48">
        <f t="shared" ca="1" si="4"/>
        <v>3.4714665460138079</v>
      </c>
      <c r="P45" s="115">
        <f ca="1">C45*Summary!$C$16</f>
        <v>201680.625</v>
      </c>
      <c r="Q45" s="115">
        <f ca="1">P45*Summary!$C$17</f>
        <v>80672.25</v>
      </c>
      <c r="R45" s="48">
        <f ca="1">Q45/'Alberta Electricity Profile'!$C$33</f>
        <v>5.413155069449104</v>
      </c>
      <c r="S45" s="235">
        <f ca="1">P45/'Alberta Electricity Profile'!$D$49</f>
        <v>1.5449363428142451</v>
      </c>
      <c r="T45" s="236">
        <f t="shared" si="5"/>
        <v>347.92166666666662</v>
      </c>
      <c r="U45" s="236">
        <f t="shared" ca="1" si="12"/>
        <v>474.31331347986725</v>
      </c>
      <c r="V45" s="237">
        <f t="shared" ca="1" si="13"/>
        <v>6.3749861527019309</v>
      </c>
      <c r="W45" s="237">
        <f t="shared" ca="1" si="14"/>
        <v>12749.972305403862</v>
      </c>
    </row>
    <row r="46" spans="1:23">
      <c r="A46" s="183"/>
      <c r="B46" s="124">
        <f t="shared" si="6"/>
        <v>26</v>
      </c>
      <c r="C46" s="115">
        <f t="shared" ca="1" si="7"/>
        <v>43687.125</v>
      </c>
      <c r="D46" s="48">
        <f t="shared" ca="1" si="0"/>
        <v>0.53383237655620663</v>
      </c>
      <c r="E46" s="120">
        <f t="shared" ca="1" si="8"/>
        <v>4150</v>
      </c>
      <c r="F46" s="116">
        <f t="shared" ca="1" si="1"/>
        <v>4.1500000000000004</v>
      </c>
      <c r="G46" s="118">
        <f ca="1">C46/Summary!C$23</f>
        <v>0.62321148359486445</v>
      </c>
      <c r="H46" s="119">
        <f ca="1">H45+('Dev Plan (Wind)'!C45/Summary!C$23)*Summary!C$27</f>
        <v>4829.0281044736385</v>
      </c>
      <c r="I46" s="119">
        <f t="shared" si="9"/>
        <v>1292.6333333333339</v>
      </c>
      <c r="J46" s="119">
        <f t="shared" si="10"/>
        <v>7753.329999999999</v>
      </c>
      <c r="K46" s="119">
        <f t="shared" si="11"/>
        <v>9045.9633333333331</v>
      </c>
      <c r="L46" s="122">
        <f ca="1">C45*Summary!C$16*Summary!C$17*24*375*1000*C$11</f>
        <v>36302512500</v>
      </c>
      <c r="M46" s="122">
        <f t="shared" ca="1" si="2"/>
        <v>41503762500</v>
      </c>
      <c r="N46" s="120">
        <f t="shared" ca="1" si="3"/>
        <v>799</v>
      </c>
      <c r="O46" s="48">
        <f t="shared" ca="1" si="4"/>
        <v>3.7358065740274142</v>
      </c>
      <c r="P46" s="115">
        <f ca="1">C46*Summary!$C$16</f>
        <v>218435.625</v>
      </c>
      <c r="Q46" s="115">
        <f ca="1">P46*Summary!$C$17</f>
        <v>87374.25</v>
      </c>
      <c r="R46" s="48">
        <f ca="1">Q46/'Alberta Electricity Profile'!$C$33</f>
        <v>5.8628631819096828</v>
      </c>
      <c r="S46" s="235">
        <f ca="1">P46/'Alberta Electricity Profile'!$D$49</f>
        <v>1.6732848563308642</v>
      </c>
      <c r="T46" s="236">
        <f t="shared" si="5"/>
        <v>347.92166666666662</v>
      </c>
      <c r="U46" s="236">
        <f t="shared" ca="1" si="12"/>
        <v>514.28447665730801</v>
      </c>
      <c r="V46" s="237">
        <f t="shared" ca="1" si="13"/>
        <v>6.3749861527019265</v>
      </c>
      <c r="W46" s="237">
        <f t="shared" ca="1" si="14"/>
        <v>12749.972305403853</v>
      </c>
    </row>
    <row r="47" spans="1:23">
      <c r="A47" s="183"/>
      <c r="B47" s="124">
        <f t="shared" si="6"/>
        <v>27</v>
      </c>
      <c r="C47" s="115">
        <f t="shared" ca="1" si="7"/>
        <v>47267.125</v>
      </c>
      <c r="D47" s="48">
        <f t="shared" ca="1" si="0"/>
        <v>0.57335572431708015</v>
      </c>
      <c r="E47" s="120">
        <f t="shared" ca="1" si="8"/>
        <v>4451</v>
      </c>
      <c r="F47" s="116">
        <f t="shared" ca="1" si="1"/>
        <v>4.4509999999999996</v>
      </c>
      <c r="G47" s="118">
        <f ca="1">C47/Summary!C$23</f>
        <v>0.67428138373751778</v>
      </c>
      <c r="H47" s="119">
        <f ca="1">H46+('Dev Plan (Wind)'!C46/Summary!C$23)*Summary!C$27</f>
        <v>5386.0377383263549</v>
      </c>
      <c r="I47" s="119">
        <f t="shared" si="9"/>
        <v>1342.3500000000006</v>
      </c>
      <c r="J47" s="119">
        <f t="shared" si="10"/>
        <v>8051.5349999999989</v>
      </c>
      <c r="K47" s="119">
        <f t="shared" si="11"/>
        <v>9393.8850000000002</v>
      </c>
      <c r="L47" s="122">
        <f ca="1">C46*Summary!C$16*Summary!C$17*24*375*1000*C$11</f>
        <v>39318412500</v>
      </c>
      <c r="M47" s="122">
        <f t="shared" ca="1" si="2"/>
        <v>44519662500</v>
      </c>
      <c r="N47" s="120">
        <f t="shared" ca="1" si="3"/>
        <v>871</v>
      </c>
      <c r="O47" s="48">
        <f t="shared" ca="1" si="4"/>
        <v>4.0123944860329663</v>
      </c>
      <c r="P47" s="115">
        <f ca="1">C47*Summary!$C$16</f>
        <v>236335.625</v>
      </c>
      <c r="Q47" s="115">
        <f ca="1">P47*Summary!$C$17</f>
        <v>94534.25</v>
      </c>
      <c r="R47" s="48">
        <f ca="1">Q47/'Alberta Electricity Profile'!$C$33</f>
        <v>6.3433033617392471</v>
      </c>
      <c r="S47" s="235">
        <f ca="1">P47/'Alberta Electricity Profile'!$D$49</f>
        <v>1.8104044261277894</v>
      </c>
      <c r="T47" s="236">
        <f t="shared" si="5"/>
        <v>347.92166666666662</v>
      </c>
      <c r="U47" s="236">
        <f t="shared" ca="1" si="12"/>
        <v>557.00963385271643</v>
      </c>
      <c r="V47" s="237">
        <f t="shared" ca="1" si="13"/>
        <v>6.3749861527019283</v>
      </c>
      <c r="W47" s="237">
        <f t="shared" ca="1" si="14"/>
        <v>12749.972305403857</v>
      </c>
    </row>
    <row r="48" spans="1:23">
      <c r="A48" s="183"/>
      <c r="B48" s="124">
        <f t="shared" si="6"/>
        <v>28</v>
      </c>
      <c r="C48" s="115">
        <f t="shared" ca="1" si="7"/>
        <v>51091.125</v>
      </c>
      <c r="D48" s="48">
        <f t="shared" ca="1" si="0"/>
        <v>0.61474144149501531</v>
      </c>
      <c r="E48" s="120">
        <f t="shared" ca="1" si="8"/>
        <v>4774</v>
      </c>
      <c r="F48" s="116">
        <f t="shared" ca="1" si="1"/>
        <v>4.774</v>
      </c>
      <c r="G48" s="118">
        <f ca="1">C48/Summary!C$23</f>
        <v>0.72883202567760341</v>
      </c>
      <c r="H48" s="119">
        <f ca="1">H47+('Dev Plan (Wind)'!C47/Summary!C$23)*Summary!C$27</f>
        <v>5988.6922730324168</v>
      </c>
      <c r="I48" s="119">
        <f t="shared" si="9"/>
        <v>1392.0666666666673</v>
      </c>
      <c r="J48" s="119">
        <f t="shared" si="10"/>
        <v>8349.74</v>
      </c>
      <c r="K48" s="119">
        <f t="shared" si="11"/>
        <v>9741.8066666666673</v>
      </c>
      <c r="L48" s="122">
        <f ca="1">C47*Summary!C$16*Summary!C$17*24*375*1000*C$11</f>
        <v>42540412500</v>
      </c>
      <c r="M48" s="122">
        <f t="shared" ca="1" si="2"/>
        <v>47741662500</v>
      </c>
      <c r="N48" s="120">
        <f t="shared" ca="1" si="3"/>
        <v>950</v>
      </c>
      <c r="O48" s="48">
        <f t="shared" ca="1" si="4"/>
        <v>4.302015425290274</v>
      </c>
      <c r="P48" s="115">
        <f ca="1">C48*Summary!$C$16</f>
        <v>255455.625</v>
      </c>
      <c r="Q48" s="115">
        <f ca="1">P48*Summary!$C$17</f>
        <v>102182.25</v>
      </c>
      <c r="R48" s="48">
        <f ca="1">Q48/'Alberta Electricity Profile'!$C$33</f>
        <v>6.8564886264510498</v>
      </c>
      <c r="S48" s="235">
        <f ca="1">P48/'Alberta Electricity Profile'!$D$49</f>
        <v>1.9568695755421586</v>
      </c>
      <c r="T48" s="236">
        <f t="shared" si="5"/>
        <v>347.92166666666662</v>
      </c>
      <c r="U48" s="236">
        <f t="shared" ca="1" si="12"/>
        <v>602.6545347060619</v>
      </c>
      <c r="V48" s="237">
        <f t="shared" ca="1" si="13"/>
        <v>6.3749861527019238</v>
      </c>
      <c r="W48" s="237">
        <f t="shared" ca="1" si="14"/>
        <v>12749.972305403848</v>
      </c>
    </row>
    <row r="49" spans="1:23">
      <c r="A49" s="183"/>
      <c r="B49" s="124">
        <f t="shared" si="6"/>
        <v>29</v>
      </c>
      <c r="C49" s="115">
        <f t="shared" ca="1" si="7"/>
        <v>55174.125</v>
      </c>
      <c r="D49" s="48">
        <f t="shared" ca="1" si="0"/>
        <v>0.65810520189106603</v>
      </c>
      <c r="E49" s="120">
        <f t="shared" ca="1" si="8"/>
        <v>5118</v>
      </c>
      <c r="F49" s="116">
        <f t="shared" ca="1" si="1"/>
        <v>5.1180000000000003</v>
      </c>
      <c r="G49" s="118">
        <f ca="1">C49/Summary!C$23</f>
        <v>0.78707738944365191</v>
      </c>
      <c r="H49" s="119">
        <f ca="1">H48+('Dev Plan (Wind)'!C48/Summary!C$23)*Summary!C$27</f>
        <v>6640.102701834343</v>
      </c>
      <c r="I49" s="119">
        <f t="shared" si="9"/>
        <v>1441.783333333334</v>
      </c>
      <c r="J49" s="119">
        <f t="shared" si="10"/>
        <v>8647.9449999999997</v>
      </c>
      <c r="K49" s="119">
        <f t="shared" si="11"/>
        <v>10089.728333333334</v>
      </c>
      <c r="L49" s="122">
        <f ca="1">C48*Summary!C$16*Summary!C$17*24*375*1000*C$11</f>
        <v>45982012500</v>
      </c>
      <c r="M49" s="122">
        <f t="shared" ca="1" si="2"/>
        <v>51183262500</v>
      </c>
      <c r="N49" s="120">
        <f t="shared" ca="1" si="3"/>
        <v>1035</v>
      </c>
      <c r="O49" s="48">
        <f t="shared" ca="1" si="4"/>
        <v>4.605478887373974</v>
      </c>
      <c r="P49" s="115">
        <f ca="1">C49*Summary!$C$16</f>
        <v>275870.625</v>
      </c>
      <c r="Q49" s="115">
        <f ca="1">P49*Summary!$C$17</f>
        <v>110348.25</v>
      </c>
      <c r="R49" s="48">
        <f ca="1">Q49/'Alberta Electricity Profile'!$C$33</f>
        <v>7.4044319935583438</v>
      </c>
      <c r="S49" s="235">
        <f ca="1">P49/'Alberta Electricity Profile'!$D$49</f>
        <v>2.1132548279111099</v>
      </c>
      <c r="T49" s="236">
        <f t="shared" si="5"/>
        <v>347.92166666666662</v>
      </c>
      <c r="U49" s="236">
        <f t="shared" ca="1" si="12"/>
        <v>651.41042880192617</v>
      </c>
      <c r="V49" s="237">
        <f t="shared" ca="1" si="13"/>
        <v>6.3749861527019238</v>
      </c>
      <c r="W49" s="237">
        <f t="shared" ca="1" si="14"/>
        <v>12749.972305403848</v>
      </c>
    </row>
    <row r="50" spans="1:23">
      <c r="A50" s="183"/>
      <c r="B50" s="164">
        <f t="shared" si="6"/>
        <v>30</v>
      </c>
      <c r="C50" s="115">
        <f t="shared" ca="1" si="7"/>
        <v>59531.125</v>
      </c>
      <c r="D50" s="48">
        <f t="shared" ca="1" si="0"/>
        <v>0.70356557918298024</v>
      </c>
      <c r="E50" s="120">
        <f t="shared" ca="1" si="8"/>
        <v>5485</v>
      </c>
      <c r="F50" s="116">
        <f t="shared" ca="1" si="1"/>
        <v>5.4850000000000003</v>
      </c>
      <c r="G50" s="118">
        <f ca="1">C50/Summary!C$23</f>
        <v>0.84923145506419406</v>
      </c>
      <c r="H50" s="119">
        <f ca="1">H49+('Dev Plan (Wind)'!C49/Summary!C$23)*Summary!C$27</f>
        <v>7343.5712675592331</v>
      </c>
      <c r="I50" s="119">
        <f t="shared" si="9"/>
        <v>1491.5000000000007</v>
      </c>
      <c r="J50" s="119">
        <f t="shared" si="10"/>
        <v>8946.15</v>
      </c>
      <c r="K50" s="119">
        <f t="shared" si="11"/>
        <v>10437.65</v>
      </c>
      <c r="L50" s="122">
        <f ca="1">C49*Summary!C$16*Summary!C$17*24*375*1000*C$11</f>
        <v>49656712500</v>
      </c>
      <c r="M50" s="122">
        <f t="shared" ca="1" si="2"/>
        <v>54857962500</v>
      </c>
      <c r="N50" s="120">
        <f t="shared" ca="1" si="3"/>
        <v>1128</v>
      </c>
      <c r="O50" s="48">
        <f t="shared" ca="1" si="4"/>
        <v>4.923614661454395</v>
      </c>
      <c r="P50" s="115">
        <f ca="1">C50*Summary!$C$16</f>
        <v>297655.625</v>
      </c>
      <c r="Q50" s="115">
        <f ca="1">P50*Summary!$C$17</f>
        <v>119062.25</v>
      </c>
      <c r="R50" s="48">
        <f ca="1">Q50/'Alberta Electricity Profile'!$C$33</f>
        <v>7.989146480574381</v>
      </c>
      <c r="S50" s="235">
        <f ca="1">P50/'Alberta Electricity Profile'!$D$49</f>
        <v>2.280134706571781</v>
      </c>
      <c r="T50" s="236">
        <f t="shared" si="5"/>
        <v>347.92166666666662</v>
      </c>
      <c r="U50" s="236">
        <f t="shared" ca="1" si="12"/>
        <v>703.46856572489014</v>
      </c>
      <c r="V50" s="237">
        <f t="shared" ca="1" si="13"/>
        <v>6.3749861527019247</v>
      </c>
      <c r="W50" s="237">
        <f t="shared" ca="1" si="14"/>
        <v>12749.97230540385</v>
      </c>
    </row>
    <row r="51" spans="1:23">
      <c r="A51" s="183"/>
      <c r="B51" s="124">
        <f t="shared" si="6"/>
        <v>31</v>
      </c>
      <c r="C51" s="115">
        <f t="shared" ca="1" si="7"/>
        <v>64178.125</v>
      </c>
      <c r="D51" s="48">
        <f t="shared" ca="1" si="0"/>
        <v>0.75124357920315166</v>
      </c>
      <c r="E51" s="120">
        <f t="shared" ca="1" si="8"/>
        <v>5877</v>
      </c>
      <c r="F51" s="116">
        <f t="shared" ca="1" si="1"/>
        <v>5.8769999999999998</v>
      </c>
      <c r="G51" s="118">
        <f ca="1">C51/Summary!C$23</f>
        <v>0.91552246790299574</v>
      </c>
      <c r="H51" s="119">
        <f ca="1">H50+('Dev Plan (Wind)'!C50/Summary!C$23)*Summary!C$27</f>
        <v>8102.5914626187687</v>
      </c>
      <c r="I51" s="119">
        <f t="shared" si="9"/>
        <v>1541.2166666666674</v>
      </c>
      <c r="J51" s="119">
        <f t="shared" si="10"/>
        <v>9244.3549999999996</v>
      </c>
      <c r="K51" s="119">
        <f t="shared" si="11"/>
        <v>10785.571666666667</v>
      </c>
      <c r="L51" s="122">
        <f ca="1">C50*Summary!C$16*Summary!C$17*24*375*1000*C$11</f>
        <v>53578012500</v>
      </c>
      <c r="M51" s="122">
        <f t="shared" ca="1" si="2"/>
        <v>58779262500</v>
      </c>
      <c r="N51" s="120">
        <f t="shared" ca="1" si="3"/>
        <v>1230</v>
      </c>
      <c r="O51" s="48">
        <f t="shared" ca="1" si="4"/>
        <v>5.2572695571369579</v>
      </c>
      <c r="P51" s="115">
        <f ca="1">C51*Summary!$C$16</f>
        <v>320890.625</v>
      </c>
      <c r="Q51" s="115">
        <f ca="1">P51*Summary!$C$17</f>
        <v>128356.25</v>
      </c>
      <c r="R51" s="48">
        <f ca="1">Q51/'Alberta Electricity Profile'!$C$33</f>
        <v>8.6127793061799629</v>
      </c>
      <c r="S51" s="235">
        <f ca="1">P51/'Alberta Electricity Profile'!$D$49</f>
        <v>2.4581220364171195</v>
      </c>
      <c r="T51" s="236">
        <f t="shared" si="5"/>
        <v>347.92166666666662</v>
      </c>
      <c r="U51" s="236">
        <f t="shared" ca="1" si="12"/>
        <v>759.02019505953558</v>
      </c>
      <c r="V51" s="237">
        <f t="shared" ca="1" si="13"/>
        <v>6.3749861527019318</v>
      </c>
      <c r="W51" s="237">
        <f t="shared" ca="1" si="14"/>
        <v>12749.972305403864</v>
      </c>
    </row>
    <row r="52" spans="1:23">
      <c r="A52" s="183"/>
      <c r="B52" s="124">
        <f t="shared" si="6"/>
        <v>32</v>
      </c>
      <c r="C52" s="115">
        <f t="shared" ca="1" si="7"/>
        <v>69133.125</v>
      </c>
      <c r="D52" s="48">
        <f t="shared" ca="1" si="0"/>
        <v>0.80126340510509275</v>
      </c>
      <c r="E52" s="120">
        <f t="shared" ca="1" si="8"/>
        <v>6296</v>
      </c>
      <c r="F52" s="116">
        <f t="shared" ca="1" si="1"/>
        <v>6.2960000000000003</v>
      </c>
      <c r="G52" s="118">
        <f ca="1">C52/Summary!C$23</f>
        <v>0.98620720399429385</v>
      </c>
      <c r="H52" s="119">
        <f ca="1">H51+('Dev Plan (Wind)'!C51/Summary!C$23)*Summary!C$27</f>
        <v>8920.860778981516</v>
      </c>
      <c r="I52" s="119">
        <f t="shared" si="9"/>
        <v>1590.9333333333341</v>
      </c>
      <c r="J52" s="119">
        <f t="shared" si="10"/>
        <v>9542.56</v>
      </c>
      <c r="K52" s="119">
        <f t="shared" si="11"/>
        <v>11133.493333333334</v>
      </c>
      <c r="L52" s="122">
        <f ca="1">C51*Summary!C$16*Summary!C$17*24*375*1000*C$11</f>
        <v>57760312500</v>
      </c>
      <c r="M52" s="122">
        <f t="shared" ca="1" si="2"/>
        <v>62961562500</v>
      </c>
      <c r="N52" s="120">
        <f t="shared" ca="1" si="3"/>
        <v>1341</v>
      </c>
      <c r="O52" s="48">
        <f t="shared" ca="1" si="4"/>
        <v>5.6073127591653824</v>
      </c>
      <c r="P52" s="115">
        <f ca="1">C52*Summary!$C$16</f>
        <v>345665.625</v>
      </c>
      <c r="Q52" s="115">
        <f ca="1">P52*Summary!$C$17</f>
        <v>138266.25</v>
      </c>
      <c r="R52" s="48">
        <f ca="1">Q52/'Alberta Electricity Profile'!$C$33</f>
        <v>9.2777460913909948</v>
      </c>
      <c r="S52" s="235">
        <f ca="1">P52/'Alberta Electricity Profile'!$D$49</f>
        <v>2.6479062454516904</v>
      </c>
      <c r="T52" s="236">
        <f t="shared" si="5"/>
        <v>347.92166666666662</v>
      </c>
      <c r="U52" s="236">
        <f t="shared" ca="1" si="12"/>
        <v>818.2693163627473</v>
      </c>
      <c r="V52" s="237">
        <f t="shared" ca="1" si="13"/>
        <v>6.3749861527019318</v>
      </c>
      <c r="W52" s="237">
        <f t="shared" ca="1" si="14"/>
        <v>12749.972305403864</v>
      </c>
    </row>
    <row r="53" spans="1:23">
      <c r="A53" s="183"/>
      <c r="B53" s="124">
        <f t="shared" si="6"/>
        <v>33</v>
      </c>
      <c r="C53" s="115">
        <f t="shared" ca="1" si="7"/>
        <v>74414.125</v>
      </c>
      <c r="D53" s="48">
        <f t="shared" ca="1" si="0"/>
        <v>0.853754193896618</v>
      </c>
      <c r="E53" s="120">
        <f t="shared" ca="1" si="8"/>
        <v>6742</v>
      </c>
      <c r="F53" s="116">
        <f t="shared" ca="1" si="1"/>
        <v>6.742</v>
      </c>
      <c r="G53" s="118">
        <f ca="1">C53/Summary!C$23</f>
        <v>1.0615424393723252</v>
      </c>
      <c r="H53" s="119">
        <f ca="1">H52+('Dev Plan (Wind)'!C52/Summary!C$23)*Summary!C$27</f>
        <v>9802.3062081175394</v>
      </c>
      <c r="I53" s="119">
        <f t="shared" si="9"/>
        <v>1640.6500000000008</v>
      </c>
      <c r="J53" s="119">
        <f t="shared" si="10"/>
        <v>9840.7649999999994</v>
      </c>
      <c r="K53" s="119">
        <f t="shared" si="11"/>
        <v>11481.415000000001</v>
      </c>
      <c r="L53" s="122">
        <f ca="1">C52*Summary!C$16*Summary!C$17*24*375*1000*C$11</f>
        <v>62219812500</v>
      </c>
      <c r="M53" s="122">
        <f t="shared" ca="1" si="2"/>
        <v>67421062500</v>
      </c>
      <c r="N53" s="120">
        <f t="shared" ca="1" si="3"/>
        <v>1461</v>
      </c>
      <c r="O53" s="48">
        <f t="shared" ca="1" si="4"/>
        <v>5.9746479798357575</v>
      </c>
      <c r="P53" s="115">
        <f ca="1">C53*Summary!$C$16</f>
        <v>372070.625</v>
      </c>
      <c r="Q53" s="115">
        <f ca="1">P53*Summary!$C$17</f>
        <v>148828.25</v>
      </c>
      <c r="R53" s="48">
        <f ca="1">Q53/'Alberta Electricity Profile'!$C$33</f>
        <v>9.9864624572233787</v>
      </c>
      <c r="S53" s="235">
        <f ca="1">P53/'Alberta Electricity Profile'!$D$49</f>
        <v>2.8501767616800593</v>
      </c>
      <c r="T53" s="236">
        <f t="shared" si="5"/>
        <v>347.92166666666662</v>
      </c>
      <c r="U53" s="236">
        <f t="shared" ca="1" si="12"/>
        <v>881.44542913602345</v>
      </c>
      <c r="V53" s="237">
        <f t="shared" ca="1" si="13"/>
        <v>6.3749861527019318</v>
      </c>
      <c r="W53" s="237">
        <f t="shared" ca="1" si="14"/>
        <v>12749.972305403864</v>
      </c>
    </row>
    <row r="54" spans="1:23">
      <c r="A54" s="183"/>
      <c r="B54" s="124">
        <f t="shared" si="6"/>
        <v>34</v>
      </c>
      <c r="C54" s="115">
        <f t="shared" ca="1" si="7"/>
        <v>80038.125</v>
      </c>
      <c r="D54" s="48">
        <f t="shared" ca="1" si="0"/>
        <v>0.90884929087303568</v>
      </c>
      <c r="E54" s="120">
        <f t="shared" ca="1" si="8"/>
        <v>7217</v>
      </c>
      <c r="F54" s="116">
        <f t="shared" ca="1" si="1"/>
        <v>7.2169999999999996</v>
      </c>
      <c r="G54" s="118">
        <f ca="1">C54/Summary!C$23</f>
        <v>1.1417706847360913</v>
      </c>
      <c r="H54" s="119">
        <f ca="1">H53+('Dev Plan (Wind)'!C53/Summary!C$23)*Summary!C$27</f>
        <v>10751.0842409984</v>
      </c>
      <c r="I54" s="119">
        <f t="shared" si="9"/>
        <v>1690.3666666666675</v>
      </c>
      <c r="J54" s="119">
        <f t="shared" si="10"/>
        <v>10138.969999999999</v>
      </c>
      <c r="K54" s="119">
        <f t="shared" si="11"/>
        <v>11829.336666666666</v>
      </c>
      <c r="L54" s="122">
        <f ca="1">C53*Summary!C$16*Summary!C$17*24*375*1000*C$11</f>
        <v>66972712500</v>
      </c>
      <c r="M54" s="122">
        <f t="shared" ca="1" si="2"/>
        <v>72173962500</v>
      </c>
      <c r="N54" s="120">
        <f t="shared" ca="1" si="3"/>
        <v>1593</v>
      </c>
      <c r="O54" s="48">
        <f t="shared" ca="1" si="4"/>
        <v>6.360208381415311</v>
      </c>
      <c r="P54" s="115">
        <f ca="1">C54*Summary!$C$16</f>
        <v>400190.625</v>
      </c>
      <c r="Q54" s="115">
        <f ca="1">P54*Summary!$C$17</f>
        <v>160076.25</v>
      </c>
      <c r="R54" s="48">
        <f ca="1">Q54/'Alberta Electricity Profile'!$C$33</f>
        <v>10.741209823525464</v>
      </c>
      <c r="S54" s="235">
        <f ca="1">P54/'Alberta Electricity Profile'!$D$49</f>
        <v>3.0655847115509833</v>
      </c>
      <c r="T54" s="236">
        <f t="shared" si="5"/>
        <v>347.92166666666662</v>
      </c>
      <c r="U54" s="236">
        <f t="shared" ca="1" si="12"/>
        <v>948.77803288086034</v>
      </c>
      <c r="V54" s="237">
        <f t="shared" ca="1" si="13"/>
        <v>6.3749861527019256</v>
      </c>
      <c r="W54" s="237">
        <f t="shared" ca="1" si="14"/>
        <v>12749.972305403851</v>
      </c>
    </row>
    <row r="55" spans="1:23">
      <c r="A55" s="183"/>
      <c r="B55" s="124">
        <f t="shared" si="6"/>
        <v>35</v>
      </c>
      <c r="C55" s="115">
        <f t="shared" ca="1" si="7"/>
        <v>86025.125</v>
      </c>
      <c r="D55" s="48">
        <f t="shared" ca="1" si="0"/>
        <v>0.96668460140178114</v>
      </c>
      <c r="E55" s="120">
        <f t="shared" ca="1" si="8"/>
        <v>7723</v>
      </c>
      <c r="F55" s="116">
        <f t="shared" ca="1" si="1"/>
        <v>7.7229999999999999</v>
      </c>
      <c r="G55" s="118">
        <f ca="1">C55/Summary!C$23</f>
        <v>1.2271772467902995</v>
      </c>
      <c r="H55" s="119">
        <f ca="1">H54+('Dev Plan (Wind)'!C54/Summary!C$23)*Summary!C$27</f>
        <v>11771.568118124851</v>
      </c>
      <c r="I55" s="119">
        <f t="shared" si="9"/>
        <v>1740.0833333333342</v>
      </c>
      <c r="J55" s="119">
        <f t="shared" si="10"/>
        <v>10437.174999999999</v>
      </c>
      <c r="K55" s="119">
        <f t="shared" si="11"/>
        <v>12177.258333333333</v>
      </c>
      <c r="L55" s="122">
        <f ca="1">C54*Summary!C$16*Summary!C$17*24*375*1000*C$11</f>
        <v>72034312500</v>
      </c>
      <c r="M55" s="122">
        <f t="shared" ca="1" si="2"/>
        <v>77235562500</v>
      </c>
      <c r="N55" s="120">
        <f t="shared" ca="1" si="3"/>
        <v>1736</v>
      </c>
      <c r="O55" s="48">
        <f t="shared" ca="1" si="4"/>
        <v>6.7649450417843084</v>
      </c>
      <c r="P55" s="115">
        <f ca="1">C55*Summary!$C$16</f>
        <v>430125.625</v>
      </c>
      <c r="Q55" s="115">
        <f ca="1">P55*Summary!$C$17</f>
        <v>172050.25</v>
      </c>
      <c r="R55" s="48">
        <f ca="1">Q55/'Alberta Electricity Profile'!$C$33</f>
        <v>11.544672213648258</v>
      </c>
      <c r="S55" s="235">
        <f ca="1">P55/'Alberta Electricity Profile'!$D$49</f>
        <v>3.2948961261806455</v>
      </c>
      <c r="T55" s="236">
        <f t="shared" si="5"/>
        <v>347.92166666666662</v>
      </c>
      <c r="U55" s="236">
        <f t="shared" ca="1" si="12"/>
        <v>1020.4838771264513</v>
      </c>
      <c r="V55" s="237">
        <f t="shared" ca="1" si="13"/>
        <v>6.3749861527019229</v>
      </c>
      <c r="W55" s="237">
        <f t="shared" ca="1" si="14"/>
        <v>12749.972305403846</v>
      </c>
    </row>
    <row r="56" spans="1:23">
      <c r="A56" s="183"/>
      <c r="B56" s="124">
        <f t="shared" si="6"/>
        <v>36</v>
      </c>
      <c r="C56" s="115">
        <f t="shared" ca="1" si="7"/>
        <v>92395.125</v>
      </c>
      <c r="D56" s="48">
        <f t="shared" ca="1" si="0"/>
        <v>1.0274012891985389</v>
      </c>
      <c r="E56" s="120">
        <f t="shared" ca="1" si="8"/>
        <v>8262</v>
      </c>
      <c r="F56" s="116">
        <f t="shared" ca="1" si="1"/>
        <v>8.2620000000000005</v>
      </c>
      <c r="G56" s="118">
        <f ca="1">C56/Summary!C$23</f>
        <v>1.3180474322396576</v>
      </c>
      <c r="H56" s="119">
        <f ca="1">H55+('Dev Plan (Wind)'!C55/Summary!C$23)*Summary!C$27</f>
        <v>12868.386079443757</v>
      </c>
      <c r="I56" s="119">
        <f t="shared" si="9"/>
        <v>1789.8000000000009</v>
      </c>
      <c r="J56" s="119">
        <f t="shared" si="10"/>
        <v>10735.38</v>
      </c>
      <c r="K56" s="119">
        <f t="shared" si="11"/>
        <v>12525.18</v>
      </c>
      <c r="L56" s="122">
        <f ca="1">C55*Summary!C$16*Summary!C$17*24*375*1000*C$11</f>
        <v>77422612500</v>
      </c>
      <c r="M56" s="122">
        <f t="shared" ca="1" si="2"/>
        <v>82623862500</v>
      </c>
      <c r="N56" s="120">
        <f t="shared" ca="1" si="3"/>
        <v>1892</v>
      </c>
      <c r="O56" s="48">
        <f t="shared" ca="1" si="4"/>
        <v>7.1898458372129568</v>
      </c>
      <c r="P56" s="115">
        <f ca="1">C56*Summary!$C$16</f>
        <v>461975.625</v>
      </c>
      <c r="Q56" s="115">
        <f ca="1">P56*Summary!$C$17</f>
        <v>184790.25</v>
      </c>
      <c r="R56" s="48">
        <f ca="1">Q56/'Alberta Electricity Profile'!$C$33</f>
        <v>12.399533650942763</v>
      </c>
      <c r="S56" s="235">
        <f ca="1">P56/'Alberta Electricity Profile'!$D$49</f>
        <v>3.5388770366852302</v>
      </c>
      <c r="T56" s="236">
        <f t="shared" si="5"/>
        <v>347.92166666666662</v>
      </c>
      <c r="U56" s="236">
        <f t="shared" ca="1" si="12"/>
        <v>1096.8179613189059</v>
      </c>
      <c r="V56" s="237">
        <f t="shared" ca="1" si="13"/>
        <v>6.3749861527019336</v>
      </c>
      <c r="W56" s="237">
        <f t="shared" ca="1" si="14"/>
        <v>12749.972305403868</v>
      </c>
    </row>
    <row r="57" spans="1:23">
      <c r="A57" s="183"/>
      <c r="B57" s="124">
        <f t="shared" si="6"/>
        <v>37</v>
      </c>
      <c r="C57" s="115">
        <f t="shared" ca="1" si="7"/>
        <v>99167.125</v>
      </c>
      <c r="D57" s="48">
        <f t="shared" ca="1" si="0"/>
        <v>1.0911450657396411</v>
      </c>
      <c r="E57" s="120">
        <f t="shared" ca="1" si="8"/>
        <v>8835</v>
      </c>
      <c r="F57" s="116">
        <f t="shared" ca="1" si="1"/>
        <v>8.8350000000000009</v>
      </c>
      <c r="G57" s="118">
        <f ca="1">C57/Summary!C$23</f>
        <v>1.4146522824536376</v>
      </c>
      <c r="H57" s="119">
        <f ca="1">H56+('Dev Plan (Wind)'!C56/Summary!C$23)*Summary!C$27</f>
        <v>14046.421364348083</v>
      </c>
      <c r="I57" s="119">
        <f t="shared" si="9"/>
        <v>1839.5166666666676</v>
      </c>
      <c r="J57" s="119">
        <f t="shared" si="10"/>
        <v>11033.584999999999</v>
      </c>
      <c r="K57" s="119">
        <f t="shared" si="11"/>
        <v>12873.101666666667</v>
      </c>
      <c r="L57" s="122">
        <f ca="1">C56*Summary!C$16*Summary!C$17*24*375*1000*C$11</f>
        <v>83155612500</v>
      </c>
      <c r="M57" s="122">
        <f t="shared" ca="1" si="2"/>
        <v>88356862500</v>
      </c>
      <c r="N57" s="120">
        <f t="shared" ca="1" si="3"/>
        <v>2063</v>
      </c>
      <c r="O57" s="48">
        <f t="shared" ca="1" si="4"/>
        <v>7.6359304696060066</v>
      </c>
      <c r="P57" s="115">
        <f ca="1">C57*Summary!$C$16</f>
        <v>495835.625</v>
      </c>
      <c r="Q57" s="115">
        <f ca="1">P57*Summary!$C$17</f>
        <v>198334.25</v>
      </c>
      <c r="R57" s="48">
        <f ca="1">Q57/'Alberta Electricity Profile'!$C$33</f>
        <v>13.308343957592431</v>
      </c>
      <c r="S57" s="235">
        <f ca="1">P57/'Alberta Electricity Profile'!$D$49</f>
        <v>3.7982551726251121</v>
      </c>
      <c r="T57" s="236">
        <f t="shared" si="5"/>
        <v>347.92166666666662</v>
      </c>
      <c r="U57" s="236">
        <f t="shared" ca="1" si="12"/>
        <v>1178.0352849043265</v>
      </c>
      <c r="V57" s="237">
        <f t="shared" ca="1" si="13"/>
        <v>6.3749861527019229</v>
      </c>
      <c r="W57" s="237">
        <f t="shared" ca="1" si="14"/>
        <v>12749.972305403846</v>
      </c>
    </row>
    <row r="58" spans="1:23">
      <c r="A58" s="183"/>
      <c r="B58" s="124">
        <f t="shared" si="6"/>
        <v>38</v>
      </c>
      <c r="C58" s="115">
        <f t="shared" ca="1" si="7"/>
        <v>106364.125</v>
      </c>
      <c r="D58" s="48">
        <f t="shared" ca="1" si="0"/>
        <v>1.158064627501447</v>
      </c>
      <c r="E58" s="120">
        <f t="shared" ca="1" si="8"/>
        <v>9445</v>
      </c>
      <c r="F58" s="116">
        <f t="shared" ca="1" si="1"/>
        <v>9.4450000000000003</v>
      </c>
      <c r="G58" s="118">
        <f ca="1">C58/Summary!C$23</f>
        <v>1.5173199001426534</v>
      </c>
      <c r="H58" s="119">
        <f ca="1">H57+('Dev Plan (Wind)'!C57/Summary!C$23)*Summary!C$27</f>
        <v>15310.799461704606</v>
      </c>
      <c r="I58" s="119">
        <f t="shared" si="9"/>
        <v>1889.2333333333343</v>
      </c>
      <c r="J58" s="119">
        <f t="shared" si="10"/>
        <v>11331.789999999999</v>
      </c>
      <c r="K58" s="119">
        <f t="shared" si="11"/>
        <v>13221.023333333333</v>
      </c>
      <c r="L58" s="122">
        <f ca="1">C57*Summary!C$16*Summary!C$17*24*375*1000*C$11</f>
        <v>89250412500</v>
      </c>
      <c r="M58" s="122">
        <f t="shared" ca="1" si="2"/>
        <v>94451662500</v>
      </c>
      <c r="N58" s="120">
        <f t="shared" ca="1" si="3"/>
        <v>2248</v>
      </c>
      <c r="O58" s="48">
        <f t="shared" ca="1" si="4"/>
        <v>8.1042395301645804</v>
      </c>
      <c r="P58" s="115">
        <f ca="1">C58*Summary!$C$16</f>
        <v>531820.625</v>
      </c>
      <c r="Q58" s="115">
        <f ca="1">P58*Summary!$C$17</f>
        <v>212728.25</v>
      </c>
      <c r="R58" s="48">
        <f ca="1">Q58/'Alberta Electricity Profile'!$C$33</f>
        <v>14.274189760450916</v>
      </c>
      <c r="S58" s="235">
        <f ca="1">P58/'Alberta Electricity Profile'!$D$49</f>
        <v>4.0739114697839023</v>
      </c>
      <c r="T58" s="236">
        <f t="shared" si="5"/>
        <v>347.92166666666662</v>
      </c>
      <c r="U58" s="236">
        <f t="shared" ca="1" si="12"/>
        <v>1264.3780973565226</v>
      </c>
      <c r="V58" s="237">
        <f t="shared" ca="1" si="13"/>
        <v>6.3749861527019291</v>
      </c>
      <c r="W58" s="237">
        <f t="shared" ca="1" si="14"/>
        <v>12749.972305403859</v>
      </c>
    </row>
    <row r="59" spans="1:23">
      <c r="A59" s="183"/>
      <c r="B59" s="124">
        <f t="shared" si="6"/>
        <v>39</v>
      </c>
      <c r="C59" s="115">
        <f t="shared" ca="1" si="7"/>
        <v>114005.125</v>
      </c>
      <c r="D59" s="48">
        <f t="shared" ca="1" si="0"/>
        <v>1.2283150318424256</v>
      </c>
      <c r="E59" s="120">
        <f t="shared" ca="1" si="8"/>
        <v>10092</v>
      </c>
      <c r="F59" s="116">
        <f t="shared" ca="1" si="1"/>
        <v>10.092000000000001</v>
      </c>
      <c r="G59" s="118">
        <f ca="1">C59/Summary!C$23</f>
        <v>1.6263213266761769</v>
      </c>
      <c r="H59" s="119">
        <f ca="1">H58+('Dev Plan (Wind)'!C58/Summary!C$23)*Summary!C$27</f>
        <v>16666.939109743122</v>
      </c>
      <c r="I59" s="119">
        <f t="shared" si="9"/>
        <v>1938.950000000001</v>
      </c>
      <c r="J59" s="119">
        <f t="shared" si="10"/>
        <v>11629.994999999999</v>
      </c>
      <c r="K59" s="119">
        <f t="shared" si="11"/>
        <v>13568.945</v>
      </c>
      <c r="L59" s="122">
        <f ca="1">C58*Summary!C$16*Summary!C$17*24*375*1000*C$11</f>
        <v>95727712500</v>
      </c>
      <c r="M59" s="122">
        <f t="shared" ca="1" si="2"/>
        <v>100928962500</v>
      </c>
      <c r="N59" s="120">
        <f t="shared" ca="1" si="3"/>
        <v>2451</v>
      </c>
      <c r="O59" s="48">
        <f t="shared" ca="1" si="4"/>
        <v>8.5958581241100145</v>
      </c>
      <c r="P59" s="115">
        <f ca="1">C59*Summary!$C$16</f>
        <v>570025.625</v>
      </c>
      <c r="Q59" s="115">
        <f ca="1">P59*Summary!$C$17</f>
        <v>228010.25</v>
      </c>
      <c r="R59" s="48">
        <f ca="1">Q59/'Alberta Electricity Profile'!$C$33</f>
        <v>15.299620881701671</v>
      </c>
      <c r="S59" s="235">
        <f ca="1">P59/'Alberta Electricity Profile'!$D$49</f>
        <v>4.3665736577219763</v>
      </c>
      <c r="T59" s="236">
        <f t="shared" si="5"/>
        <v>347.92166666666662</v>
      </c>
      <c r="U59" s="236">
        <f t="shared" ca="1" si="12"/>
        <v>1356.1396480385156</v>
      </c>
      <c r="V59" s="237">
        <f t="shared" ca="1" si="13"/>
        <v>6.3749861527019362</v>
      </c>
      <c r="W59" s="237">
        <f t="shared" ca="1" si="14"/>
        <v>12749.972305403873</v>
      </c>
    </row>
    <row r="60" spans="1:23">
      <c r="A60" s="183"/>
      <c r="B60" s="124">
        <f t="shared" si="6"/>
        <v>40</v>
      </c>
      <c r="C60" s="115">
        <f t="shared" ca="1" si="7"/>
        <v>122114.125</v>
      </c>
      <c r="D60" s="48">
        <f t="shared" ca="1" si="0"/>
        <v>1.3020532372828577</v>
      </c>
      <c r="E60" s="120">
        <f t="shared" ca="1" si="8"/>
        <v>10780</v>
      </c>
      <c r="F60" s="116">
        <f t="shared" ca="1" si="1"/>
        <v>10.78</v>
      </c>
      <c r="G60" s="118">
        <f ca="1">C60/Summary!C$23</f>
        <v>1.7419989300998573</v>
      </c>
      <c r="H60" s="119">
        <f ca="1">H59+('Dev Plan (Wind)'!C59/Summary!C$23)*Summary!C$27</f>
        <v>18120.501296167226</v>
      </c>
      <c r="I60" s="119">
        <f t="shared" si="9"/>
        <v>1988.6666666666677</v>
      </c>
      <c r="J60" s="119">
        <f t="shared" si="10"/>
        <v>11928.199999999999</v>
      </c>
      <c r="K60" s="119">
        <f t="shared" si="11"/>
        <v>13916.866666666667</v>
      </c>
      <c r="L60" s="122">
        <f ca="1">C59*Summary!C$16*Summary!C$17*24*375*1000*C$11</f>
        <v>102604612500</v>
      </c>
      <c r="M60" s="122">
        <f t="shared" ca="1" si="2"/>
        <v>107805862500</v>
      </c>
      <c r="N60" s="120">
        <f t="shared" ca="1" si="3"/>
        <v>2671</v>
      </c>
      <c r="O60" s="48">
        <f t="shared" ca="1" si="4"/>
        <v>9.1118846611635345</v>
      </c>
      <c r="P60" s="115">
        <f ca="1">C60*Summary!$C$16</f>
        <v>610570.625</v>
      </c>
      <c r="Q60" s="115">
        <f ca="1">P60*Summary!$C$17</f>
        <v>244228.25</v>
      </c>
      <c r="R60" s="48">
        <f ca="1">Q60/'Alberta Electricity Profile'!$C$33</f>
        <v>16.387858149365901</v>
      </c>
      <c r="S60" s="235">
        <f ca="1">P60/'Alberta Electricity Profile'!$D$49</f>
        <v>4.6771609737787552</v>
      </c>
      <c r="T60" s="236">
        <f t="shared" si="5"/>
        <v>347.92166666666662</v>
      </c>
      <c r="U60" s="236">
        <f t="shared" ca="1" si="12"/>
        <v>1453.5621864241039</v>
      </c>
      <c r="V60" s="237">
        <f t="shared" ca="1" si="13"/>
        <v>6.3749861527019238</v>
      </c>
      <c r="W60" s="237">
        <f t="shared" ca="1" si="14"/>
        <v>12749.972305403848</v>
      </c>
    </row>
    <row r="61" spans="1:23">
      <c r="A61" s="183"/>
      <c r="B61" s="124">
        <f t="shared" si="6"/>
        <v>41</v>
      </c>
      <c r="C61" s="115">
        <f t="shared" ca="1" si="7"/>
        <v>130712.125</v>
      </c>
      <c r="D61" s="48">
        <f t="shared" ca="1" si="0"/>
        <v>1.3794423406924614</v>
      </c>
      <c r="E61" s="120">
        <f t="shared" ca="1" si="8"/>
        <v>11510</v>
      </c>
      <c r="F61" s="116">
        <f t="shared" ca="1" si="1"/>
        <v>11.51</v>
      </c>
      <c r="G61" s="118">
        <f ca="1">C61/Summary!C$23</f>
        <v>1.8646522824536376</v>
      </c>
      <c r="H61" s="119">
        <f ca="1">H60+('Dev Plan (Wind)'!C60/Summary!C$23)*Summary!C$27</f>
        <v>19677.453008015851</v>
      </c>
      <c r="I61" s="119">
        <f t="shared" si="9"/>
        <v>2038.3833333333343</v>
      </c>
      <c r="J61" s="119">
        <f t="shared" si="10"/>
        <v>12226.404999999999</v>
      </c>
      <c r="K61" s="119">
        <f t="shared" si="11"/>
        <v>14264.788333333334</v>
      </c>
      <c r="L61" s="122">
        <f ca="1">C60*Summary!C$16*Summary!C$17*24*375*1000*C$11</f>
        <v>109902712500</v>
      </c>
      <c r="M61" s="122">
        <f t="shared" ca="1" si="2"/>
        <v>115103962500</v>
      </c>
      <c r="N61" s="120">
        <f t="shared" ca="1" si="3"/>
        <v>2912</v>
      </c>
      <c r="O61" s="48">
        <f t="shared" ca="1" si="4"/>
        <v>9.6534605077630999</v>
      </c>
      <c r="P61" s="115">
        <f ca="1">C61*Summary!$C$16</f>
        <v>653560.625</v>
      </c>
      <c r="Q61" s="115">
        <f ca="1">P61*Summary!$C$17</f>
        <v>261424.25</v>
      </c>
      <c r="R61" s="48">
        <f ca="1">Q61/'Alberta Electricity Profile'!$C$33</f>
        <v>17.541719787962155</v>
      </c>
      <c r="S61" s="235">
        <f ca="1">P61/'Alberta Electricity Profile'!$D$49</f>
        <v>5.0064777506262308</v>
      </c>
      <c r="T61" s="236">
        <f t="shared" si="5"/>
        <v>347.92166666666662</v>
      </c>
      <c r="U61" s="236">
        <f t="shared" ca="1" si="12"/>
        <v>1556.9517118486256</v>
      </c>
      <c r="V61" s="237">
        <f t="shared" ca="1" si="13"/>
        <v>6.3749861527019318</v>
      </c>
      <c r="W61" s="237">
        <f t="shared" ca="1" si="14"/>
        <v>12749.972305403864</v>
      </c>
    </row>
    <row r="62" spans="1:23">
      <c r="A62" s="183"/>
      <c r="B62" s="124">
        <f t="shared" si="6"/>
        <v>42</v>
      </c>
      <c r="C62" s="115">
        <f t="shared" ca="1" si="7"/>
        <v>139869.125</v>
      </c>
      <c r="D62" s="48">
        <f t="shared" ca="1" si="0"/>
        <v>1.4606482289559117</v>
      </c>
      <c r="E62" s="120">
        <f t="shared" ca="1" si="8"/>
        <v>12284</v>
      </c>
      <c r="F62" s="116">
        <f t="shared" ca="1" si="1"/>
        <v>12.284000000000001</v>
      </c>
      <c r="G62" s="118">
        <f ca="1">C62/Summary!C$23</f>
        <v>1.9952799572039943</v>
      </c>
      <c r="H62" s="119">
        <f ca="1">H61+('Dev Plan (Wind)'!C61/Summary!C$23)*Summary!C$27</f>
        <v>21344.028981746338</v>
      </c>
      <c r="I62" s="119">
        <f t="shared" si="9"/>
        <v>2088.1000000000008</v>
      </c>
      <c r="J62" s="119">
        <f t="shared" si="10"/>
        <v>12524.609999999999</v>
      </c>
      <c r="K62" s="119">
        <f t="shared" si="11"/>
        <v>14612.71</v>
      </c>
      <c r="L62" s="122">
        <f ca="1">C61*Summary!C$16*Summary!C$17*24*375*1000*C$11</f>
        <v>117640912500</v>
      </c>
      <c r="M62" s="122">
        <f t="shared" ca="1" si="2"/>
        <v>122842162500</v>
      </c>
      <c r="N62" s="120">
        <f t="shared" ca="1" si="3"/>
        <v>3127</v>
      </c>
      <c r="O62" s="48">
        <f t="shared" ca="1" si="4"/>
        <v>10.221746555120124</v>
      </c>
      <c r="P62" s="115">
        <f ca="1">C62*Summary!$C$16</f>
        <v>699345.625</v>
      </c>
      <c r="Q62" s="115">
        <f ca="1">P62*Summary!$C$17</f>
        <v>279738.25</v>
      </c>
      <c r="R62" s="48">
        <f ca="1">Q62/'Alberta Electricity Profile'!$C$33</f>
        <v>18.770599879218949</v>
      </c>
      <c r="S62" s="235">
        <f ca="1">P62/'Alberta Electricity Profile'!$D$49</f>
        <v>5.3572050971710468</v>
      </c>
      <c r="T62" s="236">
        <f t="shared" si="5"/>
        <v>347.92166666666662</v>
      </c>
      <c r="U62" s="236">
        <f t="shared" ca="1" si="12"/>
        <v>1666.575973730487</v>
      </c>
      <c r="V62" s="237">
        <f t="shared" ca="1" si="13"/>
        <v>6.3749861527019283</v>
      </c>
      <c r="W62" s="237">
        <f t="shared" ca="1" si="14"/>
        <v>12749.972305403857</v>
      </c>
    </row>
    <row r="63" spans="1:23">
      <c r="A63" s="183"/>
      <c r="B63" s="124">
        <f t="shared" si="6"/>
        <v>43</v>
      </c>
      <c r="C63" s="115">
        <f t="shared" ca="1" si="7"/>
        <v>149620.125</v>
      </c>
      <c r="D63" s="48">
        <f t="shared" ca="1" si="0"/>
        <v>1.5458810140621786</v>
      </c>
      <c r="E63" s="120">
        <f t="shared" ca="1" si="8"/>
        <v>13108</v>
      </c>
      <c r="F63" s="116">
        <f t="shared" ca="1" si="1"/>
        <v>13.108000000000001</v>
      </c>
      <c r="G63" s="118">
        <f ca="1">C63/Summary!C$23</f>
        <v>2.1343812410841654</v>
      </c>
      <c r="H63" s="119">
        <f ca="1">H62+('Dev Plan (Wind)'!C62/Summary!C$23)*Summary!C$27</f>
        <v>23127.356451877407</v>
      </c>
      <c r="I63" s="119">
        <f t="shared" si="9"/>
        <v>2137.8166666666675</v>
      </c>
      <c r="J63" s="119">
        <f t="shared" si="10"/>
        <v>12822.814999999999</v>
      </c>
      <c r="K63" s="119">
        <f t="shared" si="11"/>
        <v>14960.631666666666</v>
      </c>
      <c r="L63" s="122">
        <f ca="1">C62*Summary!C$16*Summary!C$17*24*375*1000*C$11</f>
        <v>125882212500</v>
      </c>
      <c r="M63" s="122">
        <f t="shared" ca="1" si="2"/>
        <v>131083462500</v>
      </c>
      <c r="N63" s="120">
        <f t="shared" ca="1" si="3"/>
        <v>3357</v>
      </c>
      <c r="O63" s="48">
        <f t="shared" ca="1" si="4"/>
        <v>10.818213185669523</v>
      </c>
      <c r="P63" s="115">
        <f ca="1">C63*Summary!$C$16</f>
        <v>748100.625</v>
      </c>
      <c r="Q63" s="115">
        <f ca="1">P63*Summary!$C$17</f>
        <v>299240.25</v>
      </c>
      <c r="R63" s="48">
        <f ca="1">Q63/'Alberta Electricity Profile'!$C$33</f>
        <v>20.079195464000538</v>
      </c>
      <c r="S63" s="235">
        <f ca="1">P63/'Alberta Electricity Profile'!$D$49</f>
        <v>5.7306835678665271</v>
      </c>
      <c r="T63" s="236">
        <f t="shared" si="5"/>
        <v>347.92166666666662</v>
      </c>
      <c r="U63" s="236">
        <f t="shared" ca="1" si="12"/>
        <v>1783.3274701310693</v>
      </c>
      <c r="V63" s="237">
        <f t="shared" ca="1" si="13"/>
        <v>6.3749861527019247</v>
      </c>
      <c r="W63" s="237">
        <f t="shared" ca="1" si="14"/>
        <v>12749.97230540385</v>
      </c>
    </row>
    <row r="64" spans="1:23">
      <c r="A64" s="183"/>
      <c r="B64" s="124">
        <f t="shared" si="6"/>
        <v>44</v>
      </c>
      <c r="C64" s="115">
        <f t="shared" ca="1" si="7"/>
        <v>160001.125</v>
      </c>
      <c r="D64" s="48">
        <f t="shared" ca="1" si="0"/>
        <v>1.6353608572174121</v>
      </c>
      <c r="E64" s="120">
        <f t="shared" ca="1" si="8"/>
        <v>13985</v>
      </c>
      <c r="F64" s="116">
        <f t="shared" ca="1" si="1"/>
        <v>13.984999999999999</v>
      </c>
      <c r="G64" s="118">
        <f ca="1">C64/Summary!C$23</f>
        <v>2.2824696861626248</v>
      </c>
      <c r="H64" s="119">
        <f ca="1">H63+('Dev Plan (Wind)'!C63/Summary!C$23)*Summary!C$27</f>
        <v>25035.00890195847</v>
      </c>
      <c r="I64" s="119">
        <f t="shared" si="9"/>
        <v>2187.5333333333342</v>
      </c>
      <c r="J64" s="119">
        <f t="shared" si="10"/>
        <v>13121.019999999999</v>
      </c>
      <c r="K64" s="119">
        <f t="shared" si="11"/>
        <v>15308.553333333333</v>
      </c>
      <c r="L64" s="122">
        <f ca="1">C63*Summary!C$16*Summary!C$17*24*375*1000*C$11</f>
        <v>134658112500</v>
      </c>
      <c r="M64" s="122">
        <f t="shared" ca="1" si="2"/>
        <v>139859362500</v>
      </c>
      <c r="N64" s="120">
        <f t="shared" ca="1" si="3"/>
        <v>3604</v>
      </c>
      <c r="O64" s="48">
        <f t="shared" ca="1" si="4"/>
        <v>11.44440110716414</v>
      </c>
      <c r="P64" s="115">
        <f ca="1">C64*Summary!$C$16</f>
        <v>800005.625</v>
      </c>
      <c r="Q64" s="115">
        <f ca="1">P64*Summary!$C$17</f>
        <v>320002.25</v>
      </c>
      <c r="R64" s="48">
        <f ca="1">Q64/'Alberta Electricity Profile'!$C$33</f>
        <v>21.472337784338723</v>
      </c>
      <c r="S64" s="235">
        <f ca="1">P64/'Alberta Electricity Profile'!$D$49</f>
        <v>6.1282920187218002</v>
      </c>
      <c r="T64" s="236">
        <f t="shared" si="5"/>
        <v>347.92166666666662</v>
      </c>
      <c r="U64" s="236">
        <f t="shared" ca="1" si="12"/>
        <v>1907.6524500810629</v>
      </c>
      <c r="V64" s="237">
        <f t="shared" ca="1" si="13"/>
        <v>6.3749861527019274</v>
      </c>
      <c r="W64" s="237">
        <f t="shared" ca="1" si="14"/>
        <v>12749.972305403855</v>
      </c>
    </row>
    <row r="65" spans="1:23">
      <c r="A65" s="183"/>
      <c r="B65" s="124">
        <f t="shared" si="6"/>
        <v>45</v>
      </c>
      <c r="C65" s="115">
        <f t="shared" ca="1" si="7"/>
        <v>171053.125</v>
      </c>
      <c r="D65" s="48">
        <f t="shared" ca="1" si="0"/>
        <v>1.7293176666230383</v>
      </c>
      <c r="E65" s="120">
        <f t="shared" ca="1" si="8"/>
        <v>14920</v>
      </c>
      <c r="F65" s="116">
        <f t="shared" ca="1" si="1"/>
        <v>14.92</v>
      </c>
      <c r="G65" s="118">
        <f ca="1">C65/Summary!C$23</f>
        <v>2.4401301711840229</v>
      </c>
      <c r="H65" s="119">
        <f ca="1">H64+('Dev Plan (Wind)'!C64/Summary!C$23)*Summary!C$27</f>
        <v>27075.018814541931</v>
      </c>
      <c r="I65" s="119">
        <f t="shared" si="9"/>
        <v>2237.2500000000009</v>
      </c>
      <c r="J65" s="119">
        <f t="shared" si="10"/>
        <v>13419.224999999999</v>
      </c>
      <c r="K65" s="119">
        <f t="shared" si="11"/>
        <v>15656.474999999999</v>
      </c>
      <c r="L65" s="122">
        <f ca="1">C64*Summary!C$16*Summary!C$17*24*375*1000*C$11</f>
        <v>144001012500</v>
      </c>
      <c r="M65" s="122">
        <f t="shared" ca="1" si="2"/>
        <v>149202262500</v>
      </c>
      <c r="N65" s="120">
        <f t="shared" ca="1" si="3"/>
        <v>3868</v>
      </c>
      <c r="O65" s="48">
        <f t="shared" ca="1" si="4"/>
        <v>12.101919237698924</v>
      </c>
      <c r="P65" s="115">
        <f ca="1">C65*Summary!$C$16</f>
        <v>855265.625</v>
      </c>
      <c r="Q65" s="115">
        <f ca="1">P65*Summary!$C$17</f>
        <v>342106.25</v>
      </c>
      <c r="R65" s="48">
        <f ca="1">Q65/'Alberta Electricity Profile'!$C$33</f>
        <v>22.955529088103066</v>
      </c>
      <c r="S65" s="235">
        <f ca="1">P65/'Alberta Electricity Profile'!$D$49</f>
        <v>6.5516008135250452</v>
      </c>
      <c r="T65" s="236">
        <f t="shared" si="5"/>
        <v>347.92166666666662</v>
      </c>
      <c r="U65" s="236">
        <f t="shared" ca="1" si="12"/>
        <v>2040.0099125834604</v>
      </c>
      <c r="V65" s="237">
        <f t="shared" ca="1" si="13"/>
        <v>6.3749861527019274</v>
      </c>
      <c r="W65" s="237">
        <f t="shared" ca="1" si="14"/>
        <v>12749.972305403855</v>
      </c>
    </row>
    <row r="66" spans="1:23">
      <c r="A66" s="183"/>
      <c r="B66" s="124">
        <f t="shared" si="6"/>
        <v>46</v>
      </c>
      <c r="C66" s="115">
        <f t="shared" ca="1" si="7"/>
        <v>182817.125</v>
      </c>
      <c r="D66" s="48">
        <f t="shared" ca="1" si="0"/>
        <v>1.8279940212915273</v>
      </c>
      <c r="E66" s="120">
        <f t="shared" ca="1" si="8"/>
        <v>15914</v>
      </c>
      <c r="F66" s="116">
        <f t="shared" ca="1" si="1"/>
        <v>15.914</v>
      </c>
      <c r="G66" s="118">
        <f ca="1">C66/Summary!C$23</f>
        <v>2.6079475748930099</v>
      </c>
      <c r="H66" s="119">
        <f ca="1">H65+('Dev Plan (Wind)'!C65/Summary!C$23)*Summary!C$27</f>
        <v>29255.941421044714</v>
      </c>
      <c r="I66" s="119">
        <f t="shared" si="9"/>
        <v>2286.9666666666676</v>
      </c>
      <c r="J66" s="119">
        <f t="shared" si="10"/>
        <v>13717.429999999998</v>
      </c>
      <c r="K66" s="119">
        <f t="shared" si="11"/>
        <v>16004.396666666666</v>
      </c>
      <c r="L66" s="122">
        <f ca="1">C65*Summary!C$16*Summary!C$17*24*375*1000*C$11</f>
        <v>153947812500</v>
      </c>
      <c r="M66" s="122">
        <f t="shared" ca="1" si="2"/>
        <v>159149062500</v>
      </c>
      <c r="N66" s="120">
        <f t="shared" ca="1" si="3"/>
        <v>4150</v>
      </c>
      <c r="O66" s="48">
        <f t="shared" ca="1" si="4"/>
        <v>12.792465166834395</v>
      </c>
      <c r="P66" s="115">
        <f ca="1">C66*Summary!$C$16</f>
        <v>914085.625</v>
      </c>
      <c r="Q66" s="115">
        <f ca="1">P66*Summary!$C$17</f>
        <v>365634.25</v>
      </c>
      <c r="R66" s="48">
        <f ca="1">Q66/'Alberta Electricity Profile'!$C$33</f>
        <v>24.534271623163121</v>
      </c>
      <c r="S66" s="235">
        <f ca="1">P66/'Alberta Electricity Profile'!$D$49</f>
        <v>7.0021803160644387</v>
      </c>
      <c r="T66" s="236">
        <f t="shared" si="5"/>
        <v>347.92166666666662</v>
      </c>
      <c r="U66" s="236">
        <f t="shared" ca="1" si="12"/>
        <v>2180.9226065027833</v>
      </c>
      <c r="V66" s="237">
        <f t="shared" ca="1" si="13"/>
        <v>6.3749861527019256</v>
      </c>
      <c r="W66" s="237">
        <f t="shared" ca="1" si="14"/>
        <v>12749.972305403851</v>
      </c>
    </row>
    <row r="67" spans="1:23">
      <c r="A67" s="183"/>
      <c r="B67" s="124">
        <f t="shared" si="6"/>
        <v>47</v>
      </c>
      <c r="C67" s="115">
        <f t="shared" ca="1" si="7"/>
        <v>195339.125</v>
      </c>
      <c r="D67" s="48">
        <f t="shared" ca="1" si="0"/>
        <v>1.9316438230877724</v>
      </c>
      <c r="E67" s="120">
        <f t="shared" ca="1" si="8"/>
        <v>16973</v>
      </c>
      <c r="F67" s="116">
        <f t="shared" ca="1" si="1"/>
        <v>16.972999999999999</v>
      </c>
      <c r="G67" s="118">
        <f ca="1">C67/Summary!C$23</f>
        <v>2.7865781027104135</v>
      </c>
      <c r="H67" s="119">
        <f ca="1">H66+('Dev Plan (Wind)'!C66/Summary!C$23)*Summary!C$27</f>
        <v>31586.854701748271</v>
      </c>
      <c r="I67" s="119">
        <f t="shared" si="9"/>
        <v>2336.6833333333343</v>
      </c>
      <c r="J67" s="119">
        <f t="shared" si="10"/>
        <v>14015.634999999998</v>
      </c>
      <c r="K67" s="119">
        <f t="shared" si="11"/>
        <v>16352.318333333333</v>
      </c>
      <c r="L67" s="122">
        <f ca="1">C66*Summary!C$16*Summary!C$17*24*375*1000*C$11</f>
        <v>164535412500</v>
      </c>
      <c r="M67" s="122">
        <f t="shared" ca="1" si="2"/>
        <v>169736662500</v>
      </c>
      <c r="N67" s="120">
        <f t="shared" ca="1" si="3"/>
        <v>4451</v>
      </c>
      <c r="O67" s="48">
        <f t="shared" ca="1" si="4"/>
        <v>13.517815722462004</v>
      </c>
      <c r="P67" s="115">
        <f ca="1">C67*Summary!$C$16</f>
        <v>976695.625</v>
      </c>
      <c r="Q67" s="115">
        <f ca="1">P67*Summary!$C$17</f>
        <v>390678.25</v>
      </c>
      <c r="R67" s="48">
        <f ca="1">Q67/'Alberta Electricity Profile'!$C$33</f>
        <v>26.214738643226195</v>
      </c>
      <c r="S67" s="235">
        <f ca="1">P67/'Alberta Electricity Profile'!$D$49</f>
        <v>7.4817923979072027</v>
      </c>
      <c r="T67" s="236">
        <f t="shared" si="5"/>
        <v>347.92166666666662</v>
      </c>
      <c r="U67" s="236">
        <f t="shared" ca="1" si="12"/>
        <v>2330.9132807035567</v>
      </c>
      <c r="V67" s="237">
        <f t="shared" ca="1" si="13"/>
        <v>6.3749861527019327</v>
      </c>
      <c r="W67" s="237">
        <f t="shared" ca="1" si="14"/>
        <v>12749.972305403866</v>
      </c>
    </row>
    <row r="68" spans="1:23">
      <c r="A68" s="183"/>
      <c r="B68" s="124">
        <f t="shared" si="6"/>
        <v>48</v>
      </c>
      <c r="C68" s="115">
        <f t="shared" ca="1" si="7"/>
        <v>208665.125</v>
      </c>
      <c r="D68" s="48">
        <f t="shared" ca="1" si="0"/>
        <v>2.0405349345674133</v>
      </c>
      <c r="E68" s="120">
        <f t="shared" ca="1" si="8"/>
        <v>18100</v>
      </c>
      <c r="F68" s="116">
        <f t="shared" ca="1" si="1"/>
        <v>18.100000000000001</v>
      </c>
      <c r="G68" s="118">
        <f ca="1">C68/Summary!C$23</f>
        <v>2.9766779600570614</v>
      </c>
      <c r="H68" s="119">
        <f ca="1">H67+('Dev Plan (Wind)'!C67/Summary!C$23)*Summary!C$27</f>
        <v>34077.423135660094</v>
      </c>
      <c r="I68" s="119">
        <f t="shared" si="9"/>
        <v>2386.400000000001</v>
      </c>
      <c r="J68" s="119">
        <f t="shared" si="10"/>
        <v>14313.839999999998</v>
      </c>
      <c r="K68" s="119">
        <f t="shared" si="11"/>
        <v>16700.239999999998</v>
      </c>
      <c r="L68" s="122">
        <f ca="1">C67*Summary!C$16*Summary!C$17*24*375*1000*C$11</f>
        <v>175805212500</v>
      </c>
      <c r="M68" s="122">
        <f t="shared" ca="1" si="2"/>
        <v>181006462500</v>
      </c>
      <c r="N68" s="120">
        <f t="shared" ca="1" si="3"/>
        <v>4774</v>
      </c>
      <c r="O68" s="48">
        <f t="shared" ca="1" si="4"/>
        <v>14.279845430631948</v>
      </c>
      <c r="P68" s="115">
        <f ca="1">C68*Summary!$C$16</f>
        <v>1043325.625</v>
      </c>
      <c r="Q68" s="115">
        <f ca="1">P68*Summary!$C$17</f>
        <v>417330.25</v>
      </c>
      <c r="R68" s="48">
        <f ca="1">Q68/'Alberta Electricity Profile'!$C$33</f>
        <v>28.003103401999596</v>
      </c>
      <c r="S68" s="235">
        <f ca="1">P68/'Alberta Electricity Profile'!$D$49</f>
        <v>7.9921989306205621</v>
      </c>
      <c r="T68" s="236">
        <f t="shared" si="5"/>
        <v>347.92166666666662</v>
      </c>
      <c r="U68" s="236">
        <f t="shared" ca="1" si="12"/>
        <v>2490.5684339118234</v>
      </c>
      <c r="V68" s="237">
        <f t="shared" ca="1" si="13"/>
        <v>6.3749861527019318</v>
      </c>
      <c r="W68" s="237">
        <f t="shared" ca="1" si="14"/>
        <v>12749.972305403864</v>
      </c>
    </row>
    <row r="69" spans="1:23">
      <c r="A69" s="183"/>
      <c r="B69" s="124">
        <f t="shared" si="6"/>
        <v>49</v>
      </c>
      <c r="C69" s="115">
        <f t="shared" ca="1" si="7"/>
        <v>222846.125</v>
      </c>
      <c r="D69" s="48">
        <f t="shared" ca="1" si="0"/>
        <v>2.154947754416555</v>
      </c>
      <c r="E69" s="120">
        <f t="shared" ca="1" si="8"/>
        <v>19299</v>
      </c>
      <c r="F69" s="116">
        <f t="shared" ca="1" si="1"/>
        <v>19.298999999999999</v>
      </c>
      <c r="G69" s="118">
        <f ca="1">C69/Summary!C$23</f>
        <v>3.1789746790299573</v>
      </c>
      <c r="H69" s="119">
        <f ca="1">H68+('Dev Plan (Wind)'!C68/Summary!C$23)*Summary!C$27</f>
        <v>36737.897700513728</v>
      </c>
      <c r="I69" s="119">
        <f t="shared" si="9"/>
        <v>2436.1166666666677</v>
      </c>
      <c r="J69" s="119">
        <f t="shared" si="10"/>
        <v>14612.044999999998</v>
      </c>
      <c r="K69" s="119">
        <f t="shared" si="11"/>
        <v>17048.161666666667</v>
      </c>
      <c r="L69" s="122">
        <f ca="1">C68*Summary!C$16*Summary!C$17*24*375*1000*C$11</f>
        <v>187798612500</v>
      </c>
      <c r="M69" s="122">
        <f t="shared" ca="1" si="2"/>
        <v>192999862500</v>
      </c>
      <c r="N69" s="120">
        <f t="shared" ca="1" si="3"/>
        <v>5118</v>
      </c>
      <c r="O69" s="48">
        <f t="shared" ca="1" si="4"/>
        <v>15.0805165463533</v>
      </c>
      <c r="P69" s="115">
        <f ca="1">C69*Summary!$C$16</f>
        <v>1114230.625</v>
      </c>
      <c r="Q69" s="115">
        <f ca="1">P69*Summary!$C$17</f>
        <v>445692.25</v>
      </c>
      <c r="R69" s="48">
        <f ca="1">Q69/'Alberta Electricity Profile'!$C$33</f>
        <v>29.906210159028383</v>
      </c>
      <c r="S69" s="235">
        <f ca="1">P69/'Alberta Electricity Profile'!$D$49</f>
        <v>8.5353532935507843</v>
      </c>
      <c r="T69" s="236">
        <f t="shared" si="5"/>
        <v>347.92166666666662</v>
      </c>
      <c r="U69" s="236">
        <f t="shared" ca="1" si="12"/>
        <v>2660.4745648536336</v>
      </c>
      <c r="V69" s="237">
        <f t="shared" ca="1" si="13"/>
        <v>6.3749861527019274</v>
      </c>
      <c r="W69" s="237">
        <f t="shared" ca="1" si="14"/>
        <v>12749.972305403855</v>
      </c>
    </row>
    <row r="70" spans="1:23">
      <c r="A70" s="183"/>
      <c r="B70" s="124">
        <f t="shared" si="6"/>
        <v>50</v>
      </c>
      <c r="C70" s="115">
        <f t="shared" ca="1" si="7"/>
        <v>237937.125</v>
      </c>
      <c r="D70" s="48">
        <f t="shared" ca="1" si="0"/>
        <v>2.2751776284487581</v>
      </c>
      <c r="E70" s="120">
        <f t="shared" ca="1" si="8"/>
        <v>20576</v>
      </c>
      <c r="F70" s="116">
        <f t="shared" ca="1" si="1"/>
        <v>20.576000000000001</v>
      </c>
      <c r="G70" s="118">
        <f ca="1">C70/Summary!C$23</f>
        <v>3.394252853067047</v>
      </c>
      <c r="H70" s="119">
        <f ca="1">H69+('Dev Plan (Wind)'!C69/Summary!C$23)*Summary!C$27</f>
        <v>39579.179622630298</v>
      </c>
      <c r="I70" s="119">
        <f t="shared" si="9"/>
        <v>2485.8333333333344</v>
      </c>
      <c r="J70" s="119">
        <f t="shared" si="10"/>
        <v>14910.249999999998</v>
      </c>
      <c r="K70" s="119">
        <f t="shared" si="11"/>
        <v>17396.083333333332</v>
      </c>
      <c r="L70" s="122">
        <f ca="1">C69*Summary!C$16*Summary!C$17*24*375*1000*C$11</f>
        <v>200561512500</v>
      </c>
      <c r="M70" s="122">
        <f t="shared" ca="1" si="2"/>
        <v>205762762500</v>
      </c>
      <c r="N70" s="120">
        <f t="shared" ca="1" si="3"/>
        <v>5485</v>
      </c>
      <c r="O70" s="48">
        <f t="shared" ca="1" si="4"/>
        <v>15.92189592596592</v>
      </c>
      <c r="P70" s="115">
        <f ca="1">C70*Summary!$C$16</f>
        <v>1189685.625</v>
      </c>
      <c r="Q70" s="115">
        <f ca="1">P70*Summary!$C$17</f>
        <v>475874.25</v>
      </c>
      <c r="R70" s="48">
        <f ca="1">Q70/'Alberta Electricity Profile'!$C$33</f>
        <v>31.931439978527813</v>
      </c>
      <c r="S70" s="235">
        <f ca="1">P70/'Alberta Electricity Profile'!$D$49</f>
        <v>9.1133620722673747</v>
      </c>
      <c r="T70" s="236">
        <f t="shared" si="5"/>
        <v>347.92166666666662</v>
      </c>
      <c r="U70" s="236">
        <f t="shared" ca="1" si="12"/>
        <v>2841.2819221165701</v>
      </c>
      <c r="V70" s="237">
        <f t="shared" ca="1" si="13"/>
        <v>6.3749861527019371</v>
      </c>
      <c r="W70" s="237">
        <f t="shared" ca="1" si="14"/>
        <v>12749.972305403875</v>
      </c>
    </row>
    <row r="71" spans="1:23">
      <c r="A71" s="183"/>
      <c r="B71" s="124">
        <f t="shared" si="6"/>
        <v>51</v>
      </c>
      <c r="C71" s="115">
        <f t="shared" ca="1" si="7"/>
        <v>253994.125</v>
      </c>
      <c r="D71" s="48">
        <f t="shared" ca="1" si="0"/>
        <v>2.4015362584043296</v>
      </c>
      <c r="E71" s="120">
        <f t="shared" ca="1" si="8"/>
        <v>21934</v>
      </c>
      <c r="F71" s="116">
        <f t="shared" ca="1" si="1"/>
        <v>21.934000000000001</v>
      </c>
      <c r="G71" s="118">
        <f ca="1">C71/Summary!C$23</f>
        <v>3.6233113409415121</v>
      </c>
      <c r="H71" s="119">
        <f ca="1">H70+('Dev Plan (Wind)'!C70/Summary!C$23)*Summary!C$27</f>
        <v>42612.871376807714</v>
      </c>
      <c r="I71" s="119">
        <f t="shared" si="9"/>
        <v>2535.5500000000011</v>
      </c>
      <c r="J71" s="119">
        <f t="shared" si="10"/>
        <v>15208.454999999998</v>
      </c>
      <c r="K71" s="119">
        <f t="shared" si="11"/>
        <v>17744.004999999997</v>
      </c>
      <c r="L71" s="122">
        <f ca="1">C70*Summary!C$16*Summary!C$17*24*375*1000*C$11</f>
        <v>214143412500</v>
      </c>
      <c r="M71" s="122">
        <f t="shared" ca="1" si="2"/>
        <v>219344662500</v>
      </c>
      <c r="N71" s="120">
        <f t="shared" ca="1" si="3"/>
        <v>5877</v>
      </c>
      <c r="O71" s="48">
        <f t="shared" ca="1" si="4"/>
        <v>16.80616488604354</v>
      </c>
      <c r="P71" s="115">
        <f ca="1">C71*Summary!$C$16</f>
        <v>1269970.625</v>
      </c>
      <c r="Q71" s="115">
        <f ca="1">P71*Summary!$C$17</f>
        <v>507988.25</v>
      </c>
      <c r="R71" s="48">
        <f ca="1">Q71/'Alberta Electricity Profile'!$C$33</f>
        <v>34.086308125880699</v>
      </c>
      <c r="S71" s="235">
        <f ca="1">P71/'Alberta Electricity Profile'!$D$49</f>
        <v>9.7283701538956517</v>
      </c>
      <c r="T71" s="236">
        <f t="shared" si="5"/>
        <v>347.92166666666662</v>
      </c>
      <c r="U71" s="236">
        <f t="shared" ca="1" si="12"/>
        <v>3033.6917541774164</v>
      </c>
      <c r="V71" s="237">
        <f t="shared" ca="1" si="13"/>
        <v>6.37498615270193</v>
      </c>
      <c r="W71" s="237">
        <f t="shared" ca="1" si="14"/>
        <v>12749.97230540386</v>
      </c>
    </row>
    <row r="72" spans="1:23">
      <c r="A72" s="183"/>
      <c r="B72" s="124">
        <f t="shared" si="6"/>
        <v>52</v>
      </c>
      <c r="C72" s="115">
        <f t="shared" ca="1" si="7"/>
        <v>271077.125</v>
      </c>
      <c r="D72" s="48">
        <f t="shared" ca="1" si="0"/>
        <v>2.5343508339977614</v>
      </c>
      <c r="E72" s="120">
        <f t="shared" ca="1" si="8"/>
        <v>23379</v>
      </c>
      <c r="F72" s="116">
        <f t="shared" ca="1" si="1"/>
        <v>23.379000000000001</v>
      </c>
      <c r="G72" s="118">
        <f ca="1">C72/Summary!C$23</f>
        <v>3.8670060627674752</v>
      </c>
      <c r="H72" s="119">
        <f ca="1">H71+('Dev Plan (Wind)'!C71/Summary!C$23)*Summary!C$27</f>
        <v>45851.289436293002</v>
      </c>
      <c r="I72" s="119">
        <f t="shared" si="9"/>
        <v>2585.2666666666678</v>
      </c>
      <c r="J72" s="119">
        <f t="shared" si="10"/>
        <v>15506.659999999998</v>
      </c>
      <c r="K72" s="119">
        <f t="shared" si="11"/>
        <v>18091.926666666666</v>
      </c>
      <c r="L72" s="122">
        <f ca="1">C71*Summary!C$16*Summary!C$17*24*375*1000*C$11</f>
        <v>228594712500</v>
      </c>
      <c r="M72" s="122">
        <f t="shared" ca="1" si="2"/>
        <v>233795962500</v>
      </c>
      <c r="N72" s="120">
        <f t="shared" ca="1" si="3"/>
        <v>6296</v>
      </c>
      <c r="O72" s="48">
        <f t="shared" ca="1" si="4"/>
        <v>17.735613129384326</v>
      </c>
      <c r="P72" s="115">
        <f ca="1">C72*Summary!$C$16</f>
        <v>1355385.625</v>
      </c>
      <c r="Q72" s="115">
        <f ca="1">P72*Summary!$C$17</f>
        <v>542154.25</v>
      </c>
      <c r="R72" s="48">
        <f ca="1">Q72/'Alberta Electricity Profile'!$C$33</f>
        <v>36.378866671140038</v>
      </c>
      <c r="S72" s="235">
        <f ca="1">P72/'Alberta Electricity Profile'!$D$49</f>
        <v>10.382675631784164</v>
      </c>
      <c r="T72" s="236">
        <f t="shared" si="5"/>
        <v>347.92166666666662</v>
      </c>
      <c r="U72" s="236">
        <f t="shared" ca="1" si="12"/>
        <v>3238.4180594852878</v>
      </c>
      <c r="V72" s="237">
        <f t="shared" ca="1" si="13"/>
        <v>6.3749861527019336</v>
      </c>
      <c r="W72" s="237">
        <f t="shared" ca="1" si="14"/>
        <v>12749.972305403868</v>
      </c>
    </row>
    <row r="73" spans="1:23">
      <c r="A73" s="183"/>
      <c r="B73" s="124">
        <f t="shared" si="6"/>
        <v>53</v>
      </c>
      <c r="C73" s="115">
        <f t="shared" ca="1" si="7"/>
        <v>289252.125</v>
      </c>
      <c r="D73" s="48">
        <f t="shared" ca="1" si="0"/>
        <v>2.6739653375315093</v>
      </c>
      <c r="E73" s="120">
        <f t="shared" ca="1" si="8"/>
        <v>24917</v>
      </c>
      <c r="F73" s="116">
        <f t="shared" ca="1" si="1"/>
        <v>24.917000000000002</v>
      </c>
      <c r="G73" s="118">
        <f ca="1">C73/Summary!C$23</f>
        <v>4.1262785306704703</v>
      </c>
      <c r="H73" s="119">
        <f ca="1">H72+('Dev Plan (Wind)'!C72/Summary!C$23)*Summary!C$27</f>
        <v>49307.515272671502</v>
      </c>
      <c r="I73" s="119">
        <f t="shared" si="9"/>
        <v>2634.9833333333345</v>
      </c>
      <c r="J73" s="119">
        <f t="shared" si="10"/>
        <v>15804.864999999998</v>
      </c>
      <c r="K73" s="119">
        <f t="shared" si="11"/>
        <v>18439.848333333332</v>
      </c>
      <c r="L73" s="122">
        <f ca="1">C72*Summary!C$16*Summary!C$17*24*375*1000*C$11</f>
        <v>243969412500</v>
      </c>
      <c r="M73" s="122">
        <f t="shared" ca="1" si="2"/>
        <v>249170662500</v>
      </c>
      <c r="N73" s="120">
        <f t="shared" ca="1" si="3"/>
        <v>6742</v>
      </c>
      <c r="O73" s="48">
        <f t="shared" ca="1" si="4"/>
        <v>18.712647874814444</v>
      </c>
      <c r="P73" s="115">
        <f ca="1">C73*Summary!$C$16</f>
        <v>1446260.625</v>
      </c>
      <c r="Q73" s="115">
        <f ca="1">P73*Summary!$C$17</f>
        <v>578504.25</v>
      </c>
      <c r="R73" s="48">
        <f ca="1">Q73/'Alberta Electricity Profile'!$C$33</f>
        <v>38.817972891364157</v>
      </c>
      <c r="S73" s="235">
        <f ca="1">P73/'Alberta Electricity Profile'!$D$49</f>
        <v>11.078806408616318</v>
      </c>
      <c r="T73" s="236">
        <f t="shared" si="5"/>
        <v>347.92166666666662</v>
      </c>
      <c r="U73" s="236">
        <f t="shared" ca="1" si="12"/>
        <v>3456.2258363785004</v>
      </c>
      <c r="V73" s="237">
        <f t="shared" ca="1" si="13"/>
        <v>6.37498615270193</v>
      </c>
      <c r="W73" s="237">
        <f t="shared" ca="1" si="14"/>
        <v>12749.97230540386</v>
      </c>
    </row>
    <row r="74" spans="1:23">
      <c r="A74" s="183"/>
      <c r="B74" s="124">
        <f t="shared" si="6"/>
        <v>54</v>
      </c>
      <c r="C74" s="115">
        <f t="shared" ca="1" si="7"/>
        <v>308587.125</v>
      </c>
      <c r="D74" s="48">
        <f t="shared" ca="1" si="0"/>
        <v>2.8207430608156643</v>
      </c>
      <c r="E74" s="120">
        <f t="shared" ca="1" si="8"/>
        <v>26552</v>
      </c>
      <c r="F74" s="116">
        <f t="shared" ca="1" si="1"/>
        <v>26.552</v>
      </c>
      <c r="G74" s="118">
        <f ca="1">C74/Summary!C$23</f>
        <v>4.402098787446505</v>
      </c>
      <c r="H74" s="119">
        <f ca="1">H73+('Dev Plan (Wind)'!C73/Summary!C$23)*Summary!C$27</f>
        <v>52995.471855700715</v>
      </c>
      <c r="I74" s="119">
        <f t="shared" si="9"/>
        <v>2684.7000000000012</v>
      </c>
      <c r="J74" s="119">
        <f t="shared" si="10"/>
        <v>16103.069999999998</v>
      </c>
      <c r="K74" s="119">
        <f t="shared" si="11"/>
        <v>18787.77</v>
      </c>
      <c r="L74" s="122">
        <f ca="1">C73*Summary!C$16*Summary!C$17*24*375*1000*C$11</f>
        <v>260326912500</v>
      </c>
      <c r="M74" s="122">
        <f t="shared" ca="1" si="2"/>
        <v>265528162500</v>
      </c>
      <c r="N74" s="120">
        <f t="shared" ca="1" si="3"/>
        <v>7217</v>
      </c>
      <c r="O74" s="48">
        <f t="shared" ca="1" si="4"/>
        <v>19.739811470816363</v>
      </c>
      <c r="P74" s="115">
        <f ca="1">C74*Summary!$C$16</f>
        <v>1542935.625</v>
      </c>
      <c r="Q74" s="115">
        <f ca="1">P74*Summary!$C$17</f>
        <v>617174.25</v>
      </c>
      <c r="R74" s="48">
        <f ca="1">Q74/'Alberta Electricity Profile'!$C$33</f>
        <v>41.412752465946454</v>
      </c>
      <c r="S74" s="235">
        <f ca="1">P74/'Alberta Electricity Profile'!$D$49</f>
        <v>11.819366990187142</v>
      </c>
      <c r="T74" s="236">
        <f t="shared" si="5"/>
        <v>347.92166666666662</v>
      </c>
      <c r="U74" s="236">
        <f t="shared" ca="1" si="12"/>
        <v>3687.9565830292122</v>
      </c>
      <c r="V74" s="237">
        <f t="shared" ca="1" si="13"/>
        <v>6.3749861527019238</v>
      </c>
      <c r="W74" s="237">
        <f t="shared" ca="1" si="14"/>
        <v>12749.972305403848</v>
      </c>
    </row>
    <row r="75" spans="1:23">
      <c r="A75" s="183"/>
      <c r="B75" s="124">
        <f t="shared" si="6"/>
        <v>55</v>
      </c>
      <c r="C75" s="115">
        <f t="shared" ca="1" si="7"/>
        <v>329156.125</v>
      </c>
      <c r="D75" s="48">
        <f t="shared" ca="1" si="0"/>
        <v>2.9750661823436353</v>
      </c>
      <c r="E75" s="120">
        <f t="shared" ca="1" si="8"/>
        <v>28292</v>
      </c>
      <c r="F75" s="116">
        <f t="shared" ca="1" si="1"/>
        <v>28.292000000000002</v>
      </c>
      <c r="G75" s="118">
        <f ca="1">C75/Summary!C$23</f>
        <v>4.6955224679029959</v>
      </c>
      <c r="H75" s="119">
        <f ca="1">H74+('Dev Plan (Wind)'!C74/Summary!C$23)*Summary!C$27</f>
        <v>56929.949153254915</v>
      </c>
      <c r="I75" s="119">
        <f t="shared" si="9"/>
        <v>2734.4166666666679</v>
      </c>
      <c r="J75" s="119">
        <f t="shared" si="10"/>
        <v>16401.274999999998</v>
      </c>
      <c r="K75" s="119">
        <f t="shared" si="11"/>
        <v>19135.691666666666</v>
      </c>
      <c r="L75" s="122">
        <f ca="1">C74*Summary!C$16*Summary!C$17*24*375*1000*C$11</f>
        <v>277728412500</v>
      </c>
      <c r="M75" s="122">
        <f t="shared" ca="1" si="2"/>
        <v>282929662500</v>
      </c>
      <c r="N75" s="120">
        <f t="shared" ca="1" si="3"/>
        <v>7723</v>
      </c>
      <c r="O75" s="48">
        <f t="shared" ca="1" si="4"/>
        <v>20.819778436566565</v>
      </c>
      <c r="P75" s="115">
        <f ca="1">C75*Summary!$C$16</f>
        <v>1645780.625</v>
      </c>
      <c r="Q75" s="115">
        <f ca="1">P75*Summary!$C$17</f>
        <v>658312.25</v>
      </c>
      <c r="R75" s="48">
        <f ca="1">Q75/'Alberta Electricity Profile'!$C$33</f>
        <v>44.17313628128565</v>
      </c>
      <c r="S75" s="235">
        <f ca="1">P75/'Alberta Electricity Profile'!$D$49</f>
        <v>12.607191691626515</v>
      </c>
      <c r="T75" s="236">
        <f t="shared" si="5"/>
        <v>347.92166666666662</v>
      </c>
      <c r="U75" s="236">
        <f t="shared" ca="1" si="12"/>
        <v>3934.4772975542</v>
      </c>
      <c r="V75" s="237">
        <f t="shared" ca="1" si="13"/>
        <v>6.3749861527019318</v>
      </c>
      <c r="W75" s="237">
        <f t="shared" ca="1" si="14"/>
        <v>12749.972305403864</v>
      </c>
    </row>
    <row r="76" spans="1:23">
      <c r="A76" s="183"/>
      <c r="B76" s="124">
        <f t="shared" si="6"/>
        <v>56</v>
      </c>
      <c r="C76" s="115">
        <f t="shared" ca="1" si="7"/>
        <v>351038.125</v>
      </c>
      <c r="D76" s="48">
        <f t="shared" ca="1" si="0"/>
        <v>3.1373380073490287</v>
      </c>
      <c r="E76" s="120">
        <f t="shared" ca="1" si="8"/>
        <v>30144</v>
      </c>
      <c r="F76" s="116">
        <f t="shared" ca="1" si="1"/>
        <v>30.143999999999998</v>
      </c>
      <c r="G76" s="118">
        <f ca="1">C76/Summary!C$23</f>
        <v>5.0076765335235374</v>
      </c>
      <c r="H76" s="119">
        <f ca="1">H75+('Dev Plan (Wind)'!C75/Summary!C$23)*Summary!C$27</f>
        <v>61126.680631158968</v>
      </c>
      <c r="I76" s="119">
        <f t="shared" si="9"/>
        <v>2784.1333333333346</v>
      </c>
      <c r="J76" s="119">
        <f t="shared" si="10"/>
        <v>16699.48</v>
      </c>
      <c r="K76" s="119">
        <f t="shared" si="11"/>
        <v>19483.613333333335</v>
      </c>
      <c r="L76" s="122">
        <f ca="1">C75*Summary!C$16*Summary!C$17*24*375*1000*C$11</f>
        <v>296240512500</v>
      </c>
      <c r="M76" s="122">
        <f t="shared" ca="1" si="2"/>
        <v>301441762500</v>
      </c>
      <c r="N76" s="120">
        <f t="shared" ca="1" si="3"/>
        <v>8262</v>
      </c>
      <c r="O76" s="48">
        <f t="shared" ca="1" si="4"/>
        <v>21.955371138053351</v>
      </c>
      <c r="P76" s="115">
        <f ca="1">C76*Summary!$C$16</f>
        <v>1755190.625</v>
      </c>
      <c r="Q76" s="115">
        <f ca="1">P76*Summary!$C$17</f>
        <v>702076.25</v>
      </c>
      <c r="R76" s="48">
        <f ca="1">Q76/'Alberta Electricity Profile'!$C$33</f>
        <v>47.109726229618197</v>
      </c>
      <c r="S76" s="235">
        <f ca="1">P76/'Alberta Electricity Profile'!$D$49</f>
        <v>13.445306335843362</v>
      </c>
      <c r="T76" s="236">
        <f t="shared" si="5"/>
        <v>347.92166666666662</v>
      </c>
      <c r="U76" s="236">
        <f t="shared" ca="1" si="12"/>
        <v>4196.7314779040535</v>
      </c>
      <c r="V76" s="237">
        <f t="shared" ca="1" si="13"/>
        <v>6.3749861527019336</v>
      </c>
      <c r="W76" s="237">
        <f t="shared" ca="1" si="14"/>
        <v>12749.972305403868</v>
      </c>
    </row>
    <row r="77" spans="1:23">
      <c r="A77" s="183"/>
      <c r="B77" s="124">
        <f t="shared" si="6"/>
        <v>57</v>
      </c>
      <c r="C77" s="115">
        <f t="shared" ca="1" si="7"/>
        <v>374316.125</v>
      </c>
      <c r="D77" s="48">
        <f t="shared" ca="1" si="0"/>
        <v>3.3079843291530313</v>
      </c>
      <c r="E77" s="120">
        <f t="shared" ca="1" si="8"/>
        <v>32113</v>
      </c>
      <c r="F77" s="116">
        <f t="shared" ca="1" si="1"/>
        <v>32.113</v>
      </c>
      <c r="G77" s="118">
        <f ca="1">C77/Summary!C$23</f>
        <v>5.3397450071326675</v>
      </c>
      <c r="H77" s="119">
        <f ca="1">H76+('Dev Plan (Wind)'!C76/Summary!C$23)*Summary!C$27</f>
        <v>65602.40700304987</v>
      </c>
      <c r="I77" s="119">
        <f t="shared" si="9"/>
        <v>2833.8500000000013</v>
      </c>
      <c r="J77" s="119">
        <f t="shared" si="10"/>
        <v>16997.685000000001</v>
      </c>
      <c r="K77" s="119">
        <f t="shared" si="11"/>
        <v>19831.535000000003</v>
      </c>
      <c r="L77" s="122">
        <f ca="1">C76*Summary!C$16*Summary!C$17*24*375*1000*C$11</f>
        <v>315934312500</v>
      </c>
      <c r="M77" s="122">
        <f t="shared" ca="1" si="2"/>
        <v>321135562500</v>
      </c>
      <c r="N77" s="120">
        <f t="shared" ca="1" si="3"/>
        <v>8835</v>
      </c>
      <c r="O77" s="48">
        <f t="shared" ca="1" si="4"/>
        <v>23.149569314907225</v>
      </c>
      <c r="P77" s="115">
        <f ca="1">C77*Summary!$C$16</f>
        <v>1871580.625</v>
      </c>
      <c r="Q77" s="115">
        <f ca="1">P77*Summary!$C$17</f>
        <v>748632.25</v>
      </c>
      <c r="R77" s="48">
        <f ca="1">Q77/'Alberta Electricity Profile'!$C$33</f>
        <v>50.23366100785077</v>
      </c>
      <c r="S77" s="235">
        <f ca="1">P77/'Alberta Electricity Profile'!$D$49</f>
        <v>14.33688995196985</v>
      </c>
      <c r="T77" s="236">
        <f t="shared" si="5"/>
        <v>347.92166666666662</v>
      </c>
      <c r="U77" s="236">
        <f t="shared" ca="1" si="12"/>
        <v>4475.7263718909016</v>
      </c>
      <c r="V77" s="237">
        <f t="shared" ca="1" si="13"/>
        <v>6.3749861527019345</v>
      </c>
      <c r="W77" s="237">
        <f t="shared" ca="1" si="14"/>
        <v>12749.97230540387</v>
      </c>
    </row>
    <row r="78" spans="1:23">
      <c r="A78" s="183"/>
      <c r="B78" s="124">
        <f t="shared" si="6"/>
        <v>58</v>
      </c>
      <c r="C78" s="115">
        <f t="shared" ca="1" si="7"/>
        <v>399079.125</v>
      </c>
      <c r="D78" s="48">
        <f t="shared" ca="1" si="0"/>
        <v>3.4874540178534339</v>
      </c>
      <c r="E78" s="120">
        <f t="shared" ca="1" si="8"/>
        <v>34208</v>
      </c>
      <c r="F78" s="116">
        <f t="shared" ca="1" si="1"/>
        <v>34.207999999999998</v>
      </c>
      <c r="G78" s="118">
        <f ca="1">C78/Summary!C$23</f>
        <v>5.6929975035663336</v>
      </c>
      <c r="H78" s="119">
        <f ca="1">H77+('Dev Plan (Wind)'!C77/Summary!C$23)*Summary!C$27</f>
        <v>70374.927230265952</v>
      </c>
      <c r="I78" s="119">
        <f t="shared" si="9"/>
        <v>2883.566666666668</v>
      </c>
      <c r="J78" s="119">
        <f t="shared" si="10"/>
        <v>17295.890000000003</v>
      </c>
      <c r="K78" s="119">
        <f t="shared" si="11"/>
        <v>20179.456666666672</v>
      </c>
      <c r="L78" s="122">
        <f ca="1">C77*Summary!C$16*Summary!C$17*24*375*1000*C$11</f>
        <v>336884512500</v>
      </c>
      <c r="M78" s="122">
        <f t="shared" ca="1" si="2"/>
        <v>342085762500</v>
      </c>
      <c r="N78" s="120">
        <f t="shared" ca="1" si="3"/>
        <v>9445</v>
      </c>
      <c r="O78" s="48">
        <f t="shared" ca="1" si="4"/>
        <v>24.405514200099155</v>
      </c>
      <c r="P78" s="115">
        <f ca="1">C78*Summary!$C$16</f>
        <v>1995395.625</v>
      </c>
      <c r="Q78" s="115">
        <f ca="1">P78*Summary!$C$17</f>
        <v>798158.25</v>
      </c>
      <c r="R78" s="48">
        <f ca="1">Q78/'Alberta Electricity Profile'!$C$33</f>
        <v>53.55688451989532</v>
      </c>
      <c r="S78" s="235">
        <f ca="1">P78/'Alberta Electricity Profile'!$D$49</f>
        <v>15.285351378472994</v>
      </c>
      <c r="T78" s="236">
        <f t="shared" si="5"/>
        <v>347.92166666666662</v>
      </c>
      <c r="U78" s="236">
        <f t="shared" ca="1" si="12"/>
        <v>4772.5202272160823</v>
      </c>
      <c r="V78" s="237">
        <f t="shared" ca="1" si="13"/>
        <v>6.3749861527019203</v>
      </c>
      <c r="W78" s="237">
        <f t="shared" ca="1" si="14"/>
        <v>12749.97230540384</v>
      </c>
    </row>
    <row r="79" spans="1:23">
      <c r="A79" s="183"/>
      <c r="B79" s="124">
        <f t="shared" si="6"/>
        <v>59</v>
      </c>
      <c r="C79" s="115">
        <f t="shared" ca="1" si="7"/>
        <v>425424.125</v>
      </c>
      <c r="D79" s="48">
        <f t="shared" ca="1" si="0"/>
        <v>3.6762207913876677</v>
      </c>
      <c r="E79" s="120">
        <f t="shared" ca="1" si="8"/>
        <v>36437</v>
      </c>
      <c r="F79" s="116">
        <f t="shared" ca="1" si="1"/>
        <v>36.436999999999998</v>
      </c>
      <c r="G79" s="118">
        <f ca="1">C79/Summary!C$23</f>
        <v>6.0688177603423679</v>
      </c>
      <c r="H79" s="119">
        <f ca="1">H78+('Dev Plan (Wind)'!C78/Summary!C$23)*Summary!C$27</f>
        <v>75463.175021680756</v>
      </c>
      <c r="I79" s="119">
        <f t="shared" si="9"/>
        <v>2933.2833333333347</v>
      </c>
      <c r="J79" s="119">
        <f t="shared" si="10"/>
        <v>17594.095000000005</v>
      </c>
      <c r="K79" s="119">
        <f t="shared" si="11"/>
        <v>20527.378333333341</v>
      </c>
      <c r="L79" s="122">
        <f ca="1">C78*Summary!C$16*Summary!C$17*24*375*1000*C$11</f>
        <v>359171212500</v>
      </c>
      <c r="M79" s="122">
        <f t="shared" ca="1" si="2"/>
        <v>364372462500</v>
      </c>
      <c r="N79" s="120">
        <f t="shared" ca="1" si="3"/>
        <v>10092</v>
      </c>
      <c r="O79" s="48">
        <f t="shared" ca="1" si="4"/>
        <v>25.726520913997643</v>
      </c>
      <c r="P79" s="115">
        <f ca="1">C79*Summary!$C$16</f>
        <v>2127120.625</v>
      </c>
      <c r="Q79" s="115">
        <f ca="1">P79*Summary!$C$17</f>
        <v>850848.25</v>
      </c>
      <c r="R79" s="48">
        <f ca="1">Q79/'Alberta Electricity Profile'!$C$33</f>
        <v>57.092414279004224</v>
      </c>
      <c r="S79" s="235">
        <f ca="1">P79/'Alberta Electricity Profile'!$D$49</f>
        <v>16.294405866266288</v>
      </c>
      <c r="T79" s="236">
        <f t="shared" si="5"/>
        <v>347.92166666666662</v>
      </c>
      <c r="U79" s="236">
        <f t="shared" ca="1" si="12"/>
        <v>5088.2477914148039</v>
      </c>
      <c r="V79" s="237">
        <f t="shared" ca="1" si="13"/>
        <v>6.3749861527019283</v>
      </c>
      <c r="W79" s="237">
        <f t="shared" ca="1" si="14"/>
        <v>12749.972305403857</v>
      </c>
    </row>
    <row r="80" spans="1:23" ht="15.75" customHeight="1" thickBot="1">
      <c r="A80" s="183"/>
      <c r="B80" s="165">
        <f t="shared" si="6"/>
        <v>60</v>
      </c>
      <c r="C80" s="166">
        <f t="shared" ca="1" si="7"/>
        <v>453452.125</v>
      </c>
      <c r="D80" s="56">
        <f t="shared" ca="1" si="0"/>
        <v>3.8747860310262081</v>
      </c>
      <c r="E80" s="167">
        <f t="shared" ca="1" si="8"/>
        <v>38808</v>
      </c>
      <c r="F80" s="168">
        <f t="shared" ca="1" si="1"/>
        <v>38.808</v>
      </c>
      <c r="G80" s="169">
        <f ca="1">C80/Summary!C$23</f>
        <v>6.4686465763195438</v>
      </c>
      <c r="H80" s="170">
        <f ca="1">H79+('Dev Plan (Wind)'!C79/Summary!C$23)*Summary!C$27</f>
        <v>80887.320833481426</v>
      </c>
      <c r="I80" s="170">
        <f t="shared" si="9"/>
        <v>2983.0000000000014</v>
      </c>
      <c r="J80" s="170">
        <f t="shared" si="10"/>
        <v>17892.300000000007</v>
      </c>
      <c r="K80" s="170">
        <f t="shared" si="11"/>
        <v>20875.300000000007</v>
      </c>
      <c r="L80" s="171">
        <f ca="1">C79*Summary!C$16*Summary!C$17*24*375*1000*C$11</f>
        <v>382881712500</v>
      </c>
      <c r="M80" s="171">
        <f t="shared" ca="1" si="2"/>
        <v>388082962500</v>
      </c>
      <c r="N80" s="120">
        <f t="shared" ca="1" si="3"/>
        <v>10780</v>
      </c>
      <c r="O80" s="56">
        <f t="shared" ca="1" si="4"/>
        <v>27.116098167442637</v>
      </c>
      <c r="P80" s="166">
        <f ca="1">C80*Summary!$C$16</f>
        <v>2267260.625</v>
      </c>
      <c r="Q80" s="166">
        <f ca="1">P80*Summary!$C$17</f>
        <v>906904.25</v>
      </c>
      <c r="R80" s="56">
        <f ca="1">Q80/'Alberta Electricity Profile'!$C$33</f>
        <v>60.853804603100045</v>
      </c>
      <c r="S80" s="235">
        <f ca="1">P80/'Alberta Electricity Profile'!$D$49</f>
        <v>17.367921872486459</v>
      </c>
      <c r="T80" s="236">
        <f t="shared" si="5"/>
        <v>347.92166666666662</v>
      </c>
      <c r="U80" s="236">
        <f t="shared" ca="1" si="12"/>
        <v>5424.1458118006703</v>
      </c>
      <c r="V80" s="237">
        <f t="shared" ca="1" si="13"/>
        <v>6.37498615270193</v>
      </c>
      <c r="W80" s="237">
        <f t="shared" ca="1" si="14"/>
        <v>12749.97230540386</v>
      </c>
    </row>
    <row r="81" spans="1:23">
      <c r="A81" s="183"/>
      <c r="B81" s="124">
        <f t="shared" si="6"/>
        <v>61</v>
      </c>
      <c r="C81" s="115">
        <f t="shared" ca="1" si="7"/>
        <v>483272.125</v>
      </c>
      <c r="D81" s="48">
        <f t="shared" ca="1" si="0"/>
        <v>4.0836789169092338</v>
      </c>
      <c r="E81" s="120">
        <f t="shared" ca="1" si="8"/>
        <v>41330</v>
      </c>
      <c r="F81" s="116">
        <f t="shared" ca="1" si="1"/>
        <v>41.33</v>
      </c>
      <c r="G81" s="118">
        <f ca="1">C81/Summary!C$23</f>
        <v>6.8940388730385163</v>
      </c>
      <c r="H81" s="119">
        <f ca="1">H80+('Dev Plan (Wind)'!C80/Summary!C$23)*Summary!C$27</f>
        <v>86668.822869057956</v>
      </c>
      <c r="I81" s="119">
        <f t="shared" si="9"/>
        <v>3032.7166666666681</v>
      </c>
      <c r="J81" s="119">
        <f t="shared" si="10"/>
        <v>18190.505000000008</v>
      </c>
      <c r="K81" s="119">
        <f t="shared" si="11"/>
        <v>21223.221666666675</v>
      </c>
      <c r="L81" s="122">
        <f ca="1">C80*Summary!C$16*Summary!C$17*24*375*1000*C$11</f>
        <v>408106912500</v>
      </c>
      <c r="M81" s="122">
        <f t="shared" ca="1" si="2"/>
        <v>413308162500</v>
      </c>
      <c r="N81" s="120">
        <f t="shared" ca="1" si="3"/>
        <v>11510</v>
      </c>
      <c r="O81" s="48">
        <f t="shared" ca="1" si="4"/>
        <v>28.577949210243155</v>
      </c>
      <c r="P81" s="115">
        <f ca="1">C81*Summary!$C$16</f>
        <v>2416360.625</v>
      </c>
      <c r="Q81" s="115">
        <f ca="1">P81*Summary!$C$17</f>
        <v>966544.25</v>
      </c>
      <c r="R81" s="48">
        <f ca="1">Q81/'Alberta Electricity Profile'!$C$33</f>
        <v>64.855683419445754</v>
      </c>
      <c r="S81" s="235">
        <f ca="1">P81/'Alberta Electricity Profile'!$D$49</f>
        <v>18.510074266716714</v>
      </c>
      <c r="T81" s="236">
        <f t="shared" si="5"/>
        <v>347.92166666666662</v>
      </c>
      <c r="U81" s="236">
        <f t="shared" ca="1" si="12"/>
        <v>5781.50203557653</v>
      </c>
      <c r="V81" s="237">
        <f t="shared" ca="1" si="13"/>
        <v>6.3749861527019309</v>
      </c>
      <c r="W81" s="237">
        <f t="shared" ca="1" si="14"/>
        <v>12749.972305403862</v>
      </c>
    </row>
    <row r="82" spans="1:23">
      <c r="A82" s="183"/>
      <c r="B82" s="124">
        <f t="shared" si="6"/>
        <v>62</v>
      </c>
      <c r="C82" s="115">
        <f t="shared" ca="1" si="7"/>
        <v>515002.125</v>
      </c>
      <c r="D82" s="48">
        <f t="shared" ca="1" si="0"/>
        <v>4.3034589147313742</v>
      </c>
      <c r="E82" s="120">
        <f t="shared" ca="1" si="8"/>
        <v>44014</v>
      </c>
      <c r="F82" s="116">
        <f t="shared" ca="1" si="1"/>
        <v>44.014000000000003</v>
      </c>
      <c r="G82" s="118">
        <f ca="1">C82/Summary!C$23</f>
        <v>7.3466779600570611</v>
      </c>
      <c r="H82" s="119">
        <f ca="1">H81+('Dev Plan (Wind)'!C81/Summary!C$23)*Summary!C$27</f>
        <v>92830.529078781634</v>
      </c>
      <c r="I82" s="119">
        <f t="shared" si="9"/>
        <v>3082.4333333333348</v>
      </c>
      <c r="J82" s="119">
        <f t="shared" si="10"/>
        <v>18488.71000000001</v>
      </c>
      <c r="K82" s="119">
        <f t="shared" si="11"/>
        <v>21571.143333333344</v>
      </c>
      <c r="L82" s="122">
        <f ca="1">C81*Summary!C$16*Summary!C$17*24*375*1000*C$11</f>
        <v>434944912500</v>
      </c>
      <c r="M82" s="122">
        <f t="shared" ca="1" si="2"/>
        <v>440146162500</v>
      </c>
      <c r="N82" s="120">
        <f t="shared" ca="1" si="3"/>
        <v>12284</v>
      </c>
      <c r="O82" s="48">
        <f t="shared" ca="1" si="4"/>
        <v>30.115989233218862</v>
      </c>
      <c r="P82" s="115">
        <f ca="1">C82*Summary!$C$16</f>
        <v>2575010.625</v>
      </c>
      <c r="Q82" s="115">
        <f ca="1">P82*Summary!$C$17</f>
        <v>1030004.25</v>
      </c>
      <c r="R82" s="48">
        <f ca="1">Q82/'Alberta Electricity Profile'!$C$33</f>
        <v>69.113886465812257</v>
      </c>
      <c r="S82" s="235">
        <f ca="1">P82/'Alberta Electricity Profile'!$D$49</f>
        <v>19.725382632542534</v>
      </c>
      <c r="T82" s="236">
        <f t="shared" si="5"/>
        <v>347.92166666666662</v>
      </c>
      <c r="U82" s="236">
        <f t="shared" ca="1" si="12"/>
        <v>6161.7062097236776</v>
      </c>
      <c r="V82" s="237">
        <f t="shared" ca="1" si="13"/>
        <v>6.3749861527019354</v>
      </c>
      <c r="W82" s="237">
        <f t="shared" ca="1" si="14"/>
        <v>12749.972305403871</v>
      </c>
    </row>
    <row r="83" spans="1:23">
      <c r="A83" s="183"/>
      <c r="B83" s="164">
        <f t="shared" si="6"/>
        <v>63</v>
      </c>
      <c r="C83" s="115">
        <f t="shared" ca="1" si="7"/>
        <v>548764.125</v>
      </c>
      <c r="D83" s="48">
        <f t="shared" ca="1" si="0"/>
        <v>4.5347186072834633</v>
      </c>
      <c r="E83" s="120">
        <f t="shared" ca="1" si="8"/>
        <v>46870</v>
      </c>
      <c r="F83" s="116">
        <f t="shared" ca="1" si="1"/>
        <v>46.87</v>
      </c>
      <c r="G83" s="118">
        <f ca="1">C83/Summary!C$23</f>
        <v>7.8283042082738943</v>
      </c>
      <c r="H83" s="119">
        <f ca="1">H82+('Dev Plan (Wind)'!C82/Summary!C$23)*Summary!C$27</f>
        <v>99396.791909755775</v>
      </c>
      <c r="I83" s="119">
        <f t="shared" si="9"/>
        <v>3132.1500000000015</v>
      </c>
      <c r="J83" s="119">
        <f t="shared" si="10"/>
        <v>18786.915000000012</v>
      </c>
      <c r="K83" s="119">
        <f t="shared" si="11"/>
        <v>21919.065000000013</v>
      </c>
      <c r="L83" s="122">
        <f ca="1">C82*Summary!C$16*Summary!C$17*24*375*1000*C$11</f>
        <v>463501912500</v>
      </c>
      <c r="M83" s="122">
        <f t="shared" ca="1" si="2"/>
        <v>468703162500</v>
      </c>
      <c r="N83" s="120">
        <f t="shared" ca="1" si="3"/>
        <v>13108</v>
      </c>
      <c r="O83" s="48">
        <f t="shared" ca="1" si="4"/>
        <v>31.734365183581797</v>
      </c>
      <c r="P83" s="115">
        <f ca="1">C83*Summary!$C$16</f>
        <v>2743820.625</v>
      </c>
      <c r="Q83" s="115">
        <f ca="1">P83*Summary!$C$17</f>
        <v>1097528.25</v>
      </c>
      <c r="R83" s="48">
        <f ca="1">Q83/'Alberta Electricity Profile'!$C$33</f>
        <v>73.644786284640674</v>
      </c>
      <c r="S83" s="235">
        <f ca="1">P83/'Alberta Electricity Profile'!$D$49</f>
        <v>21.018519759772641</v>
      </c>
      <c r="T83" s="236">
        <f t="shared" si="5"/>
        <v>347.92166666666662</v>
      </c>
      <c r="U83" s="236">
        <f t="shared" ca="1" si="12"/>
        <v>6566.2628309741413</v>
      </c>
      <c r="V83" s="237">
        <f t="shared" ca="1" si="13"/>
        <v>6.3749861527019345</v>
      </c>
      <c r="W83" s="237">
        <f t="shared" ca="1" si="14"/>
        <v>12749.97230540387</v>
      </c>
    </row>
    <row r="84" spans="1:23">
      <c r="A84" s="183"/>
      <c r="B84" s="124">
        <f t="shared" si="6"/>
        <v>64</v>
      </c>
      <c r="C84" s="115">
        <f t="shared" ca="1" si="7"/>
        <v>584687.125</v>
      </c>
      <c r="D84" s="48">
        <f t="shared" ca="1" si="0"/>
        <v>4.7780833975606738</v>
      </c>
      <c r="E84" s="120">
        <f t="shared" ca="1" si="8"/>
        <v>49908</v>
      </c>
      <c r="F84" s="116">
        <f t="shared" ca="1" si="1"/>
        <v>49.908000000000001</v>
      </c>
      <c r="G84" s="118">
        <f ca="1">C84/Summary!C$23</f>
        <v>8.3407578459343803</v>
      </c>
      <c r="H84" s="119">
        <f ca="1">H83+('Dev Plan (Wind)'!C83/Summary!C$23)*Summary!C$27</f>
        <v>106393.51930570496</v>
      </c>
      <c r="I84" s="119">
        <f t="shared" si="9"/>
        <v>3181.8666666666682</v>
      </c>
      <c r="J84" s="119">
        <f t="shared" si="10"/>
        <v>19085.120000000014</v>
      </c>
      <c r="K84" s="119">
        <f t="shared" si="11"/>
        <v>22266.986666666682</v>
      </c>
      <c r="L84" s="122">
        <f ca="1">C83*Summary!C$16*Summary!C$17*24*375*1000*C$11</f>
        <v>493887712500</v>
      </c>
      <c r="M84" s="122">
        <f t="shared" ca="1" si="2"/>
        <v>499088962500</v>
      </c>
      <c r="N84" s="120">
        <f t="shared" ca="1" si="3"/>
        <v>13985</v>
      </c>
      <c r="O84" s="48">
        <f t="shared" ca="1" si="4"/>
        <v>33.437453687260593</v>
      </c>
      <c r="P84" s="115">
        <f ca="1">C84*Summary!$C$16</f>
        <v>2923435.625</v>
      </c>
      <c r="Q84" s="115">
        <f ca="1">P84*Summary!$C$17</f>
        <v>1169374.25</v>
      </c>
      <c r="R84" s="48">
        <f ca="1">Q84/'Alberta Electricity Profile'!$C$33</f>
        <v>78.46569482654499</v>
      </c>
      <c r="S84" s="235">
        <f ca="1">P84/'Alberta Electricity Profile'!$D$49</f>
        <v>22.394426549106424</v>
      </c>
      <c r="T84" s="236">
        <f t="shared" si="5"/>
        <v>347.92166666666662</v>
      </c>
      <c r="U84" s="236">
        <f t="shared" ca="1" si="12"/>
        <v>6996.7273959491868</v>
      </c>
      <c r="V84" s="237">
        <f t="shared" ca="1" si="13"/>
        <v>6.3749861527019345</v>
      </c>
      <c r="W84" s="237">
        <f t="shared" ca="1" si="14"/>
        <v>12749.97230540387</v>
      </c>
    </row>
    <row r="85" spans="1:23">
      <c r="A85" s="183"/>
      <c r="B85" s="124">
        <f t="shared" si="6"/>
        <v>65</v>
      </c>
      <c r="C85" s="115">
        <f t="shared" ca="1" si="7"/>
        <v>622908.125</v>
      </c>
      <c r="D85" s="48">
        <f t="shared" ca="1" si="0"/>
        <v>5.0342129306345225</v>
      </c>
      <c r="E85" s="120">
        <f t="shared" ca="1" si="8"/>
        <v>53141</v>
      </c>
      <c r="F85" s="116">
        <f t="shared" ca="1" si="1"/>
        <v>53.140999999999998</v>
      </c>
      <c r="G85" s="118">
        <f ca="1">C85/Summary!C$23</f>
        <v>8.8859932239657624</v>
      </c>
      <c r="H85" s="119">
        <f ca="1">H84+('Dev Plan (Wind)'!C84/Summary!C$23)*Summary!C$27</f>
        <v>113848.26395678117</v>
      </c>
      <c r="I85" s="119">
        <f t="shared" si="9"/>
        <v>3231.5833333333348</v>
      </c>
      <c r="J85" s="119">
        <f t="shared" si="10"/>
        <v>19383.325000000015</v>
      </c>
      <c r="K85" s="119">
        <f t="shared" si="11"/>
        <v>22614.908333333351</v>
      </c>
      <c r="L85" s="122">
        <f ca="1">C84*Summary!C$16*Summary!C$17*24*375*1000*C$11</f>
        <v>526218412500</v>
      </c>
      <c r="M85" s="122">
        <f t="shared" ca="1" si="2"/>
        <v>531419662500</v>
      </c>
      <c r="N85" s="120">
        <f t="shared" ca="1" si="3"/>
        <v>14920</v>
      </c>
      <c r="O85" s="48">
        <f t="shared" ca="1" si="4"/>
        <v>35.229870999287591</v>
      </c>
      <c r="P85" s="115">
        <f ca="1">C85*Summary!$C$16</f>
        <v>3114540.625</v>
      </c>
      <c r="Q85" s="115">
        <f ca="1">P85*Summary!$C$17</f>
        <v>1245816.25</v>
      </c>
      <c r="R85" s="48">
        <f ca="1">Q85/'Alberta Electricity Profile'!$C$33</f>
        <v>83.594997651479574</v>
      </c>
      <c r="S85" s="235">
        <f ca="1">P85/'Alberta Electricity Profile'!$D$49</f>
        <v>23.858350313689741</v>
      </c>
      <c r="T85" s="236">
        <f t="shared" si="5"/>
        <v>347.92166666666662</v>
      </c>
      <c r="U85" s="236">
        <f t="shared" ca="1" si="12"/>
        <v>7454.7446510762093</v>
      </c>
      <c r="V85" s="237">
        <f t="shared" ca="1" si="13"/>
        <v>6.3749861527019336</v>
      </c>
      <c r="W85" s="237">
        <f t="shared" ca="1" si="14"/>
        <v>12749.972305403868</v>
      </c>
    </row>
    <row r="86" spans="1:23">
      <c r="A86" s="183"/>
      <c r="B86" s="124">
        <f t="shared" si="6"/>
        <v>66</v>
      </c>
      <c r="C86" s="115">
        <f t="shared" ca="1" si="7"/>
        <v>663575.125</v>
      </c>
      <c r="D86" s="48">
        <f t="shared" ca="1" si="0"/>
        <v>5.3038029415077377</v>
      </c>
      <c r="E86" s="120">
        <f t="shared" ca="1" si="8"/>
        <v>56581</v>
      </c>
      <c r="F86" s="116">
        <f t="shared" ca="1" si="1"/>
        <v>56.581000000000003</v>
      </c>
      <c r="G86" s="118">
        <f ca="1">C86/Summary!C$23</f>
        <v>9.4661216119828815</v>
      </c>
      <c r="H86" s="119">
        <f ca="1">H85+('Dev Plan (Wind)'!C85/Summary!C$23)*Summary!C$27</f>
        <v>121790.32529934222</v>
      </c>
      <c r="I86" s="119">
        <f t="shared" si="9"/>
        <v>3281.3000000000015</v>
      </c>
      <c r="J86" s="119">
        <f t="shared" si="10"/>
        <v>19681.530000000017</v>
      </c>
      <c r="K86" s="119">
        <f t="shared" si="11"/>
        <v>22962.83000000002</v>
      </c>
      <c r="L86" s="122">
        <f ca="1">C85*Summary!C$16*Summary!C$17*24*375*1000*C$11</f>
        <v>560617312500</v>
      </c>
      <c r="M86" s="122">
        <f t="shared" ca="1" si="2"/>
        <v>565818562500</v>
      </c>
      <c r="N86" s="120">
        <f t="shared" ca="1" si="3"/>
        <v>15914</v>
      </c>
      <c r="O86" s="48">
        <f t="shared" ca="1" si="4"/>
        <v>37.11648593525193</v>
      </c>
      <c r="P86" s="115">
        <f ca="1">C86*Summary!$C$16</f>
        <v>3317875.625</v>
      </c>
      <c r="Q86" s="115">
        <f ca="1">P86*Summary!$C$17</f>
        <v>1327150.25</v>
      </c>
      <c r="R86" s="48">
        <f ca="1">Q86/'Alberta Electricity Profile'!$C$33</f>
        <v>89.052556532241837</v>
      </c>
      <c r="S86" s="235">
        <f ca="1">P86/'Alberta Electricity Profile'!$D$49</f>
        <v>25.415959683782354</v>
      </c>
      <c r="T86" s="236">
        <f t="shared" si="5"/>
        <v>347.92166666666662</v>
      </c>
      <c r="U86" s="236">
        <f t="shared" ca="1" si="12"/>
        <v>7942.06134256105</v>
      </c>
      <c r="V86" s="237">
        <f t="shared" ca="1" si="13"/>
        <v>6.3749861527019336</v>
      </c>
      <c r="W86" s="237">
        <f t="shared" ca="1" si="14"/>
        <v>12749.972305403868</v>
      </c>
    </row>
    <row r="87" spans="1:23">
      <c r="A87" s="183"/>
      <c r="B87" s="124">
        <f t="shared" si="6"/>
        <v>67</v>
      </c>
      <c r="C87" s="115">
        <f t="shared" ca="1" si="7"/>
        <v>706843.125</v>
      </c>
      <c r="D87" s="48">
        <f t="shared" ca="1" si="0"/>
        <v>5.5875885783597434</v>
      </c>
      <c r="E87" s="120">
        <f t="shared" ca="1" si="8"/>
        <v>60241</v>
      </c>
      <c r="F87" s="116">
        <f t="shared" ca="1" si="1"/>
        <v>60.241</v>
      </c>
      <c r="G87" s="118">
        <f ca="1">C87/Summary!C$23</f>
        <v>10.083354136947218</v>
      </c>
      <c r="H87" s="119">
        <f ca="1">H86+('Dev Plan (Wind)'!C86/Summary!C$23)*Summary!C$27</f>
        <v>130250.88976564712</v>
      </c>
      <c r="I87" s="119">
        <f t="shared" si="9"/>
        <v>3331.0166666666682</v>
      </c>
      <c r="J87" s="119">
        <f t="shared" si="10"/>
        <v>19979.735000000019</v>
      </c>
      <c r="K87" s="119">
        <f t="shared" si="11"/>
        <v>23310.751666666685</v>
      </c>
      <c r="L87" s="122">
        <f ca="1">C86*Summary!C$16*Summary!C$17*24*375*1000*C$11</f>
        <v>597217612500</v>
      </c>
      <c r="M87" s="122">
        <f t="shared" ca="1" si="2"/>
        <v>602418862500</v>
      </c>
      <c r="N87" s="120">
        <f t="shared" ca="1" si="3"/>
        <v>16973</v>
      </c>
      <c r="O87" s="48">
        <f t="shared" ca="1" si="4"/>
        <v>39.102443127667847</v>
      </c>
      <c r="P87" s="115">
        <f ca="1">C87*Summary!$C$16</f>
        <v>3534215.625</v>
      </c>
      <c r="Q87" s="115">
        <f ca="1">P87*Summary!$C$17</f>
        <v>1413686.25</v>
      </c>
      <c r="R87" s="48">
        <f ca="1">Q87/'Alberta Electricity Profile'!$C$33</f>
        <v>94.859172649802048</v>
      </c>
      <c r="S87" s="235">
        <f ca="1">P87/'Alberta Electricity Profile'!$D$49</f>
        <v>27.073191400534689</v>
      </c>
      <c r="T87" s="236">
        <f t="shared" si="5"/>
        <v>347.92166666666662</v>
      </c>
      <c r="U87" s="236">
        <f t="shared" ca="1" si="12"/>
        <v>8460.5644663049025</v>
      </c>
      <c r="V87" s="237">
        <f t="shared" ca="1" si="13"/>
        <v>6.3749861527019283</v>
      </c>
      <c r="W87" s="237">
        <f t="shared" ca="1" si="14"/>
        <v>12749.972305403857</v>
      </c>
    </row>
    <row r="88" spans="1:23">
      <c r="A88" s="183"/>
      <c r="B88" s="124">
        <f t="shared" si="6"/>
        <v>68</v>
      </c>
      <c r="C88" s="115">
        <f t="shared" ca="1" si="7"/>
        <v>752879.125</v>
      </c>
      <c r="D88" s="48">
        <f t="shared" ca="1" si="0"/>
        <v>5.8863452769116433</v>
      </c>
      <c r="E88" s="120">
        <f t="shared" ca="1" si="8"/>
        <v>64136</v>
      </c>
      <c r="F88" s="116">
        <f t="shared" ca="1" si="1"/>
        <v>64.135999999999996</v>
      </c>
      <c r="G88" s="118">
        <f ca="1">C88/Summary!C$23</f>
        <v>10.740073109843081</v>
      </c>
      <c r="H88" s="119">
        <f ca="1">H87+('Dev Plan (Wind)'!C87/Summary!C$23)*Summary!C$27</f>
        <v>139263.12003366224</v>
      </c>
      <c r="I88" s="119">
        <f t="shared" si="9"/>
        <v>3380.7333333333349</v>
      </c>
      <c r="J88" s="119">
        <f t="shared" si="10"/>
        <v>20277.940000000021</v>
      </c>
      <c r="K88" s="119">
        <f t="shared" si="11"/>
        <v>23658.673333333354</v>
      </c>
      <c r="L88" s="122">
        <f ca="1">C87*Summary!C$16*Summary!C$17*24*375*1000*C$11</f>
        <v>636158812500</v>
      </c>
      <c r="M88" s="122">
        <f t="shared" ca="1" si="2"/>
        <v>641360062500</v>
      </c>
      <c r="N88" s="120">
        <f t="shared" ca="1" si="3"/>
        <v>18100</v>
      </c>
      <c r="O88" s="48">
        <f t="shared" ca="1" si="4"/>
        <v>41.193169144858764</v>
      </c>
      <c r="P88" s="115">
        <f ca="1">C88*Summary!$C$16</f>
        <v>3764395.625</v>
      </c>
      <c r="Q88" s="115">
        <f ca="1">P88*Summary!$C$17</f>
        <v>1505758.25</v>
      </c>
      <c r="R88" s="48">
        <f ca="1">Q88/'Alberta Electricity Profile'!$C$33</f>
        <v>101.03725759914111</v>
      </c>
      <c r="S88" s="235">
        <f ca="1">P88/'Alberta Electricity Profile'!$D$49</f>
        <v>28.836441823766883</v>
      </c>
      <c r="T88" s="236">
        <f t="shared" si="5"/>
        <v>347.92166666666662</v>
      </c>
      <c r="U88" s="236">
        <f t="shared" ca="1" si="12"/>
        <v>9012.2302680151188</v>
      </c>
      <c r="V88" s="237">
        <f t="shared" ca="1" si="13"/>
        <v>6.37498615270193</v>
      </c>
      <c r="W88" s="237">
        <f t="shared" ca="1" si="14"/>
        <v>12749.97230540386</v>
      </c>
    </row>
    <row r="89" spans="1:23">
      <c r="A89" s="183"/>
      <c r="B89" s="124">
        <f t="shared" si="6"/>
        <v>69</v>
      </c>
      <c r="C89" s="115">
        <f t="shared" ca="1" si="7"/>
        <v>801859.125</v>
      </c>
      <c r="D89" s="48">
        <f t="shared" ca="1" si="0"/>
        <v>6.2008922142739848</v>
      </c>
      <c r="E89" s="120">
        <f t="shared" ca="1" si="8"/>
        <v>68279</v>
      </c>
      <c r="F89" s="116">
        <f t="shared" ca="1" si="1"/>
        <v>68.278999999999996</v>
      </c>
      <c r="G89" s="118">
        <f ca="1">C89/Summary!C$23</f>
        <v>11.438789229671897</v>
      </c>
      <c r="H89" s="119">
        <f ca="1">H88+('Dev Plan (Wind)'!C88/Summary!C$23)*Summary!C$27</f>
        <v>148862.30802672892</v>
      </c>
      <c r="I89" s="119">
        <f t="shared" si="9"/>
        <v>3430.4500000000016</v>
      </c>
      <c r="J89" s="119">
        <f t="shared" si="10"/>
        <v>20576.145000000022</v>
      </c>
      <c r="K89" s="119">
        <f t="shared" si="11"/>
        <v>24006.595000000023</v>
      </c>
      <c r="L89" s="122">
        <f ca="1">C88*Summary!C$16*Summary!C$17*24*375*1000*C$11</f>
        <v>677591212500</v>
      </c>
      <c r="M89" s="122">
        <f t="shared" ca="1" si="2"/>
        <v>682792462500</v>
      </c>
      <c r="N89" s="120">
        <f t="shared" ca="1" si="3"/>
        <v>19299</v>
      </c>
      <c r="O89" s="48">
        <f t="shared" ca="1" si="4"/>
        <v>43.394396661291914</v>
      </c>
      <c r="P89" s="115">
        <f ca="1">C89*Summary!$C$16</f>
        <v>4009295.625</v>
      </c>
      <c r="Q89" s="115">
        <f ca="1">P89*Summary!$C$17</f>
        <v>1603718.25</v>
      </c>
      <c r="R89" s="48">
        <f ca="1">Q89/'Alberta Electricity Profile'!$C$33</f>
        <v>107.61043078574784</v>
      </c>
      <c r="S89" s="235">
        <f ca="1">P89/'Alberta Electricity Profile'!$D$49</f>
        <v>30.712452027301349</v>
      </c>
      <c r="T89" s="236">
        <f t="shared" si="5"/>
        <v>347.92166666666662</v>
      </c>
      <c r="U89" s="236">
        <f t="shared" ca="1" si="12"/>
        <v>9599.1879930666764</v>
      </c>
      <c r="V89" s="237">
        <f t="shared" ca="1" si="13"/>
        <v>6.3749861527019203</v>
      </c>
      <c r="W89" s="237">
        <f t="shared" ca="1" si="14"/>
        <v>12749.97230540384</v>
      </c>
    </row>
    <row r="90" spans="1:23">
      <c r="A90" s="183"/>
      <c r="B90" s="124">
        <f t="shared" si="6"/>
        <v>70</v>
      </c>
      <c r="C90" s="115">
        <f t="shared" ca="1" si="7"/>
        <v>853970.125</v>
      </c>
      <c r="D90" s="48">
        <f t="shared" ca="1" si="0"/>
        <v>6.5320938962032686</v>
      </c>
      <c r="E90" s="120">
        <f t="shared" ca="1" si="8"/>
        <v>72687</v>
      </c>
      <c r="F90" s="116">
        <f t="shared" ca="1" si="1"/>
        <v>72.686999999999998</v>
      </c>
      <c r="G90" s="118">
        <f ca="1">C90/Summary!C$23</f>
        <v>12.182170114122682</v>
      </c>
      <c r="H90" s="119">
        <f ca="1">H89+('Dev Plan (Wind)'!C89/Summary!C$23)*Summary!C$27</f>
        <v>159085.98966331428</v>
      </c>
      <c r="I90" s="119">
        <f t="shared" si="9"/>
        <v>3480.1666666666683</v>
      </c>
      <c r="J90" s="119">
        <f t="shared" si="10"/>
        <v>20874.350000000024</v>
      </c>
      <c r="K90" s="119">
        <f t="shared" si="11"/>
        <v>24354.516666666692</v>
      </c>
      <c r="L90" s="122">
        <f ca="1">C89*Summary!C$16*Summary!C$17*24*375*1000*C$11</f>
        <v>721673212500</v>
      </c>
      <c r="M90" s="122">
        <f t="shared" ca="1" si="2"/>
        <v>726874462500</v>
      </c>
      <c r="N90" s="120">
        <f t="shared" ca="1" si="3"/>
        <v>20576</v>
      </c>
      <c r="O90" s="48">
        <f t="shared" ca="1" si="4"/>
        <v>45.712175565340992</v>
      </c>
      <c r="P90" s="115">
        <f ca="1">C90*Summary!$C$16</f>
        <v>4269850.625</v>
      </c>
      <c r="Q90" s="115">
        <f ca="1">P90*Summary!$C$17</f>
        <v>1707940.25</v>
      </c>
      <c r="R90" s="48">
        <f ca="1">Q90/'Alberta Electricity Profile'!$C$33</f>
        <v>114.60378782795411</v>
      </c>
      <c r="S90" s="235">
        <f ca="1">P90/'Alberta Electricity Profile'!$D$49</f>
        <v>32.708384402074415</v>
      </c>
      <c r="T90" s="236">
        <f t="shared" si="5"/>
        <v>347.92166666666662</v>
      </c>
      <c r="U90" s="236">
        <f t="shared" ca="1" si="12"/>
        <v>10223.681636585359</v>
      </c>
      <c r="V90" s="237">
        <f t="shared" ca="1" si="13"/>
        <v>6.374986152701922</v>
      </c>
      <c r="W90" s="237">
        <f t="shared" ca="1" si="14"/>
        <v>12749.972305403844</v>
      </c>
    </row>
    <row r="91" spans="1:23">
      <c r="A91" s="183"/>
      <c r="B91" s="124">
        <f t="shared" si="6"/>
        <v>71</v>
      </c>
      <c r="C91" s="115">
        <f t="shared" ca="1" si="7"/>
        <v>909413.125</v>
      </c>
      <c r="D91" s="48">
        <f t="shared" ca="1" si="0"/>
        <v>6.8808626425086246</v>
      </c>
      <c r="E91" s="120">
        <f t="shared" ca="1" si="8"/>
        <v>77377</v>
      </c>
      <c r="F91" s="116">
        <f t="shared" ca="1" si="1"/>
        <v>77.376999999999995</v>
      </c>
      <c r="G91" s="118">
        <f ca="1">C91/Summary!C$23</f>
        <v>12.973083095577746</v>
      </c>
      <c r="H91" s="119">
        <f ca="1">H90+('Dev Plan (Wind)'!C90/Summary!C$23)*Summary!C$27</f>
        <v>169974.08510670654</v>
      </c>
      <c r="I91" s="119">
        <f t="shared" si="9"/>
        <v>3529.883333333335</v>
      </c>
      <c r="J91" s="119">
        <f t="shared" si="10"/>
        <v>21172.555000000026</v>
      </c>
      <c r="K91" s="119">
        <f t="shared" si="11"/>
        <v>24702.438333333361</v>
      </c>
      <c r="L91" s="122">
        <f ca="1">C90*Summary!C$16*Summary!C$17*24*375*1000*C$11</f>
        <v>768573112500</v>
      </c>
      <c r="M91" s="122">
        <f t="shared" ca="1" si="2"/>
        <v>773774362500</v>
      </c>
      <c r="N91" s="120">
        <f t="shared" ca="1" si="3"/>
        <v>21934</v>
      </c>
      <c r="O91" s="48">
        <f t="shared" ca="1" si="4"/>
        <v>48.152890352383636</v>
      </c>
      <c r="P91" s="115">
        <f ca="1">C91*Summary!$C$16</f>
        <v>4547065.625</v>
      </c>
      <c r="Q91" s="115">
        <f ca="1">P91*Summary!$C$17</f>
        <v>1818826.25</v>
      </c>
      <c r="R91" s="48">
        <f ca="1">Q91/'Alberta Electricity Profile'!$C$33</f>
        <v>122.04430316043749</v>
      </c>
      <c r="S91" s="235">
        <f ca="1">P91/'Alberta Electricity Profile'!$D$49</f>
        <v>34.831937560803723</v>
      </c>
      <c r="T91" s="236">
        <f t="shared" si="5"/>
        <v>347.92166666666662</v>
      </c>
      <c r="U91" s="236">
        <f t="shared" ca="1" si="12"/>
        <v>10888.09544339226</v>
      </c>
      <c r="V91" s="237">
        <f t="shared" ca="1" si="13"/>
        <v>6.374986152701922</v>
      </c>
      <c r="W91" s="237">
        <f t="shared" ca="1" si="14"/>
        <v>12749.972305403844</v>
      </c>
    </row>
    <row r="92" spans="1:23">
      <c r="A92" s="183"/>
      <c r="B92" s="124">
        <f t="shared" si="6"/>
        <v>72</v>
      </c>
      <c r="C92" s="115">
        <f t="shared" ca="1" si="7"/>
        <v>968401.125</v>
      </c>
      <c r="D92" s="48">
        <f t="shared" ca="1" si="0"/>
        <v>7.2481623922621115</v>
      </c>
      <c r="E92" s="120">
        <f t="shared" ca="1" si="8"/>
        <v>82367</v>
      </c>
      <c r="F92" s="116">
        <f t="shared" ca="1" si="1"/>
        <v>82.367000000000004</v>
      </c>
      <c r="G92" s="118">
        <f ca="1">C92/Summary!C$23</f>
        <v>13.814566690442225</v>
      </c>
      <c r="H92" s="119">
        <f ca="1">H91+('Dev Plan (Wind)'!C91/Summary!C$23)*Summary!C$27</f>
        <v>181569.07726462733</v>
      </c>
      <c r="I92" s="119">
        <f t="shared" si="9"/>
        <v>3579.6000000000017</v>
      </c>
      <c r="J92" s="119">
        <f t="shared" si="10"/>
        <v>21470.760000000028</v>
      </c>
      <c r="K92" s="119">
        <f t="shared" si="11"/>
        <v>25050.36000000003</v>
      </c>
      <c r="L92" s="122">
        <f ca="1">C91*Summary!C$16*Summary!C$17*24*375*1000*C$11</f>
        <v>818471812500</v>
      </c>
      <c r="M92" s="122">
        <f t="shared" ca="1" si="2"/>
        <v>823673062500</v>
      </c>
      <c r="N92" s="120">
        <f t="shared" ca="1" si="3"/>
        <v>23379</v>
      </c>
      <c r="O92" s="48">
        <f t="shared" ca="1" si="4"/>
        <v>50.723286754002466</v>
      </c>
      <c r="P92" s="115">
        <f ca="1">C92*Summary!$C$16</f>
        <v>4842005.625</v>
      </c>
      <c r="Q92" s="115">
        <f ca="1">P92*Summary!$C$17</f>
        <v>1936802.25</v>
      </c>
      <c r="R92" s="48">
        <f ca="1">Q92/'Alberta Electricity Profile'!$C$33</f>
        <v>129.96056163188621</v>
      </c>
      <c r="S92" s="235">
        <f ca="1">P92/'Alberta Electricity Profile'!$D$49</f>
        <v>37.091269734876633</v>
      </c>
      <c r="T92" s="236">
        <f t="shared" si="5"/>
        <v>347.92166666666662</v>
      </c>
      <c r="U92" s="236">
        <f t="shared" ca="1" si="12"/>
        <v>11594.992157920788</v>
      </c>
      <c r="V92" s="237">
        <f t="shared" ca="1" si="13"/>
        <v>6.3749861527019345</v>
      </c>
      <c r="W92" s="237">
        <f t="shared" ca="1" si="14"/>
        <v>12749.97230540387</v>
      </c>
    </row>
    <row r="93" spans="1:23">
      <c r="A93" s="183"/>
      <c r="B93" s="124">
        <f t="shared" si="6"/>
        <v>73</v>
      </c>
      <c r="C93" s="115">
        <f t="shared" ca="1" si="7"/>
        <v>1031160.125</v>
      </c>
      <c r="D93" s="48">
        <f t="shared" ca="1" si="0"/>
        <v>7.6350111922492534</v>
      </c>
      <c r="E93" s="120">
        <f t="shared" ca="1" si="8"/>
        <v>87676</v>
      </c>
      <c r="F93" s="116">
        <f t="shared" ca="1" si="1"/>
        <v>87.676000000000002</v>
      </c>
      <c r="G93" s="118">
        <f ca="1">C93/Summary!C$23</f>
        <v>14.709844864479315</v>
      </c>
      <c r="H93" s="119">
        <f ca="1">H92+('Dev Plan (Wind)'!C92/Summary!C$23)*Summary!C$27</f>
        <v>193916.16478889927</v>
      </c>
      <c r="I93" s="119">
        <f t="shared" si="9"/>
        <v>3629.3166666666684</v>
      </c>
      <c r="J93" s="119">
        <f t="shared" si="10"/>
        <v>21768.965000000029</v>
      </c>
      <c r="K93" s="119">
        <f t="shared" si="11"/>
        <v>25398.281666666699</v>
      </c>
      <c r="L93" s="122">
        <f ca="1">C92*Summary!C$16*Summary!C$17*24*375*1000*C$11</f>
        <v>871561012500</v>
      </c>
      <c r="M93" s="122">
        <f t="shared" ca="1" si="2"/>
        <v>876762262500</v>
      </c>
      <c r="N93" s="120">
        <f t="shared" ca="1" si="3"/>
        <v>24917</v>
      </c>
      <c r="O93" s="48">
        <f t="shared" ca="1" si="4"/>
        <v>53.430489152383835</v>
      </c>
      <c r="P93" s="115">
        <f ca="1">C93*Summary!$C$16</f>
        <v>5155800.625</v>
      </c>
      <c r="Q93" s="115">
        <f ca="1">P93*Summary!$C$17</f>
        <v>2062320.25</v>
      </c>
      <c r="R93" s="48">
        <f ca="1">Q93/'Alberta Electricity Profile'!$C$33</f>
        <v>138.38289270616653</v>
      </c>
      <c r="S93" s="235">
        <f ca="1">P93/'Alberta Electricity Profile'!$D$49</f>
        <v>39.495037075906026</v>
      </c>
      <c r="T93" s="236">
        <f t="shared" si="5"/>
        <v>347.92166666666662</v>
      </c>
      <c r="U93" s="236">
        <f t="shared" ca="1" si="12"/>
        <v>12347.087524271948</v>
      </c>
      <c r="V93" s="237">
        <f t="shared" ca="1" si="13"/>
        <v>6.3749861527019336</v>
      </c>
      <c r="W93" s="237">
        <f t="shared" ca="1" si="14"/>
        <v>12749.972305403868</v>
      </c>
    </row>
    <row r="94" spans="1:23">
      <c r="A94" s="183"/>
      <c r="B94" s="124">
        <f t="shared" si="6"/>
        <v>74</v>
      </c>
      <c r="C94" s="115">
        <f t="shared" ca="1" si="7"/>
        <v>1097932.125</v>
      </c>
      <c r="D94" s="48">
        <f t="shared" ca="1" si="0"/>
        <v>8.0424839788708962</v>
      </c>
      <c r="E94" s="120">
        <f t="shared" ca="1" si="8"/>
        <v>93324</v>
      </c>
      <c r="F94" s="116">
        <f t="shared" ca="1" si="1"/>
        <v>93.323999999999998</v>
      </c>
      <c r="G94" s="118">
        <f ca="1">C94/Summary!C$23</f>
        <v>15.662369828815978</v>
      </c>
      <c r="H94" s="119">
        <f ca="1">H93+('Dev Plan (Wind)'!C93/Summary!C$23)*Summary!C$27</f>
        <v>207063.42782508605</v>
      </c>
      <c r="I94" s="119">
        <f t="shared" si="9"/>
        <v>3679.0333333333351</v>
      </c>
      <c r="J94" s="119">
        <f t="shared" si="10"/>
        <v>22067.170000000031</v>
      </c>
      <c r="K94" s="119">
        <f t="shared" si="11"/>
        <v>25746.203333333367</v>
      </c>
      <c r="L94" s="122">
        <f ca="1">C93*Summary!C$16*Summary!C$17*24*375*1000*C$11</f>
        <v>928044112500</v>
      </c>
      <c r="M94" s="122">
        <f t="shared" ca="1" si="2"/>
        <v>933245362500</v>
      </c>
      <c r="N94" s="120">
        <f t="shared" ca="1" si="3"/>
        <v>26552</v>
      </c>
      <c r="O94" s="48">
        <f t="shared" ca="1" si="4"/>
        <v>56.282020048315033</v>
      </c>
      <c r="P94" s="115">
        <f ca="1">C94*Summary!$C$16</f>
        <v>5489660.625</v>
      </c>
      <c r="Q94" s="115">
        <f ca="1">P94*Summary!$C$17</f>
        <v>2195864.25</v>
      </c>
      <c r="R94" s="48">
        <f ca="1">Q94/'Alberta Electricity Profile'!$C$33</f>
        <v>147.34377306582567</v>
      </c>
      <c r="S94" s="235">
        <f ca="1">P94/'Alberta Electricity Profile'!$D$49</f>
        <v>42.052508560397726</v>
      </c>
      <c r="T94" s="236">
        <f t="shared" si="5"/>
        <v>347.92166666666662</v>
      </c>
      <c r="U94" s="236">
        <f t="shared" ca="1" si="12"/>
        <v>13147.263036186778</v>
      </c>
      <c r="V94" s="237">
        <f t="shared" ca="1" si="13"/>
        <v>6.3749861527019274</v>
      </c>
      <c r="W94" s="237">
        <f t="shared" ca="1" si="14"/>
        <v>12749.972305403855</v>
      </c>
    </row>
    <row r="95" spans="1:23">
      <c r="A95" s="183"/>
      <c r="B95" s="124">
        <f t="shared" si="6"/>
        <v>75</v>
      </c>
      <c r="C95" s="115">
        <f t="shared" ca="1" si="7"/>
        <v>1168974.125</v>
      </c>
      <c r="D95" s="48">
        <f t="shared" ca="1" si="0"/>
        <v>8.4717166033369171</v>
      </c>
      <c r="E95" s="120">
        <f t="shared" ca="1" si="8"/>
        <v>99334</v>
      </c>
      <c r="F95" s="116">
        <f t="shared" ca="1" si="1"/>
        <v>99.334000000000003</v>
      </c>
      <c r="G95" s="118">
        <f ca="1">C95/Summary!C$23</f>
        <v>16.675807774607705</v>
      </c>
      <c r="H95" s="119">
        <f ca="1">H94+('Dev Plan (Wind)'!C94/Summary!C$23)*Summary!C$27</f>
        <v>221062.03201204925</v>
      </c>
      <c r="I95" s="119">
        <f t="shared" si="9"/>
        <v>3728.7500000000018</v>
      </c>
      <c r="J95" s="119">
        <f t="shared" si="10"/>
        <v>22365.375000000033</v>
      </c>
      <c r="K95" s="119">
        <f t="shared" si="11"/>
        <v>26094.125000000036</v>
      </c>
      <c r="L95" s="122">
        <f ca="1">C94*Summary!C$16*Summary!C$17*24*375*1000*C$11</f>
        <v>988138912500</v>
      </c>
      <c r="M95" s="122">
        <f t="shared" ca="1" si="2"/>
        <v>993340162500</v>
      </c>
      <c r="N95" s="120">
        <f t="shared" ca="1" si="3"/>
        <v>28292</v>
      </c>
      <c r="O95" s="48">
        <f t="shared" ca="1" si="4"/>
        <v>59.285828229848917</v>
      </c>
      <c r="P95" s="115">
        <f ca="1">C95*Summary!$C$16</f>
        <v>5844870.625</v>
      </c>
      <c r="Q95" s="115">
        <f ca="1">P95*Summary!$C$17</f>
        <v>2337948.25</v>
      </c>
      <c r="R95" s="48">
        <f ca="1">Q95/'Alberta Electricity Profile'!$C$33</f>
        <v>156.87769241092397</v>
      </c>
      <c r="S95" s="235">
        <f ca="1">P95/'Alberta Electricity Profile'!$D$49</f>
        <v>44.773527688194697</v>
      </c>
      <c r="T95" s="236">
        <f t="shared" si="5"/>
        <v>347.92166666666662</v>
      </c>
      <c r="U95" s="236">
        <f t="shared" ca="1" si="12"/>
        <v>13998.604186963203</v>
      </c>
      <c r="V95" s="237">
        <f t="shared" ca="1" si="13"/>
        <v>6.3749861527019274</v>
      </c>
      <c r="W95" s="237">
        <f t="shared" ca="1" si="14"/>
        <v>12749.972305403855</v>
      </c>
    </row>
    <row r="96" spans="1:23">
      <c r="A96" s="183"/>
      <c r="B96" s="124">
        <f t="shared" si="6"/>
        <v>76</v>
      </c>
      <c r="C96" s="115">
        <f t="shared" ca="1" si="7"/>
        <v>1244557.125</v>
      </c>
      <c r="D96" s="48">
        <f t="shared" ca="1" si="0"/>
        <v>8.9239090568959725</v>
      </c>
      <c r="E96" s="120">
        <f t="shared" ca="1" si="8"/>
        <v>105727</v>
      </c>
      <c r="F96" s="116">
        <f t="shared" ca="1" si="1"/>
        <v>105.727</v>
      </c>
      <c r="G96" s="118">
        <f ca="1">C96/Summary!C$23</f>
        <v>17.754024607703283</v>
      </c>
      <c r="H96" s="119">
        <f ca="1">H95+('Dev Plan (Wind)'!C95/Summary!C$23)*Summary!C$27</f>
        <v>235966.41973153295</v>
      </c>
      <c r="I96" s="119">
        <f t="shared" si="9"/>
        <v>3778.4666666666685</v>
      </c>
      <c r="J96" s="119">
        <f t="shared" si="10"/>
        <v>22663.580000000034</v>
      </c>
      <c r="K96" s="119">
        <f t="shared" si="11"/>
        <v>26442.046666666702</v>
      </c>
      <c r="L96" s="122">
        <f ca="1">C95*Summary!C$16*Summary!C$17*24*375*1000*C$11</f>
        <v>1052076712500</v>
      </c>
      <c r="M96" s="122">
        <f t="shared" ca="1" si="2"/>
        <v>1057277962500</v>
      </c>
      <c r="N96" s="120">
        <f t="shared" ca="1" si="3"/>
        <v>30144</v>
      </c>
      <c r="O96" s="48">
        <f t="shared" ca="1" si="4"/>
        <v>62.450311342749131</v>
      </c>
      <c r="P96" s="115">
        <f ca="1">C96*Summary!$C$16</f>
        <v>6222785.625</v>
      </c>
      <c r="Q96" s="115">
        <f ca="1">P96*Summary!$C$17</f>
        <v>2489114.25</v>
      </c>
      <c r="R96" s="48">
        <f ca="1">Q96/'Alberta Electricity Profile'!$C$33</f>
        <v>167.02101925786755</v>
      </c>
      <c r="S96" s="235">
        <f ca="1">P96/'Alberta Electricity Profile'!$D$49</f>
        <v>47.66847418092123</v>
      </c>
      <c r="T96" s="236">
        <f t="shared" si="5"/>
        <v>347.92166666666662</v>
      </c>
      <c r="U96" s="236">
        <f t="shared" ca="1" si="12"/>
        <v>14904.387719483697</v>
      </c>
      <c r="V96" s="237">
        <f t="shared" ca="1" si="13"/>
        <v>6.3749861527019238</v>
      </c>
      <c r="W96" s="237">
        <f t="shared" ca="1" si="14"/>
        <v>12749.972305403848</v>
      </c>
    </row>
    <row r="97" spans="1:23">
      <c r="A97" s="183"/>
      <c r="B97" s="124">
        <f t="shared" si="6"/>
        <v>77</v>
      </c>
      <c r="C97" s="115">
        <f t="shared" ca="1" si="7"/>
        <v>1324974.125</v>
      </c>
      <c r="D97" s="48">
        <f t="shared" ca="1" si="0"/>
        <v>9.4003279688252324</v>
      </c>
      <c r="E97" s="120">
        <f t="shared" ca="1" si="8"/>
        <v>112530</v>
      </c>
      <c r="F97" s="116">
        <f t="shared" ca="1" si="1"/>
        <v>112.53</v>
      </c>
      <c r="G97" s="118">
        <f ca="1">C97/Summary!C$23</f>
        <v>18.901200071326677</v>
      </c>
      <c r="H97" s="119">
        <f ca="1">H96+('Dev Plan (Wind)'!C96/Summary!C$23)*Summary!C$27</f>
        <v>251834.488607776</v>
      </c>
      <c r="I97" s="119">
        <f t="shared" si="9"/>
        <v>3828.1833333333352</v>
      </c>
      <c r="J97" s="119">
        <f t="shared" si="10"/>
        <v>22961.785000000036</v>
      </c>
      <c r="K97" s="119">
        <f t="shared" si="11"/>
        <v>26789.968333333371</v>
      </c>
      <c r="L97" s="122">
        <f ca="1">C96*Summary!C$16*Summary!C$17*24*375*1000*C$11</f>
        <v>1120101412500</v>
      </c>
      <c r="M97" s="122">
        <f t="shared" ca="1" si="2"/>
        <v>1125302662500</v>
      </c>
      <c r="N97" s="120">
        <f t="shared" ca="1" si="3"/>
        <v>32113</v>
      </c>
      <c r="O97" s="48">
        <f t="shared" ca="1" si="4"/>
        <v>65.784333371645175</v>
      </c>
      <c r="P97" s="115">
        <f ca="1">C97*Summary!$C$16</f>
        <v>6624870.625</v>
      </c>
      <c r="Q97" s="115">
        <f ca="1">P97*Summary!$C$17</f>
        <v>2649948.25</v>
      </c>
      <c r="R97" s="48">
        <f ca="1">Q97/'Alberta Electricity Profile'!$C$33</f>
        <v>177.81307454874857</v>
      </c>
      <c r="S97" s="235">
        <f ca="1">P97/'Alberta Electricity Profile'!$D$49</f>
        <v>50.748570394429422</v>
      </c>
      <c r="T97" s="236">
        <f t="shared" si="5"/>
        <v>347.92166666666662</v>
      </c>
      <c r="U97" s="236">
        <f t="shared" ca="1" si="12"/>
        <v>15868.068876243051</v>
      </c>
      <c r="V97" s="237">
        <f t="shared" ca="1" si="13"/>
        <v>6.37498615270193</v>
      </c>
      <c r="W97" s="237">
        <f t="shared" ca="1" si="14"/>
        <v>12749.97230540386</v>
      </c>
    </row>
    <row r="98" spans="1:23">
      <c r="A98" s="183"/>
      <c r="B98" s="124">
        <f t="shared" si="6"/>
        <v>78</v>
      </c>
      <c r="C98" s="115">
        <f t="shared" ca="1" si="7"/>
        <v>1410533.125</v>
      </c>
      <c r="D98" s="48">
        <f t="shared" ca="1" si="0"/>
        <v>9.9023126708414804</v>
      </c>
      <c r="E98" s="120">
        <f t="shared" ca="1" si="8"/>
        <v>119767</v>
      </c>
      <c r="F98" s="116">
        <f t="shared" ca="1" si="1"/>
        <v>119.767</v>
      </c>
      <c r="G98" s="118">
        <f ca="1">C98/Summary!C$23</f>
        <v>20.121727888730383</v>
      </c>
      <c r="H98" s="119">
        <f ca="1">H97+('Dev Plan (Wind)'!C97/Summary!C$23)*Summary!C$27</f>
        <v>268727.8720069027</v>
      </c>
      <c r="I98" s="119">
        <f t="shared" si="9"/>
        <v>3877.9000000000019</v>
      </c>
      <c r="J98" s="119">
        <f t="shared" si="10"/>
        <v>23259.990000000038</v>
      </c>
      <c r="K98" s="119">
        <f t="shared" si="11"/>
        <v>27137.890000000039</v>
      </c>
      <c r="L98" s="122">
        <f ca="1">C97*Summary!C$16*Summary!C$17*24*375*1000*C$11</f>
        <v>1192476712500</v>
      </c>
      <c r="M98" s="122">
        <f t="shared" ca="1" si="2"/>
        <v>1197677962500</v>
      </c>
      <c r="N98" s="120">
        <f t="shared" ca="1" si="3"/>
        <v>34208</v>
      </c>
      <c r="O98" s="48">
        <f t="shared" ca="1" si="4"/>
        <v>69.297267079321941</v>
      </c>
      <c r="P98" s="115">
        <f ca="1">C98*Summary!$C$16</f>
        <v>7052665.625</v>
      </c>
      <c r="Q98" s="115">
        <f ca="1">P98*Summary!$C$17</f>
        <v>2821066.25</v>
      </c>
      <c r="R98" s="48">
        <f ca="1">Q98/'Alberta Electricity Profile'!$C$33</f>
        <v>189.29519224317252</v>
      </c>
      <c r="S98" s="235">
        <f ca="1">P98/'Alberta Electricity Profile'!$D$49</f>
        <v>54.025613207908506</v>
      </c>
      <c r="T98" s="236">
        <f t="shared" si="5"/>
        <v>347.92166666666662</v>
      </c>
      <c r="U98" s="236">
        <f t="shared" ca="1" si="12"/>
        <v>16893.383399126702</v>
      </c>
      <c r="V98" s="237">
        <f t="shared" ca="1" si="13"/>
        <v>6.3749861527019256</v>
      </c>
      <c r="W98" s="237">
        <f t="shared" ca="1" si="14"/>
        <v>12749.972305403851</v>
      </c>
    </row>
    <row r="99" spans="1:23">
      <c r="A99" s="183"/>
      <c r="B99" s="124">
        <f t="shared" si="6"/>
        <v>79</v>
      </c>
      <c r="C99" s="115">
        <f t="shared" ca="1" si="7"/>
        <v>1501564.125</v>
      </c>
      <c r="D99" s="48">
        <f t="shared" ca="1" si="0"/>
        <v>10.431277553801197</v>
      </c>
      <c r="E99" s="120">
        <f t="shared" ca="1" si="8"/>
        <v>127468</v>
      </c>
      <c r="F99" s="116">
        <f t="shared" ca="1" si="1"/>
        <v>127.468</v>
      </c>
      <c r="G99" s="118">
        <f ca="1">C99/Summary!C$23</f>
        <v>21.420315620542084</v>
      </c>
      <c r="H99" s="119">
        <f ca="1">H98+('Dev Plan (Wind)'!C98/Summary!C$23)*Summary!C$27</f>
        <v>286712.13028650748</v>
      </c>
      <c r="I99" s="119">
        <f t="shared" si="9"/>
        <v>3927.6166666666686</v>
      </c>
      <c r="J99" s="119">
        <f t="shared" si="10"/>
        <v>23558.19500000004</v>
      </c>
      <c r="K99" s="119">
        <f t="shared" si="11"/>
        <v>27485.811666666708</v>
      </c>
      <c r="L99" s="122">
        <f ca="1">C98*Summary!C$16*Summary!C$17*24*375*1000*C$11</f>
        <v>1269479812500</v>
      </c>
      <c r="M99" s="122">
        <f t="shared" ca="1" si="2"/>
        <v>1274681062500</v>
      </c>
      <c r="N99" s="120">
        <f t="shared" ca="1" si="3"/>
        <v>36437</v>
      </c>
      <c r="O99" s="48">
        <f t="shared" ca="1" si="4"/>
        <v>72.999010499117105</v>
      </c>
      <c r="P99" s="115">
        <f ca="1">C99*Summary!$C$16</f>
        <v>7507820.625</v>
      </c>
      <c r="Q99" s="115">
        <f ca="1">P99*Summary!$C$17</f>
        <v>3003128.25</v>
      </c>
      <c r="R99" s="48">
        <f ca="1">Q99/'Alberta Electricity Profile'!$C$33</f>
        <v>201.51165872643091</v>
      </c>
      <c r="S99" s="235">
        <f ca="1">P99/'Alberta Electricity Profile'!$D$49</f>
        <v>57.512242134775512</v>
      </c>
      <c r="T99" s="236">
        <f t="shared" si="5"/>
        <v>347.92166666666662</v>
      </c>
      <c r="U99" s="236">
        <f t="shared" ca="1" si="12"/>
        <v>17984.258279604779</v>
      </c>
      <c r="V99" s="237">
        <f t="shared" ca="1" si="13"/>
        <v>6.3749861527019362</v>
      </c>
      <c r="W99" s="237">
        <f t="shared" ca="1" si="14"/>
        <v>12749.972305403873</v>
      </c>
    </row>
    <row r="100" spans="1:23">
      <c r="A100" s="183"/>
      <c r="B100" s="124">
        <f t="shared" si="6"/>
        <v>80</v>
      </c>
      <c r="C100" s="115">
        <f t="shared" ca="1" si="7"/>
        <v>1598416.125</v>
      </c>
      <c r="D100" s="48">
        <f t="shared" ca="1" si="0"/>
        <v>10.988717454181915</v>
      </c>
      <c r="E100" s="120">
        <f t="shared" ca="1" si="8"/>
        <v>135660</v>
      </c>
      <c r="F100" s="116">
        <f t="shared" ca="1" si="1"/>
        <v>135.66</v>
      </c>
      <c r="G100" s="118">
        <f ca="1">C100/Summary!C$23</f>
        <v>22.801941868758917</v>
      </c>
      <c r="H100" s="119">
        <f ca="1">H99+('Dev Plan (Wind)'!C99/Summary!C$23)*Summary!C$27</f>
        <v>305857.03129504545</v>
      </c>
      <c r="I100" s="119">
        <f t="shared" si="9"/>
        <v>3977.3333333333353</v>
      </c>
      <c r="J100" s="119">
        <f t="shared" si="10"/>
        <v>23856.400000000041</v>
      </c>
      <c r="K100" s="119">
        <f t="shared" si="11"/>
        <v>27833.733333333377</v>
      </c>
      <c r="L100" s="122">
        <f ca="1">C99*Summary!C$16*Summary!C$17*24*375*1000*C$11</f>
        <v>1351407712500</v>
      </c>
      <c r="M100" s="122">
        <f t="shared" ca="1" si="2"/>
        <v>1356608962500</v>
      </c>
      <c r="N100" s="120">
        <f t="shared" ca="1" si="3"/>
        <v>38808</v>
      </c>
      <c r="O100" s="48">
        <f t="shared" ca="1" si="4"/>
        <v>76.900024629997986</v>
      </c>
      <c r="P100" s="115">
        <f ca="1">C100*Summary!$C$16</f>
        <v>7992080.625</v>
      </c>
      <c r="Q100" s="115">
        <f ca="1">P100*Summary!$C$17</f>
        <v>3196832.25</v>
      </c>
      <c r="R100" s="48">
        <f ca="1">Q100/'Alberta Electricity Profile'!$C$33</f>
        <v>214.50931020599879</v>
      </c>
      <c r="S100" s="235">
        <f ca="1">P100/'Alberta Electricity Profile'!$D$49</f>
        <v>61.221824418007863</v>
      </c>
      <c r="T100" s="236">
        <f t="shared" si="5"/>
        <v>347.92166666666662</v>
      </c>
      <c r="U100" s="236">
        <f t="shared" ca="1" si="12"/>
        <v>19144.90100853797</v>
      </c>
      <c r="V100" s="237">
        <f t="shared" ca="1" si="13"/>
        <v>6.3749861527019265</v>
      </c>
      <c r="W100" s="237">
        <f t="shared" ca="1" si="14"/>
        <v>12749.972305403853</v>
      </c>
    </row>
    <row r="101" spans="1:23">
      <c r="A101" s="183"/>
      <c r="B101" s="124">
        <f t="shared" si="6"/>
        <v>81</v>
      </c>
      <c r="C101" s="115">
        <f t="shared" ca="1" si="7"/>
        <v>1701463.125</v>
      </c>
      <c r="D101" s="48">
        <f t="shared" ca="1" si="0"/>
        <v>11.576211284302</v>
      </c>
      <c r="E101" s="120">
        <f t="shared" ca="1" si="8"/>
        <v>144377</v>
      </c>
      <c r="F101" s="116">
        <f t="shared" ca="1" si="1"/>
        <v>144.37700000000001</v>
      </c>
      <c r="G101" s="118">
        <f ca="1">C101/Summary!C$23</f>
        <v>24.271941868758915</v>
      </c>
      <c r="H101" s="119">
        <f ca="1">H100+('Dev Plan (Wind)'!C100/Summary!C$23)*Summary!C$27</f>
        <v>326236.79262130638</v>
      </c>
      <c r="I101" s="119">
        <f t="shared" si="9"/>
        <v>4027.050000000002</v>
      </c>
      <c r="J101" s="119">
        <f t="shared" si="10"/>
        <v>24154.605000000043</v>
      </c>
      <c r="K101" s="119">
        <f t="shared" si="11"/>
        <v>28181.655000000046</v>
      </c>
      <c r="L101" s="122">
        <f ca="1">C100*Summary!C$16*Summary!C$17*24*375*1000*C$11</f>
        <v>1438574512500</v>
      </c>
      <c r="M101" s="122">
        <f t="shared" ca="1" si="2"/>
        <v>1443775762500</v>
      </c>
      <c r="N101" s="120">
        <f t="shared" ca="1" si="3"/>
        <v>41330</v>
      </c>
      <c r="O101" s="48">
        <f t="shared" ca="1" si="4"/>
        <v>81.011358841163187</v>
      </c>
      <c r="P101" s="115">
        <f ca="1">C101*Summary!$C$16</f>
        <v>8507315.625</v>
      </c>
      <c r="Q101" s="115">
        <f ca="1">P101*Summary!$C$17</f>
        <v>3402926.25</v>
      </c>
      <c r="R101" s="48">
        <f ca="1">Q101/'Alberta Electricity Profile'!$C$33</f>
        <v>228.33833791853988</v>
      </c>
      <c r="S101" s="235">
        <f ca="1">P101/'Alberta Electricity Profile'!$D$49</f>
        <v>65.168684839478175</v>
      </c>
      <c r="T101" s="236">
        <f t="shared" si="5"/>
        <v>347.92166666666662</v>
      </c>
      <c r="U101" s="236">
        <f t="shared" ca="1" si="12"/>
        <v>20379.761326260923</v>
      </c>
      <c r="V101" s="237">
        <f t="shared" ca="1" si="13"/>
        <v>6.3749861527019203</v>
      </c>
      <c r="W101" s="237">
        <f t="shared" ca="1" si="14"/>
        <v>12749.97230540384</v>
      </c>
    </row>
    <row r="102" spans="1:23">
      <c r="A102" s="183"/>
      <c r="B102" s="124">
        <f t="shared" si="6"/>
        <v>82</v>
      </c>
      <c r="C102" s="115">
        <f t="shared" ca="1" si="7"/>
        <v>1811100.125</v>
      </c>
      <c r="D102" s="48">
        <f t="shared" ca="1" si="0"/>
        <v>12.195428078336541</v>
      </c>
      <c r="E102" s="120">
        <f t="shared" ca="1" si="8"/>
        <v>153651</v>
      </c>
      <c r="F102" s="116">
        <f t="shared" ca="1" si="1"/>
        <v>153.65100000000001</v>
      </c>
      <c r="G102" s="118">
        <f ca="1">C102/Summary!C$23</f>
        <v>25.835950427960057</v>
      </c>
      <c r="H102" s="119">
        <f ca="1">H101+('Dev Plan (Wind)'!C101/Summary!C$23)*Summary!C$27</f>
        <v>347930.40034372226</v>
      </c>
      <c r="I102" s="119">
        <f t="shared" si="9"/>
        <v>4076.7666666666687</v>
      </c>
      <c r="J102" s="119">
        <f t="shared" si="10"/>
        <v>24452.810000000045</v>
      </c>
      <c r="K102" s="119">
        <f t="shared" si="11"/>
        <v>28529.576666666715</v>
      </c>
      <c r="L102" s="122">
        <f ca="1">C101*Summary!C$16*Summary!C$17*24*375*1000*C$11</f>
        <v>1531316812500</v>
      </c>
      <c r="M102" s="122">
        <f t="shared" ca="1" si="2"/>
        <v>1536518062500</v>
      </c>
      <c r="N102" s="120">
        <f t="shared" ca="1" si="3"/>
        <v>44014</v>
      </c>
      <c r="O102" s="48">
        <f t="shared" ca="1" si="4"/>
        <v>85.344693182601105</v>
      </c>
      <c r="P102" s="115">
        <f ca="1">C102*Summary!$C$16</f>
        <v>9055500.625</v>
      </c>
      <c r="Q102" s="115">
        <f ca="1">P102*Summary!$C$17</f>
        <v>3622200.25</v>
      </c>
      <c r="R102" s="48">
        <f ca="1">Q102/'Alberta Electricity Profile'!$C$33</f>
        <v>243.05175132523652</v>
      </c>
      <c r="S102" s="235">
        <f ca="1">P102/'Alberta Electricity Profile'!$D$49</f>
        <v>69.367952513731112</v>
      </c>
      <c r="T102" s="236">
        <f t="shared" si="5"/>
        <v>347.92166666666662</v>
      </c>
      <c r="U102" s="236">
        <f t="shared" ca="1" si="12"/>
        <v>21693.60772241588</v>
      </c>
      <c r="V102" s="237">
        <f t="shared" ca="1" si="13"/>
        <v>6.374986152701922</v>
      </c>
      <c r="W102" s="237">
        <f t="shared" ca="1" si="14"/>
        <v>12749.972305403844</v>
      </c>
    </row>
    <row r="103" spans="1:23">
      <c r="A103" s="183"/>
      <c r="B103" s="124">
        <f t="shared" si="6"/>
        <v>83</v>
      </c>
      <c r="C103" s="115">
        <f t="shared" ca="1" si="7"/>
        <v>1927749.125</v>
      </c>
      <c r="D103" s="48">
        <f t="shared" ca="1" si="0"/>
        <v>12.848130835194754</v>
      </c>
      <c r="E103" s="120">
        <f t="shared" ca="1" si="8"/>
        <v>163519</v>
      </c>
      <c r="F103" s="116">
        <f t="shared" ca="1" si="1"/>
        <v>163.51900000000001</v>
      </c>
      <c r="G103" s="118">
        <f ca="1">C103/Summary!C$23</f>
        <v>27.49998751783167</v>
      </c>
      <c r="H103" s="119">
        <f ca="1">H102+('Dev Plan (Wind)'!C102/Summary!C$23)*Summary!C$27</f>
        <v>371021.87677978573</v>
      </c>
      <c r="I103" s="119">
        <f t="shared" si="9"/>
        <v>4126.4833333333354</v>
      </c>
      <c r="J103" s="119">
        <f t="shared" si="10"/>
        <v>24751.015000000047</v>
      </c>
      <c r="K103" s="119">
        <f t="shared" si="11"/>
        <v>28877.49833333338</v>
      </c>
      <c r="L103" s="122">
        <f ca="1">C102*Summary!C$16*Summary!C$17*24*375*1000*C$11</f>
        <v>1629990112500</v>
      </c>
      <c r="M103" s="122">
        <f t="shared" ca="1" si="2"/>
        <v>1635191362500</v>
      </c>
      <c r="N103" s="120">
        <f t="shared" ca="1" si="3"/>
        <v>46870</v>
      </c>
      <c r="O103" s="48">
        <f t="shared" ca="1" si="4"/>
        <v>89.912365277888483</v>
      </c>
      <c r="P103" s="115">
        <f ca="1">C103*Summary!$C$16</f>
        <v>9638745.625</v>
      </c>
      <c r="Q103" s="115">
        <f ca="1">P103*Summary!$C$17</f>
        <v>3855498.25</v>
      </c>
      <c r="R103" s="48">
        <f ca="1">Q103/'Alberta Electricity Profile'!$C$33</f>
        <v>258.7061833187949</v>
      </c>
      <c r="S103" s="235">
        <f ca="1">P103/'Alberta Electricity Profile'!$D$49</f>
        <v>73.835790697318131</v>
      </c>
      <c r="T103" s="236">
        <f t="shared" si="5"/>
        <v>347.92166666666662</v>
      </c>
      <c r="U103" s="236">
        <f t="shared" ca="1" si="12"/>
        <v>23091.476436063473</v>
      </c>
      <c r="V103" s="237">
        <f t="shared" ca="1" si="13"/>
        <v>6.3749861527019309</v>
      </c>
      <c r="W103" s="237">
        <f t="shared" ca="1" si="14"/>
        <v>12749.972305403862</v>
      </c>
    </row>
    <row r="104" spans="1:23">
      <c r="A104" s="183"/>
      <c r="B104" s="164">
        <f t="shared" si="6"/>
        <v>84</v>
      </c>
      <c r="C104" s="115">
        <f t="shared" ca="1" si="7"/>
        <v>2051858.125</v>
      </c>
      <c r="D104" s="48">
        <f t="shared" ca="1" si="0"/>
        <v>13.536182704484711</v>
      </c>
      <c r="E104" s="120">
        <f t="shared" ca="1" si="8"/>
        <v>174017</v>
      </c>
      <c r="F104" s="116">
        <f t="shared" ca="1" si="1"/>
        <v>174.017</v>
      </c>
      <c r="G104" s="118">
        <f ca="1">C104/Summary!C$23</f>
        <v>29.270444008559203</v>
      </c>
      <c r="H104" s="119">
        <f ca="1">H103+('Dev Plan (Wind)'!C103/Summary!C$23)*Summary!C$27</f>
        <v>395600.62473530223</v>
      </c>
      <c r="I104" s="119">
        <f t="shared" si="9"/>
        <v>4176.2000000000016</v>
      </c>
      <c r="J104" s="119">
        <f t="shared" si="10"/>
        <v>25049.220000000048</v>
      </c>
      <c r="K104" s="119">
        <f t="shared" si="11"/>
        <v>29225.420000000049</v>
      </c>
      <c r="L104" s="122">
        <f ca="1">C103*Summary!C$16*Summary!C$17*24*375*1000*C$11</f>
        <v>1734974212500</v>
      </c>
      <c r="M104" s="122">
        <f t="shared" ca="1" si="2"/>
        <v>1740175462500</v>
      </c>
      <c r="N104" s="120">
        <f t="shared" ca="1" si="3"/>
        <v>49908</v>
      </c>
      <c r="O104" s="48">
        <f t="shared" ca="1" si="4"/>
        <v>94.727413614123378</v>
      </c>
      <c r="P104" s="115">
        <f ca="1">C104*Summary!$C$16</f>
        <v>10259290.625</v>
      </c>
      <c r="Q104" s="115">
        <f ca="1">P104*Summary!$C$17</f>
        <v>4103716.25</v>
      </c>
      <c r="R104" s="48">
        <f ca="1">Q104/'Alberta Electricity Profile'!$C$33</f>
        <v>275.3617560222774</v>
      </c>
      <c r="S104" s="235">
        <f ca="1">P104/'Alberta Electricity Profile'!$D$49</f>
        <v>78.589358487241753</v>
      </c>
      <c r="T104" s="236">
        <f t="shared" si="5"/>
        <v>347.92166666666662</v>
      </c>
      <c r="U104" s="236">
        <f t="shared" ca="1" si="12"/>
        <v>24578.747955516505</v>
      </c>
      <c r="V104" s="237">
        <f t="shared" ca="1" si="13"/>
        <v>6.3749861527019247</v>
      </c>
      <c r="W104" s="237">
        <f t="shared" ca="1" si="14"/>
        <v>12749.97230540385</v>
      </c>
    </row>
    <row r="105" spans="1:23">
      <c r="A105" s="183"/>
      <c r="B105" s="124">
        <f t="shared" si="6"/>
        <v>85</v>
      </c>
      <c r="C105" s="115">
        <f t="shared" ca="1" si="7"/>
        <v>2183904.125</v>
      </c>
      <c r="D105" s="48">
        <f t="shared" ca="1" si="0"/>
        <v>14.26155230469117</v>
      </c>
      <c r="E105" s="120">
        <f t="shared" ca="1" si="8"/>
        <v>185187</v>
      </c>
      <c r="F105" s="116">
        <f t="shared" ca="1" si="1"/>
        <v>185.18700000000001</v>
      </c>
      <c r="G105" s="118">
        <f ca="1">C105/Summary!C$23</f>
        <v>31.154124465049929</v>
      </c>
      <c r="H105" s="119">
        <f ca="1">H104+('Dev Plan (Wind)'!C104/Summary!C$23)*Summary!C$27</f>
        <v>421761.75900367013</v>
      </c>
      <c r="I105" s="119">
        <f t="shared" si="9"/>
        <v>4225.9166666666679</v>
      </c>
      <c r="J105" s="119">
        <f t="shared" si="10"/>
        <v>25347.42500000005</v>
      </c>
      <c r="K105" s="119">
        <f t="shared" si="11"/>
        <v>29573.341666666718</v>
      </c>
      <c r="L105" s="122">
        <f ca="1">C104*Summary!C$16*Summary!C$17*24*375*1000*C$11</f>
        <v>1846672312500</v>
      </c>
      <c r="M105" s="122">
        <f t="shared" ca="1" si="2"/>
        <v>1851873562500</v>
      </c>
      <c r="N105" s="120">
        <f t="shared" ca="1" si="3"/>
        <v>53141</v>
      </c>
      <c r="O105" s="48">
        <f t="shared" ca="1" si="4"/>
        <v>99.803614759007715</v>
      </c>
      <c r="P105" s="115">
        <f ca="1">C105*Summary!$C$16</f>
        <v>10919520.625</v>
      </c>
      <c r="Q105" s="115">
        <f ca="1">P105*Summary!$C$17</f>
        <v>4367808.25</v>
      </c>
      <c r="R105" s="48">
        <f ca="1">Q105/'Alberta Electricity Profile'!$C$33</f>
        <v>293.08248339260552</v>
      </c>
      <c r="S105" s="235">
        <f ca="1">P105/'Alberta Electricity Profile'!$D$49</f>
        <v>83.646925725622978</v>
      </c>
      <c r="T105" s="236">
        <f t="shared" si="5"/>
        <v>347.92166666666662</v>
      </c>
      <c r="U105" s="236">
        <f t="shared" ca="1" si="12"/>
        <v>26161.134268367896</v>
      </c>
      <c r="V105" s="237">
        <f t="shared" ca="1" si="13"/>
        <v>6.3749861527019309</v>
      </c>
      <c r="W105" s="237">
        <f t="shared" ca="1" si="14"/>
        <v>12749.972305403862</v>
      </c>
    </row>
    <row r="106" spans="1:23">
      <c r="A106" s="183"/>
      <c r="B106" s="124">
        <f t="shared" si="6"/>
        <v>86</v>
      </c>
      <c r="C106" s="115">
        <f t="shared" ca="1" si="7"/>
        <v>2324394.125</v>
      </c>
      <c r="D106" s="48">
        <f t="shared" ca="1" si="0"/>
        <v>15.026319948670057</v>
      </c>
      <c r="E106" s="120">
        <f t="shared" ca="1" si="8"/>
        <v>197071</v>
      </c>
      <c r="F106" s="116">
        <f t="shared" ca="1" si="1"/>
        <v>197.071</v>
      </c>
      <c r="G106" s="118">
        <f ca="1">C106/Summary!C$23</f>
        <v>33.158261412268189</v>
      </c>
      <c r="H106" s="119">
        <f ca="1">H105+('Dev Plan (Wind)'!C105/Summary!C$23)*Summary!C$27</f>
        <v>449606.47611507738</v>
      </c>
      <c r="I106" s="119">
        <f t="shared" si="9"/>
        <v>4275.6333333333341</v>
      </c>
      <c r="J106" s="119">
        <f t="shared" si="10"/>
        <v>25645.630000000052</v>
      </c>
      <c r="K106" s="119">
        <f t="shared" si="11"/>
        <v>29921.263333333387</v>
      </c>
      <c r="L106" s="122">
        <f ca="1">C105*Summary!C$16*Summary!C$17*24*375*1000*C$11</f>
        <v>1965513712500</v>
      </c>
      <c r="M106" s="122">
        <f t="shared" ca="1" si="2"/>
        <v>1970714962500</v>
      </c>
      <c r="N106" s="120">
        <f t="shared" ca="1" si="3"/>
        <v>56581</v>
      </c>
      <c r="O106" s="48">
        <f t="shared" ca="1" si="4"/>
        <v>105.15552692741285</v>
      </c>
      <c r="P106" s="115">
        <f ca="1">C106*Summary!$C$16</f>
        <v>11621970.625</v>
      </c>
      <c r="Q106" s="115">
        <f ca="1">P106*Summary!$C$17</f>
        <v>4648788.25</v>
      </c>
      <c r="R106" s="48">
        <f ca="1">Q106/'Alberta Electricity Profile'!$C$33</f>
        <v>311.93640542172716</v>
      </c>
      <c r="S106" s="235">
        <f ca="1">P106/'Alberta Electricity Profile'!$D$49</f>
        <v>89.027911301257063</v>
      </c>
      <c r="T106" s="236">
        <f t="shared" si="5"/>
        <v>347.92166666666662</v>
      </c>
      <c r="U106" s="236">
        <f t="shared" ca="1" si="12"/>
        <v>27844.717111407255</v>
      </c>
      <c r="V106" s="237">
        <f t="shared" ca="1" si="13"/>
        <v>6.3749861527019309</v>
      </c>
      <c r="W106" s="237">
        <f t="shared" ca="1" si="14"/>
        <v>12749.972305403862</v>
      </c>
    </row>
    <row r="107" spans="1:23">
      <c r="A107" s="183"/>
      <c r="B107" s="124">
        <f t="shared" si="6"/>
        <v>87</v>
      </c>
      <c r="C107" s="115">
        <f t="shared" ca="1" si="7"/>
        <v>2473868.125</v>
      </c>
      <c r="D107" s="48">
        <f t="shared" ca="1" si="0"/>
        <v>15.83268386101806</v>
      </c>
      <c r="E107" s="120">
        <f t="shared" ca="1" si="8"/>
        <v>209715</v>
      </c>
      <c r="F107" s="116">
        <f t="shared" ca="1" si="1"/>
        <v>209.715</v>
      </c>
      <c r="G107" s="118">
        <f ca="1">C107/Summary!C$23</f>
        <v>35.290558131241085</v>
      </c>
      <c r="H107" s="119">
        <f ca="1">H106+('Dev Plan (Wind)'!C106/Summary!C$23)*Summary!C$27</f>
        <v>479242.43683567084</v>
      </c>
      <c r="I107" s="119">
        <f t="shared" si="9"/>
        <v>4325.3500000000004</v>
      </c>
      <c r="J107" s="119">
        <f t="shared" si="10"/>
        <v>25943.835000000054</v>
      </c>
      <c r="K107" s="119">
        <f t="shared" si="11"/>
        <v>30269.185000000056</v>
      </c>
      <c r="L107" s="122">
        <f ca="1">C106*Summary!C$16*Summary!C$17*24*375*1000*C$11</f>
        <v>2091954712500</v>
      </c>
      <c r="M107" s="122">
        <f t="shared" ca="1" si="2"/>
        <v>2097155962500</v>
      </c>
      <c r="N107" s="120">
        <f t="shared" ca="1" si="3"/>
        <v>60241</v>
      </c>
      <c r="O107" s="48">
        <f t="shared" ca="1" si="4"/>
        <v>110.79853349108646</v>
      </c>
      <c r="P107" s="115">
        <f ca="1">C107*Summary!$C$16</f>
        <v>12369340.625</v>
      </c>
      <c r="Q107" s="115">
        <f ca="1">P107*Summary!$C$17</f>
        <v>4947736.25</v>
      </c>
      <c r="R107" s="48">
        <f ca="1">Q107/'Alberta Electricity Profile'!$C$33</f>
        <v>331.99599074011945</v>
      </c>
      <c r="S107" s="235">
        <f ca="1">P107/'Alberta Electricity Profile'!$D$49</f>
        <v>94.752998054280965</v>
      </c>
      <c r="T107" s="236">
        <f t="shared" si="5"/>
        <v>347.92166666666662</v>
      </c>
      <c r="U107" s="236">
        <f t="shared" ca="1" si="12"/>
        <v>29635.960720593459</v>
      </c>
      <c r="V107" s="237">
        <f t="shared" ca="1" si="13"/>
        <v>6.3749861527019345</v>
      </c>
      <c r="W107" s="237">
        <f t="shared" ca="1" si="14"/>
        <v>12749.97230540387</v>
      </c>
    </row>
    <row r="108" spans="1:23">
      <c r="A108" s="183"/>
      <c r="B108" s="124">
        <f t="shared" si="6"/>
        <v>88</v>
      </c>
      <c r="C108" s="115">
        <f t="shared" ca="1" si="7"/>
        <v>2632900.125</v>
      </c>
      <c r="D108" s="48">
        <f t="shared" ca="1" si="0"/>
        <v>16.682967220829532</v>
      </c>
      <c r="E108" s="120">
        <f t="shared" ca="1" si="8"/>
        <v>223168</v>
      </c>
      <c r="F108" s="116">
        <f t="shared" ca="1" si="1"/>
        <v>223.16800000000001</v>
      </c>
      <c r="G108" s="118">
        <f ca="1">C108/Summary!C$23</f>
        <v>37.559202924393723</v>
      </c>
      <c r="H108" s="119">
        <f ca="1">H107+('Dev Plan (Wind)'!C107/Summary!C$23)*Summary!C$27</f>
        <v>510784.18691664224</v>
      </c>
      <c r="I108" s="119">
        <f t="shared" si="9"/>
        <v>4375.0666666666666</v>
      </c>
      <c r="J108" s="119">
        <f t="shared" si="10"/>
        <v>26242.040000000055</v>
      </c>
      <c r="K108" s="119">
        <f t="shared" si="11"/>
        <v>30617.106666666721</v>
      </c>
      <c r="L108" s="122">
        <f ca="1">C107*Summary!C$16*Summary!C$17*24*375*1000*C$11</f>
        <v>2226481312500</v>
      </c>
      <c r="M108" s="122">
        <f t="shared" ca="1" si="2"/>
        <v>2231682562500</v>
      </c>
      <c r="N108" s="120">
        <f t="shared" ca="1" si="3"/>
        <v>64136</v>
      </c>
      <c r="O108" s="48">
        <f t="shared" ca="1" si="4"/>
        <v>116.74889226449325</v>
      </c>
      <c r="P108" s="115">
        <f ca="1">C108*Summary!$C$16</f>
        <v>13164500.625</v>
      </c>
      <c r="Q108" s="115">
        <f ca="1">P108*Summary!$C$17</f>
        <v>5265800.25</v>
      </c>
      <c r="R108" s="48">
        <f ca="1">Q108/'Alberta Electricity Profile'!$C$33</f>
        <v>353.33827081795613</v>
      </c>
      <c r="S108" s="235">
        <f ca="1">P108/'Alberta Electricity Profile'!$D$49</f>
        <v>100.84417107772917</v>
      </c>
      <c r="T108" s="236">
        <f t="shared" si="5"/>
        <v>347.92166666666662</v>
      </c>
      <c r="U108" s="236">
        <f t="shared" ca="1" si="12"/>
        <v>31541.750080971397</v>
      </c>
      <c r="V108" s="237">
        <f t="shared" ca="1" si="13"/>
        <v>6.3749861527019345</v>
      </c>
      <c r="W108" s="237">
        <f t="shared" ca="1" si="14"/>
        <v>12749.97230540387</v>
      </c>
    </row>
    <row r="109" spans="1:23">
      <c r="A109" s="183"/>
      <c r="B109" s="124">
        <f t="shared" si="6"/>
        <v>89</v>
      </c>
      <c r="C109" s="115">
        <f t="shared" ca="1" si="7"/>
        <v>2802102.125</v>
      </c>
      <c r="D109" s="48">
        <f t="shared" ca="1" si="0"/>
        <v>17.579625141414713</v>
      </c>
      <c r="E109" s="120">
        <f t="shared" ca="1" si="8"/>
        <v>237481</v>
      </c>
      <c r="F109" s="116">
        <f t="shared" ca="1" si="1"/>
        <v>237.48099999999999</v>
      </c>
      <c r="G109" s="118">
        <f ca="1">C109/Summary!C$23</f>
        <v>39.972926176890155</v>
      </c>
      <c r="H109" s="119">
        <f ca="1">H108+('Dev Plan (Wind)'!C108/Summary!C$23)*Summary!C$27</f>
        <v>544353.59059328656</v>
      </c>
      <c r="I109" s="119">
        <f t="shared" si="9"/>
        <v>4424.7833333333328</v>
      </c>
      <c r="J109" s="119">
        <f t="shared" si="10"/>
        <v>26540.245000000057</v>
      </c>
      <c r="K109" s="119">
        <f t="shared" si="11"/>
        <v>30965.02833333339</v>
      </c>
      <c r="L109" s="122">
        <f ca="1">C108*Summary!C$16*Summary!C$17*24*375*1000*C$11</f>
        <v>2369610112500</v>
      </c>
      <c r="M109" s="122">
        <f t="shared" ca="1" si="2"/>
        <v>2374811362500</v>
      </c>
      <c r="N109" s="120">
        <f t="shared" ca="1" si="3"/>
        <v>68279</v>
      </c>
      <c r="O109" s="48">
        <f t="shared" ca="1" si="4"/>
        <v>123.02378434950562</v>
      </c>
      <c r="P109" s="115">
        <f ca="1">C109*Summary!$C$16</f>
        <v>14010510.625</v>
      </c>
      <c r="Q109" s="115">
        <f ca="1">P109*Summary!$C$17</f>
        <v>5604204.25</v>
      </c>
      <c r="R109" s="48">
        <f ca="1">Q109/'Alberta Electricity Profile'!$C$33</f>
        <v>376.04537676977787</v>
      </c>
      <c r="S109" s="235">
        <f ca="1">P109/'Alberta Electricity Profile'!$D$49</f>
        <v>107.32487092375692</v>
      </c>
      <c r="T109" s="236">
        <f t="shared" si="5"/>
        <v>347.92166666666662</v>
      </c>
      <c r="U109" s="236">
        <f t="shared" ca="1" si="12"/>
        <v>33569.403676644317</v>
      </c>
      <c r="V109" s="237">
        <f t="shared" ca="1" si="13"/>
        <v>6.3749861527019211</v>
      </c>
      <c r="W109" s="237">
        <f t="shared" ca="1" si="14"/>
        <v>12749.972305403842</v>
      </c>
    </row>
    <row r="110" spans="1:23">
      <c r="A110" s="183"/>
      <c r="B110" s="124">
        <f t="shared" si="6"/>
        <v>90</v>
      </c>
      <c r="C110" s="115">
        <f t="shared" ca="1" si="7"/>
        <v>2982124.125</v>
      </c>
      <c r="D110" s="48">
        <f t="shared" ca="1" si="0"/>
        <v>18.525252813419009</v>
      </c>
      <c r="E110" s="120">
        <f t="shared" ca="1" si="8"/>
        <v>252709</v>
      </c>
      <c r="F110" s="116">
        <f t="shared" ca="1" si="1"/>
        <v>252.709</v>
      </c>
      <c r="G110" s="118">
        <f ca="1">C110/Summary!C$23</f>
        <v>42.541000356633383</v>
      </c>
      <c r="H110" s="119">
        <f ca="1">H109+('Dev Plan (Wind)'!C109/Summary!C$23)*Summary!C$27</f>
        <v>580080.31508394983</v>
      </c>
      <c r="I110" s="119">
        <f t="shared" si="9"/>
        <v>4474.4999999999991</v>
      </c>
      <c r="J110" s="119">
        <f t="shared" si="10"/>
        <v>26838.450000000059</v>
      </c>
      <c r="K110" s="119">
        <f t="shared" si="11"/>
        <v>31312.950000000059</v>
      </c>
      <c r="L110" s="122">
        <f ca="1">C109*Summary!C$16*Summary!C$17*24*375*1000*C$11</f>
        <v>2521891912500</v>
      </c>
      <c r="M110" s="122">
        <f t="shared" ca="1" si="2"/>
        <v>2527093162500</v>
      </c>
      <c r="N110" s="120">
        <f t="shared" ca="1" si="3"/>
        <v>72687</v>
      </c>
      <c r="O110" s="48">
        <f t="shared" ca="1" si="4"/>
        <v>129.64137112167839</v>
      </c>
      <c r="P110" s="115">
        <f ca="1">C110*Summary!$C$16</f>
        <v>14910620.625</v>
      </c>
      <c r="Q110" s="115">
        <f ca="1">P110*Summary!$C$17</f>
        <v>5964248.25</v>
      </c>
      <c r="R110" s="48">
        <f ca="1">Q110/'Alberta Electricity Profile'!$C$33</f>
        <v>400.2045393544924</v>
      </c>
      <c r="S110" s="235">
        <f ca="1">P110/'Alberta Electricity Profile'!$D$49</f>
        <v>114.21999360364018</v>
      </c>
      <c r="T110" s="236">
        <f t="shared" si="5"/>
        <v>347.92166666666662</v>
      </c>
      <c r="U110" s="236">
        <f t="shared" ca="1" si="12"/>
        <v>35726.72449066327</v>
      </c>
      <c r="V110" s="237">
        <f t="shared" ca="1" si="13"/>
        <v>6.3749861527019238</v>
      </c>
      <c r="W110" s="237">
        <f t="shared" ca="1" si="14"/>
        <v>12749.972305403848</v>
      </c>
    </row>
    <row r="111" spans="1:23">
      <c r="A111" s="183"/>
      <c r="B111" s="124">
        <f t="shared" si="6"/>
        <v>91</v>
      </c>
      <c r="C111" s="115">
        <f t="shared" ca="1" si="7"/>
        <v>3173658.125</v>
      </c>
      <c r="D111" s="48">
        <f t="shared" ca="1" si="0"/>
        <v>19.522593111033281</v>
      </c>
      <c r="E111" s="120">
        <f t="shared" ca="1" si="8"/>
        <v>268911</v>
      </c>
      <c r="F111" s="116">
        <f t="shared" ca="1" si="1"/>
        <v>268.911</v>
      </c>
      <c r="G111" s="118">
        <f ca="1">C111/Summary!C$23</f>
        <v>45.27329707560628</v>
      </c>
      <c r="H111" s="119">
        <f ca="1">H110+('Dev Plan (Wind)'!C110/Summary!C$23)*Summary!C$27</f>
        <v>618102.31508897652</v>
      </c>
      <c r="I111" s="119">
        <f t="shared" si="9"/>
        <v>4524.2166666666653</v>
      </c>
      <c r="J111" s="119">
        <f t="shared" si="10"/>
        <v>27136.655000000061</v>
      </c>
      <c r="K111" s="119">
        <f t="shared" si="11"/>
        <v>31660.871666666724</v>
      </c>
      <c r="L111" s="122">
        <f ca="1">C110*Summary!C$16*Summary!C$17*24*375*1000*C$11</f>
        <v>2683911712500</v>
      </c>
      <c r="M111" s="122">
        <f t="shared" ca="1" si="2"/>
        <v>2689112962500</v>
      </c>
      <c r="N111" s="120">
        <f t="shared" ca="1" si="3"/>
        <v>77377</v>
      </c>
      <c r="O111" s="48">
        <f t="shared" ca="1" si="4"/>
        <v>136.62084745918668</v>
      </c>
      <c r="P111" s="115">
        <f ca="1">C111*Summary!$C$16</f>
        <v>15868290.625</v>
      </c>
      <c r="Q111" s="115">
        <f ca="1">P111*Summary!$C$17</f>
        <v>6347316.25</v>
      </c>
      <c r="R111" s="48">
        <f ca="1">Q111/'Alberta Electricity Profile'!$C$33</f>
        <v>425.9086257800443</v>
      </c>
      <c r="S111" s="235">
        <f ca="1">P111/'Alberta Electricity Profile'!$D$49</f>
        <v>121.55604379399891</v>
      </c>
      <c r="T111" s="236">
        <f t="shared" si="5"/>
        <v>347.92166666666662</v>
      </c>
      <c r="U111" s="236">
        <f t="shared" ca="1" si="12"/>
        <v>38022.000005026697</v>
      </c>
      <c r="V111" s="237">
        <f t="shared" ca="1" si="13"/>
        <v>6.3749861527019265</v>
      </c>
      <c r="W111" s="237">
        <f t="shared" ca="1" si="14"/>
        <v>12749.972305403853</v>
      </c>
    </row>
    <row r="112" spans="1:23">
      <c r="A112" s="183"/>
      <c r="B112" s="124">
        <f t="shared" si="6"/>
        <v>92</v>
      </c>
      <c r="C112" s="115">
        <f ca="1">C111+E112-N112</f>
        <v>3377440.125</v>
      </c>
      <c r="D112" s="48">
        <f t="shared" ca="1" si="0"/>
        <v>20.574545295455643</v>
      </c>
      <c r="E112" s="120">
        <f t="shared" ca="1" si="8"/>
        <v>286149</v>
      </c>
      <c r="F112" s="116">
        <f t="shared" ca="1" si="1"/>
        <v>286.149</v>
      </c>
      <c r="G112" s="118">
        <f ca="1">C112/Summary!C$23</f>
        <v>48.180315620542082</v>
      </c>
      <c r="H112" s="119">
        <f ca="1">H111+('Dev Plan (Wind)'!C111/Summary!C$23)*Summary!C$27</f>
        <v>658566.36828954646</v>
      </c>
      <c r="I112" s="119">
        <f t="shared" si="9"/>
        <v>4573.9333333333316</v>
      </c>
      <c r="J112" s="119">
        <f t="shared" si="10"/>
        <v>27434.860000000062</v>
      </c>
      <c r="K112" s="119">
        <f t="shared" si="11"/>
        <v>32008.793333333393</v>
      </c>
      <c r="L112" s="122">
        <f ca="1">C111*Summary!C$16*Summary!C$17*24*375*1000*C$11</f>
        <v>2856292312500</v>
      </c>
      <c r="M112" s="122">
        <f t="shared" ca="1" si="2"/>
        <v>2861493562500</v>
      </c>
      <c r="N112" s="120">
        <f t="shared" ca="1" si="3"/>
        <v>82367</v>
      </c>
      <c r="O112" s="48">
        <f t="shared" ca="1" si="4"/>
        <v>143.98250265042779</v>
      </c>
      <c r="P112" s="115">
        <f ca="1">C112*Summary!$C$16</f>
        <v>16887200.625</v>
      </c>
      <c r="Q112" s="115">
        <f ca="1">P112*Summary!$C$17</f>
        <v>6754880.25</v>
      </c>
      <c r="R112" s="48">
        <f ca="1">Q112/'Alberta Electricity Profile'!$C$33</f>
        <v>453.25640810575049</v>
      </c>
      <c r="S112" s="235">
        <f ca="1">P112/'Alberta Electricity Profile'!$D$49</f>
        <v>129.36121143990869</v>
      </c>
      <c r="T112" s="236">
        <f t="shared" si="5"/>
        <v>347.92166666666662</v>
      </c>
      <c r="U112" s="236">
        <f t="shared" ca="1" si="12"/>
        <v>40464.053200569935</v>
      </c>
      <c r="V112" s="237">
        <f t="shared" ca="1" si="13"/>
        <v>6.3749861527019291</v>
      </c>
      <c r="W112" s="237">
        <f t="shared" ca="1" si="14"/>
        <v>12749.972305403859</v>
      </c>
    </row>
    <row r="113" spans="1:23">
      <c r="A113" s="183"/>
      <c r="B113" s="124">
        <f t="shared" si="6"/>
        <v>93</v>
      </c>
      <c r="C113" s="115">
        <f t="shared" ca="1" si="7"/>
        <v>3594253.125</v>
      </c>
      <c r="D113" s="48">
        <f t="shared" ca="1" si="0"/>
        <v>21.68417394492781</v>
      </c>
      <c r="E113" s="120">
        <f t="shared" ca="1" si="8"/>
        <v>304489</v>
      </c>
      <c r="F113" s="116">
        <f t="shared" ca="1" si="1"/>
        <v>304.48899999999998</v>
      </c>
      <c r="G113" s="118">
        <f ca="1">C113/Summary!C$23</f>
        <v>51.273225748930102</v>
      </c>
      <c r="H113" s="119">
        <f ca="1">H112+('Dev Plan (Wind)'!C112/Summary!C$23)*Summary!C$27</f>
        <v>701628.63634645625</v>
      </c>
      <c r="I113" s="119">
        <f t="shared" si="9"/>
        <v>4623.6499999999978</v>
      </c>
      <c r="J113" s="119">
        <f t="shared" si="10"/>
        <v>27733.065000000064</v>
      </c>
      <c r="K113" s="119">
        <f t="shared" si="11"/>
        <v>32356.715000000062</v>
      </c>
      <c r="L113" s="122">
        <f ca="1">C112*Summary!C$16*Summary!C$17*24*375*1000*C$11</f>
        <v>3039696112500</v>
      </c>
      <c r="M113" s="122">
        <f t="shared" ca="1" si="2"/>
        <v>3044897362500</v>
      </c>
      <c r="N113" s="120">
        <f t="shared" ca="1" si="3"/>
        <v>87676</v>
      </c>
      <c r="O113" s="48">
        <f t="shared" ca="1" si="4"/>
        <v>151.74778288721174</v>
      </c>
      <c r="P113" s="115">
        <f ca="1">C113*Summary!$C$16</f>
        <v>17971265.625</v>
      </c>
      <c r="Q113" s="115">
        <f ca="1">P113*Summary!$C$17</f>
        <v>7188506.25</v>
      </c>
      <c r="R113" s="48">
        <f ca="1">Q113/'Alberta Electricity Profile'!$C$33</f>
        <v>482.35296584580288</v>
      </c>
      <c r="S113" s="235">
        <f ca="1">P113/'Alberta Electricity Profile'!$D$49</f>
        <v>137.6654866595681</v>
      </c>
      <c r="T113" s="236">
        <f t="shared" si="5"/>
        <v>347.92166666666662</v>
      </c>
      <c r="U113" s="236">
        <f t="shared" ca="1" si="12"/>
        <v>43062.268056909787</v>
      </c>
      <c r="V113" s="237">
        <f t="shared" ca="1" si="13"/>
        <v>6.3749861527019354</v>
      </c>
      <c r="W113" s="237">
        <f t="shared" ca="1" si="14"/>
        <v>12749.972305403871</v>
      </c>
    </row>
    <row r="114" spans="1:23">
      <c r="A114" s="183"/>
      <c r="B114" s="124">
        <f t="shared" si="6"/>
        <v>94</v>
      </c>
      <c r="C114" s="115">
        <f t="shared" ca="1" si="7"/>
        <v>3824931.125</v>
      </c>
      <c r="D114" s="48">
        <f t="shared" ca="1" si="0"/>
        <v>22.854718484325495</v>
      </c>
      <c r="E114" s="120">
        <f t="shared" ca="1" si="8"/>
        <v>324002</v>
      </c>
      <c r="F114" s="116">
        <f t="shared" ca="1" si="1"/>
        <v>324.00200000000001</v>
      </c>
      <c r="G114" s="118">
        <f ca="1">C114/Summary!C$23</f>
        <v>54.563924750356634</v>
      </c>
      <c r="H114" s="119">
        <f ca="1">H113+('Dev Plan (Wind)'!C113/Summary!C$23)*Summary!C$27</f>
        <v>747455.26414881751</v>
      </c>
      <c r="I114" s="119">
        <f t="shared" si="9"/>
        <v>4673.3666666666641</v>
      </c>
      <c r="J114" s="119">
        <f t="shared" si="10"/>
        <v>28031.270000000066</v>
      </c>
      <c r="K114" s="119">
        <f t="shared" si="11"/>
        <v>32704.636666666731</v>
      </c>
      <c r="L114" s="122">
        <f ca="1">C113*Summary!C$16*Summary!C$17*24*375*1000*C$11</f>
        <v>3234827812500</v>
      </c>
      <c r="M114" s="122">
        <f t="shared" ca="1" si="2"/>
        <v>3240029062500</v>
      </c>
      <c r="N114" s="120">
        <f t="shared" ca="1" si="3"/>
        <v>93324</v>
      </c>
      <c r="O114" s="48">
        <f t="shared" ca="1" si="4"/>
        <v>159.93935795368463</v>
      </c>
      <c r="P114" s="115">
        <f ca="1">C114*Summary!$C$16</f>
        <v>19124655.625</v>
      </c>
      <c r="Q114" s="115">
        <f ca="1">P114*Summary!$C$17</f>
        <v>7649862.25</v>
      </c>
      <c r="R114" s="48">
        <f ca="1">Q114/'Alberta Electricity Profile'!$C$33</f>
        <v>513.31022277393811</v>
      </c>
      <c r="S114" s="235">
        <f ca="1">P114/'Alberta Electricity Profile'!$D$49</f>
        <v>146.50081295052206</v>
      </c>
      <c r="T114" s="236">
        <f t="shared" si="5"/>
        <v>347.92166666666662</v>
      </c>
      <c r="U114" s="236">
        <f t="shared" ca="1" si="12"/>
        <v>45826.627802361269</v>
      </c>
      <c r="V114" s="237">
        <f t="shared" ca="1" si="13"/>
        <v>6.3749861527019283</v>
      </c>
      <c r="W114" s="237">
        <f t="shared" ca="1" si="14"/>
        <v>12749.972305403857</v>
      </c>
    </row>
    <row r="115" spans="1:23">
      <c r="A115" s="183"/>
      <c r="B115" s="124">
        <f t="shared" si="6"/>
        <v>95</v>
      </c>
      <c r="C115" s="115">
        <f t="shared" ca="1" si="7"/>
        <v>4070360.125</v>
      </c>
      <c r="D115" s="48">
        <f t="shared" ca="1" si="0"/>
        <v>24.089603655873631</v>
      </c>
      <c r="E115" s="120">
        <f t="shared" ca="1" si="8"/>
        <v>344763</v>
      </c>
      <c r="F115" s="116">
        <f t="shared" ca="1" si="1"/>
        <v>344.76299999999998</v>
      </c>
      <c r="G115" s="118">
        <f ca="1">C115/Summary!C$23</f>
        <v>58.065051711840226</v>
      </c>
      <c r="H115" s="119">
        <f ca="1">H114+('Dev Plan (Wind)'!C114/Summary!C$23)*Summary!C$27</f>
        <v>796223.03006264474</v>
      </c>
      <c r="I115" s="119">
        <f t="shared" si="9"/>
        <v>4723.0833333333303</v>
      </c>
      <c r="J115" s="119">
        <f t="shared" si="10"/>
        <v>28329.475000000068</v>
      </c>
      <c r="K115" s="119">
        <f t="shared" si="11"/>
        <v>33052.5583333334</v>
      </c>
      <c r="L115" s="122">
        <f ca="1">C114*Summary!C$16*Summary!C$17*24*375*1000*C$11</f>
        <v>3442438012500</v>
      </c>
      <c r="M115" s="122">
        <f t="shared" ca="1" si="2"/>
        <v>3447639262500</v>
      </c>
      <c r="N115" s="120">
        <f t="shared" ca="1" si="3"/>
        <v>99334</v>
      </c>
      <c r="O115" s="48">
        <f t="shared" ca="1" si="4"/>
        <v>168.58119450132759</v>
      </c>
      <c r="P115" s="115">
        <f ca="1">C115*Summary!$C$16</f>
        <v>20351800.625</v>
      </c>
      <c r="Q115" s="115">
        <f ca="1">P115*Summary!$C$17</f>
        <v>8140720.25</v>
      </c>
      <c r="R115" s="48">
        <f ca="1">Q115/'Alberta Electricity Profile'!$C$33</f>
        <v>546.24708112460576</v>
      </c>
      <c r="S115" s="235">
        <f ca="1">P115/'Alberta Electricity Profile'!$D$49</f>
        <v>155.90112549121744</v>
      </c>
      <c r="T115" s="236">
        <f t="shared" si="5"/>
        <v>347.92166666666662</v>
      </c>
      <c r="U115" s="236">
        <f t="shared" ca="1" si="12"/>
        <v>48767.765913827228</v>
      </c>
      <c r="V115" s="237">
        <f t="shared" ca="1" si="13"/>
        <v>6.37498615270193</v>
      </c>
      <c r="W115" s="237">
        <f t="shared" ca="1" si="14"/>
        <v>12749.97230540386</v>
      </c>
    </row>
    <row r="116" spans="1:23">
      <c r="A116" s="183"/>
      <c r="B116" s="124">
        <f t="shared" si="6"/>
        <v>96</v>
      </c>
      <c r="C116" s="115">
        <f t="shared" ca="1" si="7"/>
        <v>4331485.125</v>
      </c>
      <c r="D116" s="48">
        <f t="shared" ca="1" si="0"/>
        <v>25.392449717172124</v>
      </c>
      <c r="E116" s="120">
        <f t="shared" ca="1" si="8"/>
        <v>366852</v>
      </c>
      <c r="F116" s="116">
        <f t="shared" ca="1" si="1"/>
        <v>366.85199999999998</v>
      </c>
      <c r="G116" s="118">
        <f ca="1">C116/Summary!C$23</f>
        <v>61.790087375178317</v>
      </c>
      <c r="H116" s="119">
        <f ca="1">H115+('Dev Plan (Wind)'!C115/Summary!C$23)*Summary!C$27</f>
        <v>848120.00892941491</v>
      </c>
      <c r="I116" s="119">
        <f t="shared" si="9"/>
        <v>4772.7999999999965</v>
      </c>
      <c r="J116" s="119">
        <f t="shared" si="10"/>
        <v>28627.680000000069</v>
      </c>
      <c r="K116" s="119">
        <f t="shared" si="11"/>
        <v>33400.480000000069</v>
      </c>
      <c r="L116" s="122">
        <f ca="1">C115*Summary!C$16*Summary!C$17*24*375*1000*C$11</f>
        <v>3663324112500</v>
      </c>
      <c r="M116" s="122">
        <f t="shared" ca="1" si="2"/>
        <v>3668525362500</v>
      </c>
      <c r="N116" s="120">
        <f t="shared" ca="1" si="3"/>
        <v>105727</v>
      </c>
      <c r="O116" s="48">
        <f t="shared" ca="1" si="4"/>
        <v>177.69862741565026</v>
      </c>
      <c r="P116" s="115">
        <f ca="1">C116*Summary!$C$16</f>
        <v>21657425.625</v>
      </c>
      <c r="Q116" s="115">
        <f ca="1">P116*Summary!$C$17</f>
        <v>8662970.25</v>
      </c>
      <c r="R116" s="48">
        <f ca="1">Q116/'Alberta Electricity Profile'!$C$33</f>
        <v>581.2903610011407</v>
      </c>
      <c r="S116" s="235">
        <f ca="1">P116/'Alberta Electricity Profile'!$D$49</f>
        <v>165.90261925189401</v>
      </c>
      <c r="T116" s="236">
        <f t="shared" si="5"/>
        <v>347.92166666666662</v>
      </c>
      <c r="U116" s="236">
        <f t="shared" ca="1" si="12"/>
        <v>51896.978866770165</v>
      </c>
      <c r="V116" s="237">
        <f t="shared" ca="1" si="13"/>
        <v>6.3749861527019265</v>
      </c>
      <c r="W116" s="237">
        <f t="shared" ca="1" si="14"/>
        <v>12749.972305403853</v>
      </c>
    </row>
    <row r="117" spans="1:23">
      <c r="A117" s="183"/>
      <c r="B117" s="124">
        <f t="shared" si="6"/>
        <v>97</v>
      </c>
      <c r="C117" s="115">
        <f t="shared" ca="1" si="7"/>
        <v>4609308.125</v>
      </c>
      <c r="D117" s="48">
        <f t="shared" ca="1" si="0"/>
        <v>26.767084652979818</v>
      </c>
      <c r="E117" s="120">
        <f t="shared" ca="1" si="8"/>
        <v>390353</v>
      </c>
      <c r="F117" s="116">
        <f t="shared" ca="1" si="1"/>
        <v>390.35300000000001</v>
      </c>
      <c r="G117" s="118">
        <f ca="1">C117/Summary!C$23</f>
        <v>65.753325606276746</v>
      </c>
      <c r="H117" s="119">
        <f ca="1">H116+('Dev Plan (Wind)'!C116/Summary!C$23)*Summary!C$27</f>
        <v>903346.32431443362</v>
      </c>
      <c r="I117" s="119">
        <f t="shared" si="9"/>
        <v>4822.5166666666628</v>
      </c>
      <c r="J117" s="119">
        <f t="shared" si="10"/>
        <v>28925.885000000071</v>
      </c>
      <c r="K117" s="119">
        <f t="shared" si="11"/>
        <v>33748.40166666673</v>
      </c>
      <c r="L117" s="122">
        <f ca="1">C116*Summary!C$16*Summary!C$17*24*375*1000*C$11</f>
        <v>3898336612500</v>
      </c>
      <c r="M117" s="122">
        <f t="shared" ca="1" si="2"/>
        <v>3903537862500</v>
      </c>
      <c r="N117" s="120">
        <f t="shared" ca="1" si="3"/>
        <v>112530</v>
      </c>
      <c r="O117" s="48">
        <f t="shared" ca="1" si="4"/>
        <v>187.318445275344</v>
      </c>
      <c r="P117" s="115">
        <f ca="1">C117*Summary!$C$16</f>
        <v>23046540.625</v>
      </c>
      <c r="Q117" s="115">
        <f ca="1">P117*Summary!$C$17</f>
        <v>9218616.25</v>
      </c>
      <c r="R117" s="48">
        <f ca="1">Q117/'Alberta Electricity Profile'!$C$33</f>
        <v>618.57453197342818</v>
      </c>
      <c r="S117" s="235">
        <f ca="1">P117/'Alberta Electricity Profile'!$D$49</f>
        <v>176.54367239147254</v>
      </c>
      <c r="T117" s="236">
        <f t="shared" si="5"/>
        <v>347.92166666666662</v>
      </c>
      <c r="U117" s="236">
        <f t="shared" ca="1" si="12"/>
        <v>55226.315385018708</v>
      </c>
      <c r="V117" s="237">
        <f t="shared" ca="1" si="13"/>
        <v>6.374986152701922</v>
      </c>
      <c r="W117" s="237">
        <f t="shared" ca="1" si="14"/>
        <v>12749.972305403844</v>
      </c>
    </row>
    <row r="118" spans="1:23">
      <c r="A118" s="183"/>
      <c r="B118" s="124">
        <f t="shared" si="6"/>
        <v>98</v>
      </c>
      <c r="C118" s="115">
        <f t="shared" ca="1" si="7"/>
        <v>4904898.125</v>
      </c>
      <c r="D118" s="48">
        <f t="shared" ca="1" si="0"/>
        <v>28.217554891458619</v>
      </c>
      <c r="E118" s="120">
        <f t="shared" ca="1" si="8"/>
        <v>415357</v>
      </c>
      <c r="F118" s="116">
        <f t="shared" ca="1" si="1"/>
        <v>415.35700000000003</v>
      </c>
      <c r="G118" s="118">
        <f ca="1">C118/Summary!C$23</f>
        <v>69.970016048502146</v>
      </c>
      <c r="H118" s="119">
        <f ca="1">H117+('Dev Plan (Wind)'!C117/Summary!C$23)*Summary!C$27</f>
        <v>962114.87525525654</v>
      </c>
      <c r="I118" s="119">
        <f t="shared" si="9"/>
        <v>4872.233333333329</v>
      </c>
      <c r="J118" s="119">
        <f t="shared" si="10"/>
        <v>29224.090000000073</v>
      </c>
      <c r="K118" s="119">
        <f t="shared" si="11"/>
        <v>34096.323333333399</v>
      </c>
      <c r="L118" s="122">
        <f ca="1">C117*Summary!C$16*Summary!C$17*24*375*1000*C$11</f>
        <v>4148377312500</v>
      </c>
      <c r="M118" s="122">
        <f t="shared" ca="1" si="2"/>
        <v>4153578562500</v>
      </c>
      <c r="N118" s="120">
        <f t="shared" ca="1" si="3"/>
        <v>119767</v>
      </c>
      <c r="O118" s="48">
        <f t="shared" ca="1" si="4"/>
        <v>197.46896534551385</v>
      </c>
      <c r="P118" s="115">
        <f ca="1">C118*Summary!$C$16</f>
        <v>24524490.625</v>
      </c>
      <c r="Q118" s="115">
        <f ca="1">P118*Summary!$C$17</f>
        <v>9809796.25</v>
      </c>
      <c r="R118" s="48">
        <f ca="1">Q118/'Alberta Electricity Profile'!$C$33</f>
        <v>658.24305508957923</v>
      </c>
      <c r="S118" s="235">
        <f ca="1">P118/'Alberta Electricity Profile'!$D$49</f>
        <v>187.86522927311307</v>
      </c>
      <c r="T118" s="236">
        <f t="shared" si="5"/>
        <v>347.92166666666662</v>
      </c>
      <c r="U118" s="236">
        <f t="shared" ca="1" si="12"/>
        <v>58768.550940822926</v>
      </c>
      <c r="V118" s="237">
        <f t="shared" ca="1" si="13"/>
        <v>6.374986152701922</v>
      </c>
      <c r="W118" s="237">
        <f t="shared" ca="1" si="14"/>
        <v>12749.972305403844</v>
      </c>
    </row>
    <row r="119" spans="1:23">
      <c r="A119" s="183"/>
      <c r="B119" s="124">
        <f t="shared" si="6"/>
        <v>99</v>
      </c>
      <c r="C119" s="115">
        <f t="shared" ca="1" si="7"/>
        <v>5219390.125</v>
      </c>
      <c r="D119" s="48">
        <f t="shared" ca="1" si="0"/>
        <v>29.748139072574585</v>
      </c>
      <c r="E119" s="120">
        <f t="shared" ca="1" si="8"/>
        <v>441960</v>
      </c>
      <c r="F119" s="116">
        <f t="shared" ca="1" si="1"/>
        <v>441.96</v>
      </c>
      <c r="G119" s="118">
        <f ca="1">C119/Summary!C$23</f>
        <v>74.456349857346652</v>
      </c>
      <c r="H119" s="119">
        <f ca="1">H118+('Dev Plan (Wind)'!C118/Summary!C$23)*Summary!C$27</f>
        <v>1024652.1905098339</v>
      </c>
      <c r="I119" s="119">
        <f t="shared" si="9"/>
        <v>4921.9499999999953</v>
      </c>
      <c r="J119" s="119">
        <f t="shared" si="10"/>
        <v>29522.295000000075</v>
      </c>
      <c r="K119" s="119">
        <f t="shared" si="11"/>
        <v>34444.245000000068</v>
      </c>
      <c r="L119" s="122">
        <f ca="1">C118*Summary!C$16*Summary!C$17*24*375*1000*C$11</f>
        <v>4414408312500</v>
      </c>
      <c r="M119" s="122">
        <f t="shared" ca="1" si="2"/>
        <v>4419609562500</v>
      </c>
      <c r="N119" s="120">
        <f t="shared" ca="1" si="3"/>
        <v>127468</v>
      </c>
      <c r="O119" s="48">
        <f t="shared" ca="1" si="4"/>
        <v>208.18012993017703</v>
      </c>
      <c r="P119" s="115">
        <f ca="1">C119*Summary!$C$16</f>
        <v>26096950.625</v>
      </c>
      <c r="Q119" s="115">
        <f ca="1">P119*Summary!$C$17</f>
        <v>10438780.25</v>
      </c>
      <c r="R119" s="48">
        <f ca="1">Q119/'Alberta Electricity Profile'!$C$33</f>
        <v>700.44824867476348</v>
      </c>
      <c r="S119" s="235">
        <f ca="1">P119/'Alberta Electricity Profile'!$D$49</f>
        <v>199.91076216265904</v>
      </c>
      <c r="T119" s="236">
        <f t="shared" si="5"/>
        <v>347.92166666666662</v>
      </c>
      <c r="U119" s="236">
        <f t="shared" ca="1" si="12"/>
        <v>62537.315254577319</v>
      </c>
      <c r="V119" s="237">
        <f t="shared" ca="1" si="13"/>
        <v>6.37498615270193</v>
      </c>
      <c r="W119" s="237">
        <f t="shared" ca="1" si="14"/>
        <v>12749.97230540386</v>
      </c>
    </row>
    <row r="120" spans="1:23">
      <c r="A120" s="183"/>
      <c r="B120" s="124">
        <f t="shared" si="6"/>
        <v>100</v>
      </c>
      <c r="C120" s="115">
        <f t="shared" ca="1" si="7"/>
        <v>5553995.125</v>
      </c>
      <c r="D120" s="48">
        <f t="shared" ca="1" si="0"/>
        <v>31.363360623933929</v>
      </c>
      <c r="E120" s="120">
        <f t="shared" ca="1" si="8"/>
        <v>470265</v>
      </c>
      <c r="F120" s="116">
        <f t="shared" ca="1" si="1"/>
        <v>470.26499999999999</v>
      </c>
      <c r="G120" s="118">
        <f ca="1">C120/Summary!C$23</f>
        <v>79.229602353780308</v>
      </c>
      <c r="H120" s="119">
        <f ca="1">H119+('Dev Plan (Wind)'!C119/Summary!C$23)*Summary!C$27</f>
        <v>1091199.2700546822</v>
      </c>
      <c r="I120" s="119">
        <f t="shared" si="9"/>
        <v>4971.6666666666615</v>
      </c>
      <c r="J120" s="119">
        <f t="shared" si="10"/>
        <v>29820.500000000076</v>
      </c>
      <c r="K120" s="119">
        <f t="shared" si="11"/>
        <v>34792.166666666737</v>
      </c>
      <c r="L120" s="122">
        <f ca="1">C119*Summary!C$16*Summary!C$17*24*375*1000*C$11</f>
        <v>4697451112500</v>
      </c>
      <c r="M120" s="122">
        <f t="shared" ca="1" si="2"/>
        <v>4702652362500</v>
      </c>
      <c r="N120" s="120">
        <f t="shared" ca="1" si="3"/>
        <v>135660</v>
      </c>
      <c r="O120" s="48">
        <f t="shared" ca="1" si="4"/>
        <v>219.48359437908479</v>
      </c>
      <c r="P120" s="115">
        <f ca="1">C120*Summary!$C$16</f>
        <v>27769975.625</v>
      </c>
      <c r="Q120" s="115">
        <f ca="1">P120*Summary!$C$17</f>
        <v>11107990.25</v>
      </c>
      <c r="R120" s="48">
        <f ca="1">Q120/'Alberta Electricity Profile'!$C$33</f>
        <v>745.35263034288403</v>
      </c>
      <c r="S120" s="235">
        <f ca="1">P120/'Alberta Electricity Profile'!$D$49</f>
        <v>212.7266542441954</v>
      </c>
      <c r="T120" s="236">
        <f t="shared" si="5"/>
        <v>347.92166666666662</v>
      </c>
      <c r="U120" s="236">
        <f t="shared" ca="1" si="12"/>
        <v>66547.079544848297</v>
      </c>
      <c r="V120" s="237">
        <f t="shared" ca="1" si="13"/>
        <v>6.3749861527019203</v>
      </c>
      <c r="W120" s="237">
        <f t="shared" ca="1" si="14"/>
        <v>12749.97230540384</v>
      </c>
    </row>
    <row r="121" spans="1:23">
      <c r="A121" s="183"/>
      <c r="B121" s="164">
        <f t="shared" si="6"/>
        <v>101</v>
      </c>
      <c r="C121" s="115">
        <f t="shared" ca="1" si="7"/>
        <v>5909997.125</v>
      </c>
      <c r="D121" s="48">
        <f t="shared" ca="1" si="0"/>
        <v>33.06800321786644</v>
      </c>
      <c r="E121" s="120">
        <f t="shared" ca="1" si="8"/>
        <v>500379</v>
      </c>
      <c r="F121" s="116">
        <f t="shared" ca="1" si="1"/>
        <v>500.37900000000002</v>
      </c>
      <c r="G121" s="118">
        <f ca="1">C121/Summary!C$23</f>
        <v>84.308090228245362</v>
      </c>
      <c r="H121" s="119">
        <f ca="1">H120+('Dev Plan (Wind)'!C120/Summary!C$23)*Summary!C$27</f>
        <v>1162012.5540827801</v>
      </c>
      <c r="I121" s="119">
        <f t="shared" si="9"/>
        <v>5021.3833333333278</v>
      </c>
      <c r="J121" s="119">
        <f t="shared" si="10"/>
        <v>30118.705000000078</v>
      </c>
      <c r="K121" s="119">
        <f t="shared" si="11"/>
        <v>35140.088333333406</v>
      </c>
      <c r="L121" s="122">
        <f ca="1">C120*Summary!C$16*Summary!C$17*24*375*1000*C$11</f>
        <v>4998595612500</v>
      </c>
      <c r="M121" s="122">
        <f t="shared" ca="1" si="2"/>
        <v>5003796862500</v>
      </c>
      <c r="N121" s="120">
        <f t="shared" ca="1" si="3"/>
        <v>144377</v>
      </c>
      <c r="O121" s="48">
        <f t="shared" ca="1" si="4"/>
        <v>231.41283525777055</v>
      </c>
      <c r="P121" s="115">
        <f ca="1">C121*Summary!$C$16</f>
        <v>29549985.625</v>
      </c>
      <c r="Q121" s="115">
        <f ca="1">P121*Summary!$C$17</f>
        <v>11819994.25</v>
      </c>
      <c r="R121" s="48">
        <f ca="1">Q121/'Alberta Electricity Profile'!$C$33</f>
        <v>793.12851439307519</v>
      </c>
      <c r="S121" s="235">
        <f ca="1">P121/'Alberta Electricity Profile'!$D$49</f>
        <v>226.36208471538114</v>
      </c>
      <c r="T121" s="236">
        <f t="shared" si="5"/>
        <v>347.92166666666662</v>
      </c>
      <c r="U121" s="236">
        <f t="shared" ca="1" si="12"/>
        <v>70813.284028097987</v>
      </c>
      <c r="V121" s="237">
        <f t="shared" ca="1" si="13"/>
        <v>6.3749861527019238</v>
      </c>
      <c r="W121" s="237">
        <f t="shared" ca="1" si="14"/>
        <v>12749.972305403848</v>
      </c>
    </row>
    <row r="122" spans="1:23">
      <c r="A122" s="183"/>
      <c r="B122" s="124">
        <f t="shared" si="6"/>
        <v>102</v>
      </c>
      <c r="C122" s="115">
        <f t="shared" ca="1" si="7"/>
        <v>6288765.125</v>
      </c>
      <c r="D122" s="48">
        <f t="shared" ca="1" si="0"/>
        <v>34.86712424144222</v>
      </c>
      <c r="E122" s="120">
        <f t="shared" ca="1" si="8"/>
        <v>532419</v>
      </c>
      <c r="F122" s="116">
        <f t="shared" ca="1" si="1"/>
        <v>532.41899999999998</v>
      </c>
      <c r="G122" s="118">
        <f ca="1">C122/Summary!C$23</f>
        <v>89.711342724679028</v>
      </c>
      <c r="H122" s="119">
        <f ca="1">H121+('Dev Plan (Wind)'!C121/Summary!C$23)*Summary!C$27</f>
        <v>1237364.8537515465</v>
      </c>
      <c r="I122" s="119">
        <f t="shared" si="9"/>
        <v>5071.099999999994</v>
      </c>
      <c r="J122" s="119">
        <f t="shared" si="10"/>
        <v>30416.91000000008</v>
      </c>
      <c r="K122" s="119">
        <f t="shared" si="11"/>
        <v>35488.010000000075</v>
      </c>
      <c r="L122" s="122">
        <f ca="1">C121*Summary!C$16*Summary!C$17*24*375*1000*C$11</f>
        <v>5318997412500</v>
      </c>
      <c r="M122" s="122">
        <f t="shared" ca="1" si="2"/>
        <v>5324198662500</v>
      </c>
      <c r="N122" s="120">
        <f t="shared" ca="1" si="3"/>
        <v>153651</v>
      </c>
      <c r="O122" s="48">
        <f t="shared" ca="1" si="4"/>
        <v>244.00324461192798</v>
      </c>
      <c r="P122" s="115">
        <f ca="1">C122*Summary!$C$16</f>
        <v>31443825.625</v>
      </c>
      <c r="Q122" s="115">
        <f ca="1">P122*Summary!$C$17</f>
        <v>12577530.25</v>
      </c>
      <c r="R122" s="48">
        <f ca="1">Q122/'Alberta Electricity Profile'!$C$33</f>
        <v>843.95962222371338</v>
      </c>
      <c r="S122" s="235">
        <f ca="1">P122/'Alberta Electricity Profile'!$D$49</f>
        <v>240.86948840611905</v>
      </c>
      <c r="T122" s="236">
        <f t="shared" si="5"/>
        <v>347.92166666666662</v>
      </c>
      <c r="U122" s="236">
        <f t="shared" ca="1" si="12"/>
        <v>75352.299668766325</v>
      </c>
      <c r="V122" s="237">
        <f t="shared" ca="1" si="13"/>
        <v>6.3749861527019203</v>
      </c>
      <c r="W122" s="237">
        <f t="shared" ca="1" si="14"/>
        <v>12749.97230540384</v>
      </c>
    </row>
  </sheetData>
  <mergeCells count="3">
    <mergeCell ref="B1:N1"/>
    <mergeCell ref="B6:C6"/>
    <mergeCell ref="V19:W19"/>
  </mergeCells>
  <hyperlinks>
    <hyperlink ref="D7"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topLeftCell="C1" zoomScale="90" zoomScaleNormal="90" workbookViewId="0">
      <selection activeCell="P5" sqref="P5:P64"/>
    </sheetView>
  </sheetViews>
  <sheetFormatPr defaultColWidth="17.28515625" defaultRowHeight="15" customHeight="1"/>
  <cols>
    <col min="1" max="1" width="4.42578125" style="184" customWidth="1"/>
    <col min="2" max="2" width="8.85546875" customWidth="1"/>
    <col min="3" max="3" width="20.42578125" bestFit="1" customWidth="1"/>
    <col min="4" max="4" width="19.28515625" bestFit="1" customWidth="1"/>
    <col min="5" max="5" width="21.5703125" bestFit="1" customWidth="1"/>
    <col min="6" max="6" width="18.7109375" bestFit="1" customWidth="1"/>
    <col min="7" max="7" width="21.5703125" bestFit="1" customWidth="1"/>
    <col min="8" max="8" width="20.42578125" bestFit="1" customWidth="1"/>
    <col min="9" max="9" width="9.85546875" style="184" customWidth="1"/>
    <col min="10" max="10" width="13.5703125" customWidth="1"/>
    <col min="11" max="11" width="20.42578125" bestFit="1" customWidth="1"/>
    <col min="12" max="12" width="19.28515625" bestFit="1" customWidth="1"/>
    <col min="13" max="13" width="21.5703125" bestFit="1" customWidth="1"/>
    <col min="14" max="14" width="18.7109375" bestFit="1" customWidth="1"/>
    <col min="15" max="15" width="21.5703125" bestFit="1" customWidth="1"/>
    <col min="16" max="16" width="20.42578125" bestFit="1" customWidth="1"/>
  </cols>
  <sheetData>
    <row r="1" spans="1:17" ht="24.75" customHeight="1">
      <c r="A1" s="183"/>
      <c r="B1" s="381" t="s">
        <v>355</v>
      </c>
      <c r="C1" s="370"/>
      <c r="D1" s="370"/>
      <c r="E1" s="370"/>
      <c r="F1" s="370"/>
      <c r="G1" s="370"/>
      <c r="H1" s="370"/>
      <c r="I1" s="370"/>
      <c r="J1" s="370"/>
      <c r="K1" s="370"/>
      <c r="L1" s="370"/>
      <c r="M1" s="370"/>
      <c r="N1" s="370"/>
      <c r="O1" s="370"/>
      <c r="P1" s="370"/>
    </row>
    <row r="2" spans="1:17" s="184" customFormat="1" ht="15.75" thickBot="1">
      <c r="A2" s="183"/>
      <c r="B2" s="242"/>
      <c r="C2" s="183"/>
      <c r="D2" s="183"/>
      <c r="E2" s="183"/>
      <c r="F2" s="183"/>
      <c r="G2" s="183"/>
      <c r="H2" s="183"/>
      <c r="I2" s="183"/>
      <c r="J2" s="183"/>
      <c r="K2" s="183"/>
      <c r="L2" s="183"/>
      <c r="M2" s="183"/>
      <c r="N2" s="183"/>
      <c r="O2" s="183"/>
      <c r="P2" s="183"/>
    </row>
    <row r="3" spans="1:17" ht="15.75" customHeight="1" thickBot="1">
      <c r="A3" s="183"/>
      <c r="B3" s="378" t="s">
        <v>33</v>
      </c>
      <c r="C3" s="379"/>
      <c r="D3" s="379"/>
      <c r="E3" s="379"/>
      <c r="F3" s="379"/>
      <c r="G3" s="379"/>
      <c r="H3" s="380"/>
      <c r="I3" s="183"/>
      <c r="J3" s="378" t="s">
        <v>44</v>
      </c>
      <c r="K3" s="379"/>
      <c r="L3" s="379"/>
      <c r="M3" s="379"/>
      <c r="N3" s="379"/>
      <c r="O3" s="379"/>
      <c r="P3" s="380"/>
      <c r="Q3" s="182"/>
    </row>
    <row r="4" spans="1:17" ht="15.75" customHeight="1" thickBot="1">
      <c r="A4" s="183"/>
      <c r="B4" s="35" t="s">
        <v>45</v>
      </c>
      <c r="C4" s="7" t="s">
        <v>368</v>
      </c>
      <c r="D4" s="7" t="s">
        <v>364</v>
      </c>
      <c r="E4" s="7" t="s">
        <v>365</v>
      </c>
      <c r="F4" s="7" t="s">
        <v>47</v>
      </c>
      <c r="G4" s="7" t="s">
        <v>366</v>
      </c>
      <c r="H4" s="7" t="s">
        <v>367</v>
      </c>
      <c r="I4" s="243"/>
      <c r="J4" s="35" t="s">
        <v>45</v>
      </c>
      <c r="K4" s="181" t="s">
        <v>368</v>
      </c>
      <c r="L4" s="37" t="s">
        <v>364</v>
      </c>
      <c r="M4" s="7" t="s">
        <v>365</v>
      </c>
      <c r="N4" s="7" t="s">
        <v>47</v>
      </c>
      <c r="O4" s="7" t="s">
        <v>366</v>
      </c>
      <c r="P4" s="7" t="s">
        <v>367</v>
      </c>
    </row>
    <row r="5" spans="1:17">
      <c r="A5" s="183"/>
      <c r="B5" s="47">
        <v>1</v>
      </c>
      <c r="C5" s="48">
        <v>0</v>
      </c>
      <c r="D5" s="48">
        <v>0</v>
      </c>
      <c r="E5" s="48">
        <v>0</v>
      </c>
      <c r="F5" s="48">
        <v>0</v>
      </c>
      <c r="G5" s="48">
        <v>0</v>
      </c>
      <c r="H5" s="48">
        <v>0</v>
      </c>
      <c r="I5" s="244"/>
      <c r="J5" s="47">
        <v>1</v>
      </c>
      <c r="K5" s="48">
        <v>0</v>
      </c>
      <c r="L5" s="48">
        <v>0</v>
      </c>
      <c r="M5" s="48">
        <v>0</v>
      </c>
      <c r="N5" s="48">
        <v>0</v>
      </c>
      <c r="O5" s="48">
        <v>0</v>
      </c>
      <c r="P5" s="48">
        <v>0</v>
      </c>
    </row>
    <row r="6" spans="1:17">
      <c r="A6" s="183"/>
      <c r="B6" s="47">
        <v>2</v>
      </c>
      <c r="C6" s="48">
        <v>4.7651382341917358E-3</v>
      </c>
      <c r="D6" s="48">
        <v>9.5302764683834716E-3</v>
      </c>
      <c r="E6" s="48">
        <v>1.4295414702575206E-2</v>
      </c>
      <c r="F6" s="48">
        <v>1.9060552936766943E-2</v>
      </c>
      <c r="G6" s="48">
        <v>2.3825691170958677E-2</v>
      </c>
      <c r="H6" s="48">
        <v>2.8590829405150411E-2</v>
      </c>
      <c r="I6" s="244"/>
      <c r="J6" s="47">
        <v>2</v>
      </c>
      <c r="K6" s="48">
        <v>4.7651382341917358E-3</v>
      </c>
      <c r="L6" s="48">
        <v>9.5302764683834716E-3</v>
      </c>
      <c r="M6" s="48">
        <v>1.4295414702575206E-2</v>
      </c>
      <c r="N6" s="48">
        <v>1.9060552936766943E-2</v>
      </c>
      <c r="O6" s="48">
        <v>2.3825691170958677E-2</v>
      </c>
      <c r="P6" s="48">
        <v>2.8590829405150411E-2</v>
      </c>
    </row>
    <row r="7" spans="1:17">
      <c r="A7" s="183"/>
      <c r="B7" s="47">
        <v>3</v>
      </c>
      <c r="C7" s="48">
        <v>9.8104664438618573E-3</v>
      </c>
      <c r="D7" s="48">
        <v>1.9620932887723715E-2</v>
      </c>
      <c r="E7" s="48">
        <v>2.9443614698363919E-2</v>
      </c>
      <c r="F7" s="48">
        <v>3.9254081142225783E-2</v>
      </c>
      <c r="G7" s="48">
        <v>4.907676295286599E-2</v>
      </c>
      <c r="H7" s="48">
        <v>5.8887229396727837E-2</v>
      </c>
      <c r="I7" s="244"/>
      <c r="J7" s="47">
        <v>3</v>
      </c>
      <c r="K7" s="48">
        <v>9.9204047448670021E-3</v>
      </c>
      <c r="L7" s="48">
        <v>1.9853024856512354E-2</v>
      </c>
      <c r="M7" s="48">
        <v>2.9785644968157703E-2</v>
      </c>
      <c r="N7" s="48">
        <v>3.9718265079803056E-2</v>
      </c>
      <c r="O7" s="48">
        <v>4.9650885191448405E-2</v>
      </c>
      <c r="P7" s="48">
        <v>5.9571289936315407E-2</v>
      </c>
    </row>
    <row r="8" spans="1:17">
      <c r="A8" s="183"/>
      <c r="B8" s="47">
        <v>4</v>
      </c>
      <c r="C8" s="48">
        <v>1.5154880274495632E-2</v>
      </c>
      <c r="D8" s="48">
        <v>3.0318922074075026E-2</v>
      </c>
      <c r="E8" s="48">
        <v>4.5501286923821944E-2</v>
      </c>
      <c r="F8" s="48">
        <v>6.0665328723401343E-2</v>
      </c>
      <c r="G8" s="48">
        <v>7.5847693573148259E-2</v>
      </c>
      <c r="H8" s="48">
        <v>9.1011735372727651E-2</v>
      </c>
      <c r="I8" s="244"/>
      <c r="J8" s="47">
        <v>4</v>
      </c>
      <c r="K8" s="48">
        <v>1.5512179752762353E-2</v>
      </c>
      <c r="L8" s="48">
        <v>3.1051844080775992E-2</v>
      </c>
      <c r="M8" s="48">
        <v>4.6591508408789631E-2</v>
      </c>
      <c r="N8" s="48">
        <v>6.2122011211719508E-2</v>
      </c>
      <c r="O8" s="48">
        <v>7.7661675539733147E-2</v>
      </c>
      <c r="P8" s="48">
        <v>9.3183016817579262E-2</v>
      </c>
    </row>
    <row r="9" spans="1:17">
      <c r="A9" s="183"/>
      <c r="B9" s="47">
        <v>5</v>
      </c>
      <c r="C9" s="48">
        <v>2.0824146515391134E-2</v>
      </c>
      <c r="D9" s="48">
        <v>4.1670280690983295E-2</v>
      </c>
      <c r="E9" s="48">
        <v>6.253840252677649E-2</v>
      </c>
      <c r="F9" s="48">
        <v>8.3377207482301652E-2</v>
      </c>
      <c r="G9" s="48">
        <v>0.10424532931809485</v>
      </c>
      <c r="H9" s="48">
        <v>0.12509146349368699</v>
      </c>
      <c r="I9" s="244"/>
      <c r="J9" s="47">
        <v>5</v>
      </c>
      <c r="K9" s="48">
        <v>2.1586385402360138E-2</v>
      </c>
      <c r="L9" s="48">
        <v>4.3209416905055323E-2</v>
      </c>
      <c r="M9" s="48">
        <v>6.4832448407750515E-2</v>
      </c>
      <c r="N9" s="48">
        <v>8.6440821470311693E-2</v>
      </c>
      <c r="O9" s="48">
        <v>0.10807118219307386</v>
      </c>
      <c r="P9" s="48">
        <v>0.12967222603556802</v>
      </c>
    </row>
    <row r="10" spans="1:17">
      <c r="A10" s="183"/>
      <c r="B10" s="47">
        <v>6</v>
      </c>
      <c r="C10" s="48">
        <v>2.6839069463092741E-2</v>
      </c>
      <c r="D10" s="48">
        <v>5.371478502652053E-2</v>
      </c>
      <c r="E10" s="48">
        <v>8.0621039006894213E-2</v>
      </c>
      <c r="F10" s="48">
        <v>0.10748453920354364</v>
      </c>
      <c r="G10" s="48">
        <v>0.13438468550052815</v>
      </c>
      <c r="H10" s="48">
        <v>0.16126040106395592</v>
      </c>
      <c r="I10" s="244"/>
      <c r="J10" s="47">
        <v>6</v>
      </c>
      <c r="K10" s="48">
        <v>2.8182759808711176E-2</v>
      </c>
      <c r="L10" s="48">
        <v>5.6414381084535746E-2</v>
      </c>
      <c r="M10" s="48">
        <v>8.4646002360360323E-2</v>
      </c>
      <c r="N10" s="48">
        <v>0.11285930058601738</v>
      </c>
      <c r="O10" s="48">
        <v>0.14110924491200949</v>
      </c>
      <c r="P10" s="48">
        <v>0.16931643545427735</v>
      </c>
    </row>
    <row r="11" spans="1:17">
      <c r="A11" s="183"/>
      <c r="B11" s="47">
        <v>7</v>
      </c>
      <c r="C11" s="48">
        <v>3.3224270716263063E-2</v>
      </c>
      <c r="D11" s="48">
        <v>6.6500893004433334E-2</v>
      </c>
      <c r="E11" s="48">
        <v>9.9819396550129391E-2</v>
      </c>
      <c r="F11" s="48">
        <v>0.13308031336672749</v>
      </c>
      <c r="G11" s="48">
        <v>0.16638311144085138</v>
      </c>
      <c r="H11" s="48">
        <v>0.19965973372902163</v>
      </c>
      <c r="I11" s="244"/>
      <c r="J11" s="47">
        <v>7</v>
      </c>
      <c r="K11" s="48">
        <v>3.5354979692886576E-2</v>
      </c>
      <c r="L11" s="48">
        <v>7.077278127206181E-2</v>
      </c>
      <c r="M11" s="48">
        <v>0.10618534769404632</v>
      </c>
      <c r="N11" s="48">
        <v>0.14158220864445867</v>
      </c>
      <c r="O11" s="48">
        <v>0.1770261860095875</v>
      </c>
      <c r="P11" s="48">
        <v>0.21241781180280914</v>
      </c>
    </row>
    <row r="12" spans="1:17">
      <c r="A12" s="183"/>
      <c r="B12" s="47">
        <v>8</v>
      </c>
      <c r="C12" s="48">
        <v>4.0005803361859056E-2</v>
      </c>
      <c r="D12" s="48">
        <v>8.0080318161846326E-2</v>
      </c>
      <c r="E12" s="48">
        <v>0.12020980211233617</v>
      </c>
      <c r="F12" s="48">
        <v>0.16026599386215593</v>
      </c>
      <c r="G12" s="48">
        <v>0.20036799323739451</v>
      </c>
      <c r="H12" s="48">
        <v>0.24044250803738174</v>
      </c>
      <c r="I12" s="244"/>
      <c r="J12" s="47">
        <v>8</v>
      </c>
      <c r="K12" s="48">
        <v>4.3157367990673198E-2</v>
      </c>
      <c r="L12" s="48">
        <v>8.6392608944558386E-2</v>
      </c>
      <c r="M12" s="48">
        <v>0.1296186883733598</v>
      </c>
      <c r="N12" s="48">
        <v>0.17283102551453558</v>
      </c>
      <c r="O12" s="48">
        <v>0.21609833180621393</v>
      </c>
      <c r="P12" s="48">
        <v>0.25930608818484779</v>
      </c>
    </row>
    <row r="13" spans="1:17">
      <c r="A13" s="183"/>
      <c r="B13" s="47">
        <v>9</v>
      </c>
      <c r="C13" s="48">
        <v>4.7210356703857356E-2</v>
      </c>
      <c r="D13" s="48">
        <v>9.451029276408926E-2</v>
      </c>
      <c r="E13" s="48">
        <v>0.14187130565821293</v>
      </c>
      <c r="F13" s="48">
        <v>0.18915088277381428</v>
      </c>
      <c r="G13" s="48">
        <v>0.23647524956760294</v>
      </c>
      <c r="H13" s="48">
        <v>0.28377111383890868</v>
      </c>
      <c r="I13" s="244"/>
      <c r="J13" s="47">
        <v>9</v>
      </c>
      <c r="K13" s="48">
        <v>5.1652678422250423E-2</v>
      </c>
      <c r="L13" s="48">
        <v>0.10339900798980153</v>
      </c>
      <c r="M13" s="48">
        <v>0.15512905040164815</v>
      </c>
      <c r="N13" s="48">
        <v>0.20685094923564254</v>
      </c>
      <c r="O13" s="48">
        <v>0.25863392490352871</v>
      </c>
      <c r="P13" s="48">
        <v>0.31035175194859699</v>
      </c>
    </row>
    <row r="14" spans="1:17">
      <c r="A14" s="183"/>
      <c r="B14" s="47">
        <v>10</v>
      </c>
      <c r="C14" s="48">
        <v>5.4868602764778007E-2</v>
      </c>
      <c r="D14" s="48">
        <v>0.10984714383056113</v>
      </c>
      <c r="E14" s="48">
        <v>0.16489531248698086</v>
      </c>
      <c r="F14" s="48">
        <v>0.219851865892563</v>
      </c>
      <c r="G14" s="48">
        <v>0.27485239461854721</v>
      </c>
      <c r="H14" s="48">
        <v>0.32982360646426329</v>
      </c>
      <c r="I14" s="244"/>
      <c r="J14" s="47">
        <v>10</v>
      </c>
      <c r="K14" s="48">
        <v>6.0907880099993948E-2</v>
      </c>
      <c r="L14" s="48">
        <v>0.12192569850099304</v>
      </c>
      <c r="M14" s="48">
        <v>0.18292152924179106</v>
      </c>
      <c r="N14" s="48">
        <v>0.24391369537255561</v>
      </c>
      <c r="O14" s="48">
        <v>0.30497182448392324</v>
      </c>
      <c r="P14" s="48">
        <v>0.36596032600465433</v>
      </c>
    </row>
    <row r="15" spans="1:17">
      <c r="A15" s="183"/>
      <c r="B15" s="47">
        <v>11</v>
      </c>
      <c r="C15" s="48">
        <v>6.3013385959073714E-2</v>
      </c>
      <c r="D15" s="48">
        <v>0.12615336753748668</v>
      </c>
      <c r="E15" s="48">
        <v>0.18937663570757021</v>
      </c>
      <c r="F15" s="48">
        <v>0.25249329704031542</v>
      </c>
      <c r="G15" s="48">
        <v>0.31565659886439618</v>
      </c>
      <c r="H15" s="48">
        <v>0.37878991751547547</v>
      </c>
      <c r="I15" s="244"/>
      <c r="J15" s="47">
        <v>11</v>
      </c>
      <c r="K15" s="48">
        <v>7.0995572904780577E-2</v>
      </c>
      <c r="L15" s="48">
        <v>0.14212107289256723</v>
      </c>
      <c r="M15" s="48">
        <v>0.21321992117101929</v>
      </c>
      <c r="N15" s="48">
        <v>0.2843154379858045</v>
      </c>
      <c r="O15" s="48">
        <v>0.35548424700125991</v>
      </c>
      <c r="P15" s="48">
        <v>0.42657976381604518</v>
      </c>
    </row>
    <row r="16" spans="1:17">
      <c r="A16" s="183"/>
      <c r="B16" s="47">
        <v>12</v>
      </c>
      <c r="C16" s="48">
        <v>7.1675764088130117E-2</v>
      </c>
      <c r="D16" s="48">
        <v>0.14349811257760042</v>
      </c>
      <c r="E16" s="48">
        <v>0.21541513015960292</v>
      </c>
      <c r="F16" s="48">
        <v>0.28721304791551661</v>
      </c>
      <c r="G16" s="48">
        <v>0.35905677329684899</v>
      </c>
      <c r="H16" s="48">
        <v>0.43087301410293011</v>
      </c>
      <c r="I16" s="244"/>
      <c r="J16" s="47">
        <v>12</v>
      </c>
      <c r="K16" s="48">
        <v>8.2000802857529947E-2</v>
      </c>
      <c r="L16" s="48">
        <v>0.16415124395809469</v>
      </c>
      <c r="M16" s="48">
        <v>0.24627114664171351</v>
      </c>
      <c r="N16" s="48">
        <v>0.32838494164194321</v>
      </c>
      <c r="O16" s="48">
        <v>0.41058424420962131</v>
      </c>
      <c r="P16" s="48">
        <v>0.49270414689324021</v>
      </c>
    </row>
    <row r="17" spans="1:16">
      <c r="A17" s="183"/>
      <c r="B17" s="47">
        <v>13</v>
      </c>
      <c r="C17" s="48">
        <v>8.0894152291522622E-2</v>
      </c>
      <c r="D17" s="48">
        <v>0.16195462149995046</v>
      </c>
      <c r="E17" s="48">
        <v>0.24311939114779346</v>
      </c>
      <c r="F17" s="48">
        <v>0.32415448997906632</v>
      </c>
      <c r="G17" s="48">
        <v>0.40523469170305909</v>
      </c>
      <c r="H17" s="48">
        <v>0.48628952304989698</v>
      </c>
      <c r="I17" s="244"/>
      <c r="J17" s="47">
        <v>13</v>
      </c>
      <c r="K17" s="48">
        <v>9.4013456211469865E-2</v>
      </c>
      <c r="L17" s="48">
        <v>0.18819604827063996</v>
      </c>
      <c r="M17" s="48">
        <v>0.28234481316027005</v>
      </c>
      <c r="N17" s="48">
        <v>0.37648794018831006</v>
      </c>
      <c r="O17" s="48">
        <v>0.47072409193258524</v>
      </c>
      <c r="P17" s="48">
        <v>0.56487849468380535</v>
      </c>
    </row>
    <row r="18" spans="1:16">
      <c r="A18" s="183"/>
      <c r="B18" s="47">
        <v>14</v>
      </c>
      <c r="C18" s="48">
        <v>9.0706460269043707E-2</v>
      </c>
      <c r="D18" s="48">
        <v>0.181598768618358</v>
      </c>
      <c r="E18" s="48">
        <v>0.27260625042586822</v>
      </c>
      <c r="F18" s="48">
        <v>0.36347500056782434</v>
      </c>
      <c r="G18" s="48">
        <v>0.45438563196730608</v>
      </c>
      <c r="H18" s="48">
        <v>0.54527270515942972</v>
      </c>
      <c r="I18" s="244"/>
      <c r="J18" s="47">
        <v>14</v>
      </c>
      <c r="K18" s="48">
        <v>0.10713176595493137</v>
      </c>
      <c r="L18" s="48">
        <v>0.21445723272591941</v>
      </c>
      <c r="M18" s="48">
        <v>0.3217434358179771</v>
      </c>
      <c r="N18" s="48">
        <v>0.42902440375284401</v>
      </c>
      <c r="O18" s="48">
        <v>0.53640745725293004</v>
      </c>
      <c r="P18" s="48">
        <v>0.64370413065936916</v>
      </c>
    </row>
    <row r="19" spans="1:16">
      <c r="A19" s="183"/>
      <c r="B19" s="47">
        <v>15</v>
      </c>
      <c r="C19" s="48">
        <v>0.1011551469073419</v>
      </c>
      <c r="D19" s="48">
        <v>0.20251551197656006</v>
      </c>
      <c r="E19" s="48">
        <v>0.30400291686027309</v>
      </c>
      <c r="F19" s="48">
        <v>0.40534129426929028</v>
      </c>
      <c r="G19" s="48">
        <v>0.50671876085199796</v>
      </c>
      <c r="H19" s="48">
        <v>0.60807423977450492</v>
      </c>
      <c r="I19" s="244"/>
      <c r="J19" s="47">
        <v>15</v>
      </c>
      <c r="K19" s="48">
        <v>0.12146685878638126</v>
      </c>
      <c r="L19" s="48">
        <v>0.24315603724812848</v>
      </c>
      <c r="M19" s="48">
        <v>0.36479879731611797</v>
      </c>
      <c r="N19" s="48">
        <v>0.48643667123739615</v>
      </c>
      <c r="O19" s="48">
        <v>0.60818692653303519</v>
      </c>
      <c r="P19" s="48">
        <v>0.72984434504115869</v>
      </c>
    </row>
    <row r="20" spans="1:16">
      <c r="A20" s="183"/>
      <c r="B20" s="47">
        <v>16</v>
      </c>
      <c r="C20" s="48">
        <v>0.11228350827775821</v>
      </c>
      <c r="D20" s="48">
        <v>0.22479376430133954</v>
      </c>
      <c r="E20" s="48">
        <v>0.33744373358244828</v>
      </c>
      <c r="F20" s="48">
        <v>0.44993337617459117</v>
      </c>
      <c r="G20" s="48">
        <v>0.562459664867069</v>
      </c>
      <c r="H20" s="48">
        <v>0.67496534012810838</v>
      </c>
      <c r="I20" s="244"/>
      <c r="J20" s="47">
        <v>16</v>
      </c>
      <c r="K20" s="48">
        <v>0.13714101621127558</v>
      </c>
      <c r="L20" s="48">
        <v>0.27453626474362558</v>
      </c>
      <c r="M20" s="48">
        <v>0.41187654412547298</v>
      </c>
      <c r="N20" s="48">
        <v>0.5492145331260494</v>
      </c>
      <c r="O20" s="48">
        <v>0.68667391233398578</v>
      </c>
      <c r="P20" s="48">
        <v>0.82403480514727168</v>
      </c>
    </row>
    <row r="21" spans="1:16">
      <c r="A21" s="183"/>
      <c r="B21" s="47">
        <v>17</v>
      </c>
      <c r="C21" s="48">
        <v>0.1241397427114562</v>
      </c>
      <c r="D21" s="48">
        <v>0.24852954116637507</v>
      </c>
      <c r="E21" s="48">
        <v>0.37307239098151684</v>
      </c>
      <c r="F21" s="48">
        <v>0.49744278855978774</v>
      </c>
      <c r="G21" s="48">
        <v>0.62184983223839363</v>
      </c>
      <c r="H21" s="48">
        <v>0.74623531938739074</v>
      </c>
      <c r="I21" s="244"/>
      <c r="J21" s="47">
        <v>17</v>
      </c>
      <c r="K21" s="48">
        <v>0.15428870502239642</v>
      </c>
      <c r="L21" s="48">
        <v>0.30886842319451235</v>
      </c>
      <c r="M21" s="48">
        <v>0.46338347177780165</v>
      </c>
      <c r="N21" s="48">
        <v>0.61789852036109105</v>
      </c>
      <c r="O21" s="48">
        <v>0.77254506377499443</v>
      </c>
      <c r="P21" s="48">
        <v>0.9270859801938145</v>
      </c>
    </row>
    <row r="22" spans="1:16">
      <c r="A22" s="183"/>
      <c r="B22" s="47">
        <v>18</v>
      </c>
      <c r="C22" s="48">
        <v>0.13677558906058213</v>
      </c>
      <c r="D22" s="48">
        <v>0.27382805976814018</v>
      </c>
      <c r="E22" s="48">
        <v>0.41104543792720599</v>
      </c>
      <c r="F22" s="48">
        <v>0.54807754969013345</v>
      </c>
      <c r="G22" s="48">
        <v>0.68514834344785902</v>
      </c>
      <c r="H22" s="48">
        <v>0.82219470647202786</v>
      </c>
      <c r="I22" s="244"/>
      <c r="J22" s="47">
        <v>18</v>
      </c>
      <c r="K22" s="48">
        <v>0.17305930018120597</v>
      </c>
      <c r="L22" s="48">
        <v>0.34645045115989043</v>
      </c>
      <c r="M22" s="48">
        <v>0.51976627404344156</v>
      </c>
      <c r="N22" s="48">
        <v>0.69308616871591899</v>
      </c>
      <c r="O22" s="48">
        <v>0.86654654010634757</v>
      </c>
      <c r="P22" s="48">
        <v>1.0398949373013078</v>
      </c>
    </row>
    <row r="23" spans="1:16">
      <c r="A23" s="183"/>
      <c r="B23" s="47">
        <v>19</v>
      </c>
      <c r="C23" s="48">
        <v>0.15024732372434005</v>
      </c>
      <c r="D23" s="48">
        <v>0.30079938870409789</v>
      </c>
      <c r="E23" s="48">
        <v>0.45153082670128514</v>
      </c>
      <c r="F23" s="48">
        <v>0.60206167551769108</v>
      </c>
      <c r="G23" s="48">
        <v>0.75263302791867792</v>
      </c>
      <c r="H23" s="48">
        <v>0.90317737792994413</v>
      </c>
      <c r="I23" s="244"/>
      <c r="J23" s="47">
        <v>19</v>
      </c>
      <c r="K23" s="48">
        <v>0.19361894784193104</v>
      </c>
      <c r="L23" s="48">
        <v>0.38761400039782701</v>
      </c>
      <c r="M23" s="48">
        <v>0.58152033081606969</v>
      </c>
      <c r="N23" s="48">
        <v>0.77543823368704978</v>
      </c>
      <c r="O23" s="48">
        <v>0.96950464970149297</v>
      </c>
      <c r="P23" s="48">
        <v>1.1634514837043166</v>
      </c>
    </row>
    <row r="24" spans="1:16">
      <c r="A24" s="183"/>
      <c r="B24" s="47">
        <v>20</v>
      </c>
      <c r="C24" s="48">
        <v>0.16461462626222709</v>
      </c>
      <c r="D24" s="48">
        <v>0.32956456434251991</v>
      </c>
      <c r="E24" s="48">
        <v>0.49470689444957167</v>
      </c>
      <c r="F24" s="48">
        <v>0.65963484486966351</v>
      </c>
      <c r="G24" s="48">
        <v>0.82460310600012388</v>
      </c>
      <c r="H24" s="48">
        <v>0.98954388255533288</v>
      </c>
      <c r="I24" s="244"/>
      <c r="J24" s="47">
        <v>20</v>
      </c>
      <c r="K24" s="48">
        <v>0.21615003716340536</v>
      </c>
      <c r="L24" s="48">
        <v>0.43272333678568059</v>
      </c>
      <c r="M24" s="48">
        <v>0.64919402732701748</v>
      </c>
      <c r="N24" s="48">
        <v>0.86568487322353882</v>
      </c>
      <c r="O24" s="48">
        <v>1.0823314650464841</v>
      </c>
      <c r="P24" s="48">
        <v>1.2988516278232736</v>
      </c>
    </row>
    <row r="25" spans="1:16">
      <c r="A25" s="183"/>
      <c r="B25" s="47">
        <v>21</v>
      </c>
      <c r="C25" s="48">
        <v>0.17994151417017037</v>
      </c>
      <c r="D25" s="48">
        <v>0.36025123439608814</v>
      </c>
      <c r="E25" s="48">
        <v>0.54076687080484087</v>
      </c>
      <c r="F25" s="48">
        <v>0.72105390534959901</v>
      </c>
      <c r="G25" s="48">
        <v>0.90138107609948581</v>
      </c>
      <c r="H25" s="48">
        <v>1.0816803260110222</v>
      </c>
      <c r="I25" s="244"/>
      <c r="J25" s="47">
        <v>21</v>
      </c>
      <c r="K25" s="48">
        <v>0.2408543131366081</v>
      </c>
      <c r="L25" s="48">
        <v>0.48218153547277803</v>
      </c>
      <c r="M25" s="48">
        <v>0.72339358435075196</v>
      </c>
      <c r="N25" s="48">
        <v>0.96463355406707663</v>
      </c>
      <c r="O25" s="48">
        <v>1.2060375587087104</v>
      </c>
      <c r="P25" s="48">
        <v>1.4473071943157825</v>
      </c>
    </row>
    <row r="26" spans="1:16">
      <c r="A26" s="183"/>
      <c r="B26" s="47">
        <v>22</v>
      </c>
      <c r="C26" s="48">
        <v>0.19586226670919663</v>
      </c>
      <c r="D26" s="48">
        <v>0.39213097198574565</v>
      </c>
      <c r="E26" s="48">
        <v>0.58861788813247151</v>
      </c>
      <c r="F26" s="48">
        <v>0.78486160743151934</v>
      </c>
      <c r="G26" s="48">
        <v>0.98114697002640239</v>
      </c>
      <c r="H26" s="48">
        <v>1.1774023494482841</v>
      </c>
      <c r="I26" s="244"/>
      <c r="J26" s="47">
        <v>22</v>
      </c>
      <c r="K26" s="48">
        <v>0.26752038445071652</v>
      </c>
      <c r="L26" s="48">
        <v>0.53556880589262446</v>
      </c>
      <c r="M26" s="48">
        <v>0.80348730025152626</v>
      </c>
      <c r="N26" s="48">
        <v>1.0714441064425968</v>
      </c>
      <c r="O26" s="48">
        <v>1.3395724830125082</v>
      </c>
      <c r="P26" s="48">
        <v>1.6075592723765799</v>
      </c>
    </row>
    <row r="27" spans="1:16">
      <c r="A27" s="183"/>
      <c r="B27" s="47">
        <v>23</v>
      </c>
      <c r="C27" s="48">
        <v>0.21243644782433047</v>
      </c>
      <c r="D27" s="48">
        <v>0.42531902208752242</v>
      </c>
      <c r="E27" s="48">
        <v>0.63843103280498592</v>
      </c>
      <c r="F27" s="48">
        <v>0.85128652082010425</v>
      </c>
      <c r="G27" s="48">
        <v>1.0641834348616879</v>
      </c>
      <c r="H27" s="48">
        <v>1.2770500760377779</v>
      </c>
      <c r="I27" s="244"/>
      <c r="J27" s="47">
        <v>23</v>
      </c>
      <c r="K27" s="48">
        <v>0.29634964435674993</v>
      </c>
      <c r="L27" s="48">
        <v>0.59328562631886073</v>
      </c>
      <c r="M27" s="48">
        <v>0.89007502387963111</v>
      </c>
      <c r="N27" s="48">
        <v>1.186915407319129</v>
      </c>
      <c r="O27" s="48">
        <v>1.483934241334171</v>
      </c>
      <c r="P27" s="48">
        <v>1.7808064909478729</v>
      </c>
    </row>
    <row r="28" spans="1:16">
      <c r="A28" s="183"/>
      <c r="B28" s="47">
        <v>24</v>
      </c>
      <c r="C28" s="48">
        <v>0.22971980181981488</v>
      </c>
      <c r="D28" s="48">
        <v>0.45992516446906917</v>
      </c>
      <c r="E28" s="48">
        <v>0.69037330753304305</v>
      </c>
      <c r="F28" s="48">
        <v>0.92054965868619887</v>
      </c>
      <c r="G28" s="48">
        <v>1.1507687636230788</v>
      </c>
      <c r="H28" s="48">
        <v>1.3809558032221654</v>
      </c>
      <c r="I28" s="244"/>
      <c r="J28" s="47">
        <v>24</v>
      </c>
      <c r="K28" s="48">
        <v>0.32755572818930978</v>
      </c>
      <c r="L28" s="48">
        <v>0.65576039773871941</v>
      </c>
      <c r="M28" s="48">
        <v>0.9838016867574686</v>
      </c>
      <c r="N28" s="48">
        <v>1.3119071064518042</v>
      </c>
      <c r="O28" s="48">
        <v>1.6401988104895096</v>
      </c>
      <c r="P28" s="48">
        <v>1.9683378224424857</v>
      </c>
    </row>
    <row r="29" spans="1:16">
      <c r="A29" s="183"/>
      <c r="B29" s="47">
        <v>25</v>
      </c>
      <c r="C29" s="48">
        <v>0.24776648313128094</v>
      </c>
      <c r="D29" s="48">
        <v>0.49605920426337319</v>
      </c>
      <c r="E29" s="48">
        <v>0.74460844809781068</v>
      </c>
      <c r="F29" s="48">
        <v>0.99287185234963493</v>
      </c>
      <c r="G29" s="48">
        <v>1.2411777660778476</v>
      </c>
      <c r="H29" s="48">
        <v>1.4894499653937523</v>
      </c>
      <c r="I29" s="244"/>
      <c r="J29" s="47">
        <v>25</v>
      </c>
      <c r="K29" s="48">
        <v>0.3613708600139437</v>
      </c>
      <c r="L29" s="48">
        <v>0.7234585177504409</v>
      </c>
      <c r="M29" s="48">
        <v>1.0853644108292764</v>
      </c>
      <c r="N29" s="48">
        <v>1.4473494594848357</v>
      </c>
      <c r="O29" s="48">
        <v>1.8095279995501639</v>
      </c>
      <c r="P29" s="48">
        <v>2.1715482284620444</v>
      </c>
    </row>
    <row r="30" spans="1:16">
      <c r="A30" s="183"/>
      <c r="B30" s="47">
        <v>26</v>
      </c>
      <c r="C30" s="48">
        <v>0.26663218100050673</v>
      </c>
      <c r="D30" s="48">
        <v>0.53383237655620663</v>
      </c>
      <c r="E30" s="48">
        <v>0.80130178000282948</v>
      </c>
      <c r="F30" s="48">
        <v>1.068472376785182</v>
      </c>
      <c r="G30" s="48">
        <v>1.3356852575294593</v>
      </c>
      <c r="H30" s="48">
        <v>1.6028629016387992</v>
      </c>
      <c r="I30" s="244"/>
      <c r="J30" s="47">
        <v>26</v>
      </c>
      <c r="K30" s="48">
        <v>0.39804650626738702</v>
      </c>
      <c r="L30" s="48">
        <v>0.79688372262277252</v>
      </c>
      <c r="M30" s="48">
        <v>1.1955193854263153</v>
      </c>
      <c r="N30" s="48">
        <v>1.5942508918768885</v>
      </c>
      <c r="O30" s="48">
        <v>1.993181132948509</v>
      </c>
      <c r="P30" s="48">
        <v>2.3919492854994169</v>
      </c>
    </row>
    <row r="31" spans="1:16">
      <c r="A31" s="183"/>
      <c r="B31" s="47">
        <v>27</v>
      </c>
      <c r="C31" s="48">
        <v>0.28637247798908139</v>
      </c>
      <c r="D31" s="48">
        <v>0.57335572431708015</v>
      </c>
      <c r="E31" s="48">
        <v>0.86061992408098109</v>
      </c>
      <c r="F31" s="48">
        <v>1.1475746678864973</v>
      </c>
      <c r="G31" s="48">
        <v>1.4345701295812743</v>
      </c>
      <c r="H31" s="48">
        <v>1.7215289451757161</v>
      </c>
      <c r="I31" s="244"/>
      <c r="J31" s="47">
        <v>27</v>
      </c>
      <c r="K31" s="48">
        <v>0.43785659867036758</v>
      </c>
      <c r="L31" s="48">
        <v>0.87658320290794867</v>
      </c>
      <c r="M31" s="48">
        <v>1.3150885732805442</v>
      </c>
      <c r="N31" s="48">
        <v>1.753706596480096</v>
      </c>
      <c r="O31" s="48">
        <v>2.1925282091259528</v>
      </c>
      <c r="P31" s="48">
        <v>2.631184235688814</v>
      </c>
    </row>
    <row r="32" spans="1:16">
      <c r="A32" s="183"/>
      <c r="B32" s="47">
        <v>28</v>
      </c>
      <c r="C32" s="48">
        <v>0.30704286902843875</v>
      </c>
      <c r="D32" s="48">
        <v>0.61474144149501531</v>
      </c>
      <c r="E32" s="48">
        <v>0.92273318276427219</v>
      </c>
      <c r="F32" s="48">
        <v>1.2304042706555978</v>
      </c>
      <c r="G32" s="48">
        <v>1.5381146222258533</v>
      </c>
      <c r="H32" s="48">
        <v>1.845787018906476</v>
      </c>
      <c r="I32" s="244"/>
      <c r="J32" s="47">
        <v>28</v>
      </c>
      <c r="K32" s="48">
        <v>0.48109875772694077</v>
      </c>
      <c r="L32" s="48">
        <v>0.9631529316411882</v>
      </c>
      <c r="M32" s="48">
        <v>1.444964979535365</v>
      </c>
      <c r="N32" s="48">
        <v>1.92690790635931</v>
      </c>
      <c r="O32" s="48">
        <v>2.4090602394708829</v>
      </c>
      <c r="P32" s="48">
        <v>2.8910424299737572</v>
      </c>
    </row>
    <row r="33" spans="1:16">
      <c r="A33" s="183"/>
      <c r="B33" s="47">
        <v>29</v>
      </c>
      <c r="C33" s="48">
        <v>0.32870130384576951</v>
      </c>
      <c r="D33" s="48">
        <v>0.65810520189106603</v>
      </c>
      <c r="E33" s="48">
        <v>0.98781616898399771</v>
      </c>
      <c r="F33" s="48">
        <v>1.3171922665393851</v>
      </c>
      <c r="G33" s="48">
        <v>1.6466075375123721</v>
      </c>
      <c r="H33" s="48">
        <v>1.975984898726391</v>
      </c>
      <c r="I33" s="244"/>
      <c r="J33" s="47">
        <v>29</v>
      </c>
      <c r="K33" s="48">
        <v>0.52809652674466334</v>
      </c>
      <c r="L33" s="48">
        <v>1.0572418901540885</v>
      </c>
      <c r="M33" s="48">
        <v>1.5861231489093748</v>
      </c>
      <c r="N33" s="48">
        <v>2.115153519383266</v>
      </c>
      <c r="O33" s="48">
        <v>2.6443999754832701</v>
      </c>
      <c r="P33" s="48">
        <v>3.1734720466920248</v>
      </c>
    </row>
    <row r="34" spans="1:16">
      <c r="A34" s="183"/>
      <c r="B34" s="47">
        <v>30</v>
      </c>
      <c r="C34" s="48">
        <v>0.35140655629471701</v>
      </c>
      <c r="D34" s="48">
        <v>0.70356557918298024</v>
      </c>
      <c r="E34" s="48">
        <v>1.0560446446808363</v>
      </c>
      <c r="F34" s="48">
        <v>1.4081755722255098</v>
      </c>
      <c r="G34" s="48">
        <v>1.7603443674071959</v>
      </c>
      <c r="H34" s="48">
        <v>2.1124765164885462</v>
      </c>
      <c r="I34" s="244"/>
      <c r="J34" s="47">
        <v>30</v>
      </c>
      <c r="K34" s="48">
        <v>0.57920360212408784</v>
      </c>
      <c r="L34" s="48">
        <v>1.1595578917986962</v>
      </c>
      <c r="M34" s="48">
        <v>1.7396238988173356</v>
      </c>
      <c r="N34" s="48">
        <v>2.3198584778975166</v>
      </c>
      <c r="O34" s="48">
        <v>2.9003178197264181</v>
      </c>
      <c r="P34" s="48">
        <v>3.4805963741270007</v>
      </c>
    </row>
    <row r="35" spans="1:16">
      <c r="A35" s="183"/>
      <c r="B35" s="47">
        <v>31</v>
      </c>
      <c r="C35" s="48">
        <v>0.37521927356402485</v>
      </c>
      <c r="D35" s="48">
        <v>0.75124357920315166</v>
      </c>
      <c r="E35" s="48">
        <v>1.1276012461421008</v>
      </c>
      <c r="F35" s="48">
        <v>1.5035971806067752</v>
      </c>
      <c r="G35" s="48">
        <v>1.879629761171784</v>
      </c>
      <c r="H35" s="48">
        <v>2.255625695636458</v>
      </c>
      <c r="I35" s="244"/>
      <c r="J35" s="47">
        <v>31</v>
      </c>
      <c r="K35" s="48">
        <v>0.63480606275027962</v>
      </c>
      <c r="L35" s="48">
        <v>1.2708734606314462</v>
      </c>
      <c r="M35" s="48">
        <v>1.906625229196824</v>
      </c>
      <c r="N35" s="48">
        <v>2.5425673210574908</v>
      </c>
      <c r="O35" s="48">
        <v>3.1787446572396623</v>
      </c>
      <c r="P35" s="48">
        <v>3.8147328522588135</v>
      </c>
    </row>
    <row r="36" spans="1:16">
      <c r="A36" s="183"/>
      <c r="B36" s="47">
        <v>32</v>
      </c>
      <c r="C36" s="48">
        <v>0.40020282865956275</v>
      </c>
      <c r="D36" s="48">
        <v>0.80126340510509275</v>
      </c>
      <c r="E36" s="48">
        <v>1.2026732646944411</v>
      </c>
      <c r="F36" s="48">
        <v>1.60370635656472</v>
      </c>
      <c r="G36" s="48">
        <v>2.0047760945353339</v>
      </c>
      <c r="H36" s="48">
        <v>2.4058068960243415</v>
      </c>
      <c r="I36" s="244"/>
      <c r="J36" s="47">
        <v>32</v>
      </c>
      <c r="K36" s="48">
        <v>0.695324181373425</v>
      </c>
      <c r="L36" s="48">
        <v>1.392029462653227</v>
      </c>
      <c r="M36" s="48">
        <v>2.0883900415517527</v>
      </c>
      <c r="N36" s="48">
        <v>2.7849659162897473</v>
      </c>
      <c r="O36" s="48">
        <v>3.481786861823732</v>
      </c>
      <c r="P36" s="48">
        <v>4.1784096893777791</v>
      </c>
    </row>
    <row r="37" spans="1:16">
      <c r="A37" s="183"/>
      <c r="B37" s="47">
        <v>33</v>
      </c>
      <c r="C37" s="48">
        <v>0.42642068642595432</v>
      </c>
      <c r="D37" s="48">
        <v>0.853754193896618</v>
      </c>
      <c r="E37" s="48">
        <v>1.2814541623706321</v>
      </c>
      <c r="F37" s="48">
        <v>1.7087610181319612</v>
      </c>
      <c r="G37" s="48">
        <v>2.1361045199936255</v>
      </c>
      <c r="H37" s="48">
        <v>2.5634069338033987</v>
      </c>
      <c r="I37" s="244"/>
      <c r="J37" s="47">
        <v>33</v>
      </c>
      <c r="K37" s="48">
        <v>0.7612172381111767</v>
      </c>
      <c r="L37" s="48">
        <v>1.5239458502392016</v>
      </c>
      <c r="M37" s="48">
        <v>2.2862991174607648</v>
      </c>
      <c r="N37" s="48">
        <v>3.0488933605542292</v>
      </c>
      <c r="O37" s="48">
        <v>3.8117452368379259</v>
      </c>
      <c r="P37" s="48">
        <v>4.5743872309106131</v>
      </c>
    </row>
    <row r="38" spans="1:16">
      <c r="A38" s="183"/>
      <c r="B38" s="47">
        <v>34</v>
      </c>
      <c r="C38" s="48">
        <v>0.45393854569383829</v>
      </c>
      <c r="D38" s="48">
        <v>0.90884929087303568</v>
      </c>
      <c r="E38" s="48">
        <v>1.3641426644527903</v>
      </c>
      <c r="F38" s="48">
        <v>1.8190264639699767</v>
      </c>
      <c r="G38" s="48">
        <v>2.2739469095874987</v>
      </c>
      <c r="H38" s="48">
        <v>2.728824242145802</v>
      </c>
      <c r="I38" s="244"/>
      <c r="J38" s="47">
        <v>34</v>
      </c>
      <c r="K38" s="48">
        <v>0.83298748450940929</v>
      </c>
      <c r="L38" s="48">
        <v>1.6676272770133367</v>
      </c>
      <c r="M38" s="48">
        <v>2.5018585732811767</v>
      </c>
      <c r="N38" s="48">
        <v>3.3363582483426475</v>
      </c>
      <c r="O38" s="48">
        <v>4.1711295356771894</v>
      </c>
      <c r="P38" s="48">
        <v>5.0056798685832389</v>
      </c>
    </row>
    <row r="39" spans="1:16">
      <c r="A39" s="183"/>
      <c r="B39" s="47">
        <v>35</v>
      </c>
      <c r="C39" s="48">
        <v>0.48282506717044738</v>
      </c>
      <c r="D39" s="48">
        <v>0.96668460140178114</v>
      </c>
      <c r="E39" s="48">
        <v>1.450943054611048</v>
      </c>
      <c r="F39" s="48">
        <v>1.9347764130564284</v>
      </c>
      <c r="G39" s="48">
        <v>2.4186453705707058</v>
      </c>
      <c r="H39" s="48">
        <v>2.9024693057331423</v>
      </c>
      <c r="I39" s="244"/>
      <c r="J39" s="47">
        <v>35</v>
      </c>
      <c r="K39" s="48">
        <v>0.91118238101826377</v>
      </c>
      <c r="L39" s="48">
        <v>1.824169844235888</v>
      </c>
      <c r="M39" s="48">
        <v>2.7367133661237393</v>
      </c>
      <c r="N39" s="48">
        <v>3.6495552919714624</v>
      </c>
      <c r="O39" s="48">
        <v>4.5626830574017978</v>
      </c>
      <c r="P39" s="48">
        <v>5.475579428884302</v>
      </c>
    </row>
    <row r="40" spans="1:16">
      <c r="A40" s="183"/>
      <c r="B40" s="47">
        <v>36</v>
      </c>
      <c r="C40" s="48">
        <v>0.51315044412062805</v>
      </c>
      <c r="D40" s="48">
        <v>1.0274012891985389</v>
      </c>
      <c r="E40" s="48">
        <v>1.5420674567469139</v>
      </c>
      <c r="F40" s="48">
        <v>2.0562928531440368</v>
      </c>
      <c r="G40" s="48">
        <v>2.5705518417998001</v>
      </c>
      <c r="H40" s="48">
        <v>3.084765022830144</v>
      </c>
      <c r="I40" s="244"/>
      <c r="J40" s="47">
        <v>36</v>
      </c>
      <c r="K40" s="48">
        <v>0.99640053334444534</v>
      </c>
      <c r="L40" s="48">
        <v>1.9947718125291312</v>
      </c>
      <c r="M40" s="48">
        <v>2.9926605847260719</v>
      </c>
      <c r="N40" s="48">
        <v>3.9908801897732604</v>
      </c>
      <c r="O40" s="48">
        <v>4.9894021251482128</v>
      </c>
      <c r="P40" s="48">
        <v>5.9876807711348281</v>
      </c>
    </row>
    <row r="41" spans="1:16">
      <c r="A41" s="183"/>
      <c r="B41" s="47">
        <v>37</v>
      </c>
      <c r="C41" s="48">
        <v>0.54498817613474826</v>
      </c>
      <c r="D41" s="48">
        <v>1.0911450657396411</v>
      </c>
      <c r="E41" s="48">
        <v>1.6377347755025453</v>
      </c>
      <c r="F41" s="48">
        <v>2.1838669042288337</v>
      </c>
      <c r="G41" s="48">
        <v>2.730029736444592</v>
      </c>
      <c r="H41" s="48">
        <v>3.2761470086437168</v>
      </c>
      <c r="I41" s="244"/>
      <c r="J41" s="47">
        <v>37</v>
      </c>
      <c r="K41" s="48">
        <v>1.0892956757166514</v>
      </c>
      <c r="L41" s="48">
        <v>2.1807415861313402</v>
      </c>
      <c r="M41" s="48">
        <v>3.2716625659196081</v>
      </c>
      <c r="N41" s="48">
        <v>4.3629509971463714</v>
      </c>
      <c r="O41" s="48">
        <v>5.4545583484895639</v>
      </c>
      <c r="P41" s="48">
        <v>6.5459111580006981</v>
      </c>
    </row>
    <row r="42" spans="1:16">
      <c r="A42" s="183"/>
      <c r="B42" s="47">
        <v>38</v>
      </c>
      <c r="C42" s="48">
        <v>0.57841270534374289</v>
      </c>
      <c r="D42" s="48">
        <v>1.158064627501447</v>
      </c>
      <c r="E42" s="48">
        <v>1.7381688396869708</v>
      </c>
      <c r="F42" s="48">
        <v>2.3177976169392007</v>
      </c>
      <c r="G42" s="48">
        <v>2.8974543609522123</v>
      </c>
      <c r="H42" s="48">
        <v>3.477065779525335</v>
      </c>
      <c r="I42" s="244"/>
      <c r="J42" s="47">
        <v>38</v>
      </c>
      <c r="K42" s="48">
        <v>1.1905809895854156</v>
      </c>
      <c r="L42" s="48">
        <v>2.3835082939633354</v>
      </c>
      <c r="M42" s="48">
        <v>3.5758637263018165</v>
      </c>
      <c r="N42" s="48">
        <v>4.7686261232282297</v>
      </c>
      <c r="O42" s="48">
        <v>5.9617270143972103</v>
      </c>
      <c r="P42" s="48">
        <v>7.1545598104111079</v>
      </c>
    </row>
    <row r="43" spans="1:16">
      <c r="A43" s="183"/>
      <c r="B43" s="47">
        <v>39</v>
      </c>
      <c r="C43" s="48">
        <v>0.61350023522417785</v>
      </c>
      <c r="D43" s="48">
        <v>1.2283150318424256</v>
      </c>
      <c r="E43" s="48">
        <v>1.8436005899034389</v>
      </c>
      <c r="F43" s="48">
        <v>2.4583928350753275</v>
      </c>
      <c r="G43" s="48">
        <v>3.0732104506243698</v>
      </c>
      <c r="H43" s="48">
        <v>3.6879839029242905</v>
      </c>
      <c r="I43" s="244"/>
      <c r="J43" s="47">
        <v>39</v>
      </c>
      <c r="K43" s="48">
        <v>1.301035576838385</v>
      </c>
      <c r="L43" s="48">
        <v>2.604631682482232</v>
      </c>
      <c r="M43" s="48">
        <v>3.9076057440639813</v>
      </c>
      <c r="N43" s="48">
        <v>5.2110280156421371</v>
      </c>
      <c r="O43" s="48">
        <v>6.5148111103620518</v>
      </c>
      <c r="P43" s="48">
        <v>7.8183123120024662</v>
      </c>
    </row>
    <row r="44" spans="1:16">
      <c r="A44" s="183"/>
      <c r="B44" s="47">
        <v>40</v>
      </c>
      <c r="C44" s="48">
        <v>0.65033034273506307</v>
      </c>
      <c r="D44" s="48">
        <v>1.3020532372828577</v>
      </c>
      <c r="E44" s="48">
        <v>1.9542681057276505</v>
      </c>
      <c r="F44" s="48">
        <v>2.6059690126152444</v>
      </c>
      <c r="G44" s="48">
        <v>3.2576946556205644</v>
      </c>
      <c r="H44" s="48">
        <v>3.9093754071529734</v>
      </c>
      <c r="I44" s="244"/>
      <c r="J44" s="47">
        <v>40</v>
      </c>
      <c r="K44" s="48">
        <v>1.4215108781858168</v>
      </c>
      <c r="L44" s="48">
        <v>2.8458169376746896</v>
      </c>
      <c r="M44" s="48">
        <v>4.2694459604598727</v>
      </c>
      <c r="N44" s="48">
        <v>5.6935678732945627</v>
      </c>
      <c r="O44" s="48">
        <v>7.1180754863352771</v>
      </c>
      <c r="P44" s="48">
        <v>8.5422853498107703</v>
      </c>
    </row>
    <row r="45" spans="1:16">
      <c r="A45" s="183"/>
      <c r="B45" s="47">
        <v>41</v>
      </c>
      <c r="C45" s="48">
        <v>0.68898377930290366</v>
      </c>
      <c r="D45" s="48">
        <v>1.3794423406924614</v>
      </c>
      <c r="E45" s="48">
        <v>2.0704148412940353</v>
      </c>
      <c r="F45" s="48">
        <v>2.7608519513077878</v>
      </c>
      <c r="G45" s="48">
        <v>3.4513131941193214</v>
      </c>
      <c r="H45" s="48">
        <v>4.1417279589499421</v>
      </c>
      <c r="I45" s="244"/>
      <c r="J45" s="47">
        <v>41</v>
      </c>
      <c r="K45" s="48">
        <v>1.5529370460774703</v>
      </c>
      <c r="L45" s="48">
        <v>3.1089264441706521</v>
      </c>
      <c r="M45" s="48">
        <v>4.6641775574131827</v>
      </c>
      <c r="N45" s="48">
        <v>6.2199703178948118</v>
      </c>
      <c r="O45" s="48">
        <v>7.7761769111680277</v>
      </c>
      <c r="P45" s="48">
        <v>9.3320679904554318</v>
      </c>
    </row>
    <row r="46" spans="1:16">
      <c r="A46" s="183"/>
      <c r="B46" s="47">
        <v>42</v>
      </c>
      <c r="C46" s="48">
        <v>0.72954407605653837</v>
      </c>
      <c r="D46" s="48">
        <v>1.4606482289559117</v>
      </c>
      <c r="E46" s="48">
        <v>2.1922898579935324</v>
      </c>
      <c r="F46" s="48">
        <v>2.9233739427903416</v>
      </c>
      <c r="G46" s="48">
        <v>3.6544807132683097</v>
      </c>
      <c r="H46" s="48">
        <v>4.3855403673315614</v>
      </c>
      <c r="I46" s="244"/>
      <c r="J46" s="47">
        <v>42</v>
      </c>
      <c r="K46" s="48">
        <v>1.6963292797290013</v>
      </c>
      <c r="L46" s="48">
        <v>3.3959924820622929</v>
      </c>
      <c r="M46" s="48">
        <v>5.0948512152406114</v>
      </c>
      <c r="N46" s="48">
        <v>6.7943032662338787</v>
      </c>
      <c r="O46" s="48">
        <v>8.4942003055883557</v>
      </c>
      <c r="P46" s="48">
        <v>10.193762294882626</v>
      </c>
    </row>
    <row r="47" spans="1:16">
      <c r="A47" s="183"/>
      <c r="B47" s="47">
        <v>43</v>
      </c>
      <c r="C47" s="48">
        <v>0.77211511753865936</v>
      </c>
      <c r="D47" s="48">
        <v>1.5458810140621786</v>
      </c>
      <c r="E47" s="48">
        <v>2.3202085333792053</v>
      </c>
      <c r="F47" s="48">
        <v>3.0939548285002201</v>
      </c>
      <c r="G47" s="48">
        <v>3.8677224294935222</v>
      </c>
      <c r="H47" s="48">
        <v>4.6414431575677915</v>
      </c>
      <c r="I47" s="244"/>
      <c r="J47" s="47">
        <v>43</v>
      </c>
      <c r="K47" s="48">
        <v>1.8528248088821688</v>
      </c>
      <c r="L47" s="48">
        <v>3.7092912174557711</v>
      </c>
      <c r="M47" s="48">
        <v>5.5648806763260072</v>
      </c>
      <c r="N47" s="48">
        <v>7.4211195381835786</v>
      </c>
      <c r="O47" s="48">
        <v>9.2778382082850683</v>
      </c>
      <c r="P47" s="48">
        <v>11.134199791967013</v>
      </c>
    </row>
    <row r="48" spans="1:16">
      <c r="A48" s="183"/>
      <c r="B48" s="47">
        <v>44</v>
      </c>
      <c r="C48" s="48">
        <v>0.81680716869504033</v>
      </c>
      <c r="D48" s="48">
        <v>1.6353608572174121</v>
      </c>
      <c r="E48" s="48">
        <v>2.4545008833451454</v>
      </c>
      <c r="F48" s="48">
        <v>3.2730345830855159</v>
      </c>
      <c r="G48" s="48">
        <v>4.091588271607888</v>
      </c>
      <c r="H48" s="48">
        <v>4.9100961525048401</v>
      </c>
      <c r="I48" s="244"/>
      <c r="J48" s="47">
        <v>44</v>
      </c>
      <c r="K48" s="48">
        <v>2.0236698595655152</v>
      </c>
      <c r="L48" s="48">
        <v>4.0513174867492161</v>
      </c>
      <c r="M48" s="48">
        <v>6.0780089838605385</v>
      </c>
      <c r="N48" s="48">
        <v>8.1054109155988137</v>
      </c>
      <c r="O48" s="48">
        <v>10.133330889937278</v>
      </c>
      <c r="P48" s="48">
        <v>12.160868578819972</v>
      </c>
    </row>
    <row r="49" spans="1:16">
      <c r="A49" s="183"/>
      <c r="B49" s="47">
        <v>45</v>
      </c>
      <c r="C49" s="48">
        <v>0.86373535158307613</v>
      </c>
      <c r="D49" s="48">
        <v>1.7293176666230383</v>
      </c>
      <c r="E49" s="48">
        <v>2.5955131930752744</v>
      </c>
      <c r="F49" s="48">
        <v>3.4610751491706058</v>
      </c>
      <c r="G49" s="48">
        <v>4.3266558354949982</v>
      </c>
      <c r="H49" s="48">
        <v>5.1921917321412021</v>
      </c>
      <c r="I49" s="244"/>
      <c r="J49" s="47">
        <v>45</v>
      </c>
      <c r="K49" s="48">
        <v>2.2102303454138186</v>
      </c>
      <c r="L49" s="48">
        <v>4.4248069183273735</v>
      </c>
      <c r="M49" s="48">
        <v>6.6383402989180569</v>
      </c>
      <c r="N49" s="48">
        <v>8.8526505768358472</v>
      </c>
      <c r="O49" s="48">
        <v>11.067520318552083</v>
      </c>
      <c r="P49" s="48">
        <v>13.281980438302348</v>
      </c>
    </row>
    <row r="50" spans="1:16">
      <c r="A50" s="183"/>
      <c r="B50" s="47">
        <v>46</v>
      </c>
      <c r="C50" s="48">
        <v>0.91302071073357693</v>
      </c>
      <c r="D50" s="48">
        <v>1.8279940212915273</v>
      </c>
      <c r="E50" s="48">
        <v>2.7436086386053415</v>
      </c>
      <c r="F50" s="48">
        <v>3.6585612361500597</v>
      </c>
      <c r="G50" s="48">
        <v>4.5735305634362353</v>
      </c>
      <c r="H50" s="48">
        <v>5.4884568713872337</v>
      </c>
      <c r="I50" s="244"/>
      <c r="J50" s="47">
        <v>46</v>
      </c>
      <c r="K50" s="48">
        <v>2.4140059443937503</v>
      </c>
      <c r="L50" s="48">
        <v>4.8327599487439539</v>
      </c>
      <c r="M50" s="48">
        <v>7.2503755340207059</v>
      </c>
      <c r="N50" s="48">
        <v>9.6688403528400073</v>
      </c>
      <c r="O50" s="48">
        <v>12.087910628969189</v>
      </c>
      <c r="P50" s="48">
        <v>14.506540355239993</v>
      </c>
    </row>
    <row r="51" spans="1:16">
      <c r="A51" s="183"/>
      <c r="B51" s="47">
        <v>47</v>
      </c>
      <c r="C51" s="48">
        <v>0.96479036280466801</v>
      </c>
      <c r="D51" s="48">
        <v>1.9316438230877724</v>
      </c>
      <c r="E51" s="48">
        <v>2.8991693884451073</v>
      </c>
      <c r="F51" s="48">
        <v>3.8660010170088634</v>
      </c>
      <c r="G51" s="48">
        <v>4.8328490193621318</v>
      </c>
      <c r="H51" s="48">
        <v>5.7996549176852268</v>
      </c>
      <c r="I51" s="244"/>
      <c r="J51" s="47">
        <v>47</v>
      </c>
      <c r="K51" s="48">
        <v>2.6366392596836747</v>
      </c>
      <c r="L51" s="48">
        <v>5.278466671529678</v>
      </c>
      <c r="M51" s="48">
        <v>7.919051234781338</v>
      </c>
      <c r="N51" s="48">
        <v>10.560562866401051</v>
      </c>
      <c r="O51" s="48">
        <v>13.202732568418268</v>
      </c>
      <c r="P51" s="48">
        <v>15.844425871131127</v>
      </c>
    </row>
    <row r="52" spans="1:16">
      <c r="A52" s="183"/>
      <c r="B52" s="47">
        <v>48</v>
      </c>
      <c r="C52" s="48">
        <v>1.0191783909893746</v>
      </c>
      <c r="D52" s="48">
        <v>2.0405349345674133</v>
      </c>
      <c r="E52" s="48">
        <v>3.0625961521164786</v>
      </c>
      <c r="F52" s="48">
        <v>4.0839297918818076</v>
      </c>
      <c r="G52" s="48">
        <v>5.1052802277764577</v>
      </c>
      <c r="H52" s="48">
        <v>6.1265886733478059</v>
      </c>
      <c r="I52" s="244"/>
      <c r="J52" s="47">
        <v>48</v>
      </c>
      <c r="K52" s="48">
        <v>2.8799337604289832</v>
      </c>
      <c r="L52" s="48">
        <v>5.7655369779639676</v>
      </c>
      <c r="M52" s="48">
        <v>8.6497827628657067</v>
      </c>
      <c r="N52" s="48">
        <v>11.535040896289207</v>
      </c>
      <c r="O52" s="48">
        <v>14.421015155590084</v>
      </c>
      <c r="P52" s="48">
        <v>17.30647331564457</v>
      </c>
    </row>
    <row r="53" spans="1:16">
      <c r="A53" s="183"/>
      <c r="B53" s="47">
        <v>49</v>
      </c>
      <c r="C53" s="48">
        <v>1.0763251341447138</v>
      </c>
      <c r="D53" s="48">
        <v>2.154947754416555</v>
      </c>
      <c r="E53" s="48">
        <v>3.2343100276114858</v>
      </c>
      <c r="F53" s="48">
        <v>4.3129102114953666</v>
      </c>
      <c r="G53" s="48">
        <v>5.3915268487304191</v>
      </c>
      <c r="H53" s="48">
        <v>6.4701016047079456</v>
      </c>
      <c r="I53" s="244"/>
      <c r="J53" s="47">
        <v>49</v>
      </c>
      <c r="K53" s="48">
        <v>3.1458680299110409</v>
      </c>
      <c r="L53" s="48">
        <v>6.2979314944175009</v>
      </c>
      <c r="M53" s="48">
        <v>9.4485119136797859</v>
      </c>
      <c r="N53" s="48">
        <v>12.600198446868518</v>
      </c>
      <c r="O53" s="48">
        <v>15.752665018478663</v>
      </c>
      <c r="P53" s="48">
        <v>18.904570680389799</v>
      </c>
    </row>
    <row r="54" spans="1:16">
      <c r="A54" s="183"/>
      <c r="B54" s="47">
        <v>50</v>
      </c>
      <c r="C54" s="48">
        <v>1.1363780270693091</v>
      </c>
      <c r="D54" s="48">
        <v>2.2751776284487581</v>
      </c>
      <c r="E54" s="48">
        <v>3.4147548600773168</v>
      </c>
      <c r="F54" s="48">
        <v>4.553533206718571</v>
      </c>
      <c r="G54" s="48">
        <v>5.6923284105659793</v>
      </c>
      <c r="H54" s="48">
        <v>6.8310811049369997</v>
      </c>
      <c r="I54" s="244"/>
      <c r="J54" s="47">
        <v>50</v>
      </c>
      <c r="K54" s="48">
        <v>3.4366127014679084</v>
      </c>
      <c r="L54" s="48">
        <v>6.8799961364337205</v>
      </c>
      <c r="M54" s="48">
        <v>10.321759080842714</v>
      </c>
      <c r="N54" s="48">
        <v>13.764730613640765</v>
      </c>
      <c r="O54" s="48">
        <v>17.208552335966584</v>
      </c>
      <c r="P54" s="48">
        <v>20.65176426718282</v>
      </c>
    </row>
    <row r="55" spans="1:16">
      <c r="A55" s="183"/>
      <c r="B55" s="47">
        <v>51</v>
      </c>
      <c r="C55" s="48">
        <v>1.1994916233738273</v>
      </c>
      <c r="D55" s="48">
        <v>2.4015362584043296</v>
      </c>
      <c r="E55" s="48">
        <v>3.6043971673560207</v>
      </c>
      <c r="F55" s="48">
        <v>4.8064216829588871</v>
      </c>
      <c r="G55" s="48">
        <v>6.0084620066834677</v>
      </c>
      <c r="H55" s="48">
        <v>7.210460654450805</v>
      </c>
      <c r="I55" s="244"/>
      <c r="J55" s="47">
        <v>51</v>
      </c>
      <c r="K55" s="48">
        <v>3.7545504318107055</v>
      </c>
      <c r="L55" s="48">
        <v>7.5165005016851421</v>
      </c>
      <c r="M55" s="48">
        <v>11.276680061927703</v>
      </c>
      <c r="N55" s="48">
        <v>15.038181037435294</v>
      </c>
      <c r="O55" s="48">
        <v>18.800607506614085</v>
      </c>
      <c r="P55" s="48">
        <v>22.562371471782896</v>
      </c>
    </row>
    <row r="56" spans="1:16">
      <c r="A56" s="183"/>
      <c r="B56" s="47">
        <v>52</v>
      </c>
      <c r="C56" s="48">
        <v>1.2658297299106158</v>
      </c>
      <c r="D56" s="48">
        <v>2.5343508339977614</v>
      </c>
      <c r="E56" s="48">
        <v>3.8037281883138889</v>
      </c>
      <c r="F56" s="48">
        <v>5.0722302646181667</v>
      </c>
      <c r="G56" s="48">
        <v>6.3407464355764214</v>
      </c>
      <c r="H56" s="48">
        <v>7.609223141503545</v>
      </c>
      <c r="I56" s="244"/>
      <c r="J56" s="47">
        <v>52</v>
      </c>
      <c r="K56" s="48">
        <v>4.1022963886573418</v>
      </c>
      <c r="L56" s="48">
        <v>8.2126809944982462</v>
      </c>
      <c r="M56" s="48">
        <v>12.321130404348381</v>
      </c>
      <c r="N56" s="48">
        <v>16.431024516230959</v>
      </c>
      <c r="O56" s="48">
        <v>20.54192639587275</v>
      </c>
      <c r="P56" s="48">
        <v>24.652108743429107</v>
      </c>
    </row>
    <row r="57" spans="1:16">
      <c r="A57" s="183"/>
      <c r="B57" s="47">
        <v>53</v>
      </c>
      <c r="C57" s="48">
        <v>1.3355638423905185</v>
      </c>
      <c r="D57" s="48">
        <v>2.6739653375315093</v>
      </c>
      <c r="E57" s="48">
        <v>4.013265007848636</v>
      </c>
      <c r="F57" s="48">
        <v>5.351648525657386</v>
      </c>
      <c r="G57" s="48">
        <v>6.6900444893115338</v>
      </c>
      <c r="H57" s="48">
        <v>8.0284024239936365</v>
      </c>
      <c r="I57" s="244"/>
      <c r="J57" s="47">
        <v>53</v>
      </c>
      <c r="K57" s="48">
        <v>4.4827219504983367</v>
      </c>
      <c r="L57" s="48">
        <v>8.9742852912793953</v>
      </c>
      <c r="M57" s="48">
        <v>13.46373352977885</v>
      </c>
      <c r="N57" s="48">
        <v>17.954761007771992</v>
      </c>
      <c r="O57" s="48">
        <v>22.446885794467619</v>
      </c>
      <c r="P57" s="48">
        <v>26.938229950082519</v>
      </c>
    </row>
    <row r="58" spans="1:16">
      <c r="A58" s="183"/>
      <c r="B58" s="47">
        <v>54</v>
      </c>
      <c r="C58" s="48">
        <v>1.408875826608972</v>
      </c>
      <c r="D58" s="48">
        <v>2.8207430608156643</v>
      </c>
      <c r="E58" s="48">
        <v>4.2335522355272648</v>
      </c>
      <c r="F58" s="48">
        <v>5.6454025039467632</v>
      </c>
      <c r="G58" s="48">
        <v>7.0572636304700671</v>
      </c>
      <c r="H58" s="48">
        <v>8.4690887895245233</v>
      </c>
      <c r="I58" s="244"/>
      <c r="J58" s="47">
        <v>54</v>
      </c>
      <c r="K58" s="48">
        <v>4.8989791662127544</v>
      </c>
      <c r="L58" s="48">
        <v>9.8076240807046204</v>
      </c>
      <c r="M58" s="48">
        <v>14.713956897717937</v>
      </c>
      <c r="N58" s="48">
        <v>19.622016831867423</v>
      </c>
      <c r="O58" s="48">
        <v>24.531271836066718</v>
      </c>
      <c r="P58" s="48">
        <v>29.439678550906404</v>
      </c>
    </row>
    <row r="59" spans="1:16">
      <c r="A59" s="183"/>
      <c r="B59" s="47">
        <v>55</v>
      </c>
      <c r="C59" s="48">
        <v>1.4859563094183106</v>
      </c>
      <c r="D59" s="48">
        <v>2.9750661823436353</v>
      </c>
      <c r="E59" s="48">
        <v>4.4651641673925395</v>
      </c>
      <c r="F59" s="48">
        <v>5.9542580492922621</v>
      </c>
      <c r="G59" s="48">
        <v>7.4433612592902545</v>
      </c>
      <c r="H59" s="48">
        <v>8.9324304883588432</v>
      </c>
      <c r="I59" s="244"/>
      <c r="J59" s="47">
        <v>55</v>
      </c>
      <c r="K59" s="48">
        <v>5.3545298755824744</v>
      </c>
      <c r="L59" s="48">
        <v>10.719627820208842</v>
      </c>
      <c r="M59" s="48">
        <v>16.082197850204821</v>
      </c>
      <c r="N59" s="48">
        <v>21.446656820099896</v>
      </c>
      <c r="O59" s="48">
        <v>26.812418392288695</v>
      </c>
      <c r="P59" s="48">
        <v>32.177257149041786</v>
      </c>
    </row>
    <row r="60" spans="1:16">
      <c r="A60" s="183"/>
      <c r="B60" s="47">
        <v>56</v>
      </c>
      <c r="C60" s="48">
        <v>1.5670071684637845</v>
      </c>
      <c r="D60" s="48">
        <v>3.1373380073490287</v>
      </c>
      <c r="E60" s="48">
        <v>4.7087060617526832</v>
      </c>
      <c r="F60" s="48">
        <v>6.2790218495610022</v>
      </c>
      <c r="G60" s="48">
        <v>7.8493461444997585</v>
      </c>
      <c r="H60" s="48">
        <v>9.419638374100721</v>
      </c>
      <c r="I60" s="244"/>
      <c r="J60" s="47">
        <v>56</v>
      </c>
      <c r="K60" s="48">
        <v>5.8531756361192491</v>
      </c>
      <c r="L60" s="48">
        <v>11.717907881737013</v>
      </c>
      <c r="M60" s="48">
        <v>17.579875309963427</v>
      </c>
      <c r="N60" s="48">
        <v>23.443908662096231</v>
      </c>
      <c r="O60" s="48">
        <v>29.309362705011665</v>
      </c>
      <c r="P60" s="48">
        <v>35.173812252141133</v>
      </c>
    </row>
    <row r="61" spans="1:16">
      <c r="A61" s="183"/>
      <c r="B61" s="47">
        <v>57</v>
      </c>
      <c r="C61" s="48">
        <v>1.652240545271904</v>
      </c>
      <c r="D61" s="48">
        <v>3.3079843291530313</v>
      </c>
      <c r="E61" s="48">
        <v>4.9648165665055126</v>
      </c>
      <c r="F61" s="48">
        <v>6.6205455633636952</v>
      </c>
      <c r="G61" s="48">
        <v>8.2762829181044122</v>
      </c>
      <c r="H61" s="48">
        <v>9.9319900558852048</v>
      </c>
      <c r="I61" s="244"/>
      <c r="J61" s="47">
        <v>57</v>
      </c>
      <c r="K61" s="48">
        <v>6.399092214667939</v>
      </c>
      <c r="L61" s="48">
        <v>12.810824119381262</v>
      </c>
      <c r="M61" s="48">
        <v>19.219531756445885</v>
      </c>
      <c r="N61" s="48">
        <v>25.630498593450461</v>
      </c>
      <c r="O61" s="48">
        <v>32.043016139121846</v>
      </c>
      <c r="P61" s="48">
        <v>38.454438802181471</v>
      </c>
    </row>
    <row r="62" spans="1:16">
      <c r="A62" s="183"/>
      <c r="B62" s="47">
        <v>58</v>
      </c>
      <c r="C62" s="48">
        <v>1.741881119579668</v>
      </c>
      <c r="D62" s="48">
        <v>3.4874540178534339</v>
      </c>
      <c r="E62" s="48">
        <v>5.234169263530748</v>
      </c>
      <c r="F62" s="48">
        <v>6.9797282615595577</v>
      </c>
      <c r="G62" s="48">
        <v>8.7252942097108477</v>
      </c>
      <c r="H62" s="48">
        <v>10.470832989201543</v>
      </c>
      <c r="I62" s="244"/>
      <c r="J62" s="47">
        <v>58</v>
      </c>
      <c r="K62" s="48">
        <v>6.9968680928646494</v>
      </c>
      <c r="L62" s="48">
        <v>14.007561242995351</v>
      </c>
      <c r="M62" s="48">
        <v>21.014946766656156</v>
      </c>
      <c r="N62" s="48">
        <v>28.024802111113679</v>
      </c>
      <c r="O62" s="48">
        <v>35.036351389967727</v>
      </c>
      <c r="P62" s="48">
        <v>42.046706511414307</v>
      </c>
    </row>
    <row r="63" spans="1:16">
      <c r="A63" s="183"/>
      <c r="B63" s="47">
        <v>59</v>
      </c>
      <c r="C63" s="48">
        <v>1.8361656678946974</v>
      </c>
      <c r="D63" s="48">
        <v>3.6762207913876677</v>
      </c>
      <c r="E63" s="48">
        <v>5.5174752982661799</v>
      </c>
      <c r="F63" s="48">
        <v>7.3575186204725993</v>
      </c>
      <c r="G63" s="48">
        <v>9.1975662905214346</v>
      </c>
      <c r="H63" s="48">
        <v>11.037590357997171</v>
      </c>
      <c r="I63" s="244"/>
      <c r="J63" s="47">
        <v>59</v>
      </c>
      <c r="K63" s="48">
        <v>7.6515440257483185</v>
      </c>
      <c r="L63" s="48">
        <v>15.318210468528115</v>
      </c>
      <c r="M63" s="48">
        <v>22.981259506420603</v>
      </c>
      <c r="N63" s="48">
        <v>30.647009175571679</v>
      </c>
      <c r="O63" s="48">
        <v>38.314609783349852</v>
      </c>
      <c r="P63" s="48">
        <v>45.980906659524571</v>
      </c>
    </row>
    <row r="64" spans="1:16" ht="15.75" customHeight="1" thickBot="1">
      <c r="A64" s="183"/>
      <c r="B64" s="55">
        <v>60</v>
      </c>
      <c r="C64" s="56">
        <v>1.9353438877360356</v>
      </c>
      <c r="D64" s="56">
        <v>3.8747860310262081</v>
      </c>
      <c r="E64" s="56">
        <v>5.8154863570945503</v>
      </c>
      <c r="F64" s="56">
        <v>7.7549187280912975</v>
      </c>
      <c r="G64" s="56">
        <v>9.6943517098563881</v>
      </c>
      <c r="H64" s="56">
        <v>11.633765757802969</v>
      </c>
      <c r="I64" s="244"/>
      <c r="J64" s="55">
        <v>60</v>
      </c>
      <c r="K64" s="56">
        <v>8.3686590275729209</v>
      </c>
      <c r="L64" s="56">
        <v>16.753861326373755</v>
      </c>
      <c r="M64" s="56">
        <v>25.13510706787509</v>
      </c>
      <c r="N64" s="56">
        <v>33.519305874295085</v>
      </c>
      <c r="O64" s="56">
        <v>41.905528156221912</v>
      </c>
      <c r="P64" s="56">
        <v>50.290326737150721</v>
      </c>
    </row>
  </sheetData>
  <mergeCells count="3">
    <mergeCell ref="B3:H3"/>
    <mergeCell ref="J3:P3"/>
    <mergeCell ref="B1:P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2"/>
  <sheetViews>
    <sheetView showGridLines="0" topLeftCell="D85" workbookViewId="0">
      <selection activeCell="H95" sqref="H95"/>
    </sheetView>
  </sheetViews>
  <sheetFormatPr defaultColWidth="17.28515625" defaultRowHeight="15" customHeight="1"/>
  <cols>
    <col min="1" max="1" width="8.85546875" style="184" customWidth="1"/>
    <col min="2" max="2" width="34.42578125" style="179" customWidth="1"/>
    <col min="3" max="3" width="16" style="179" customWidth="1"/>
    <col min="4" max="6" width="12.7109375" style="179" customWidth="1"/>
    <col min="7" max="7" width="16.28515625" style="179" customWidth="1"/>
    <col min="8" max="9" width="12.7109375" style="179" customWidth="1"/>
    <col min="10" max="10" width="21" style="179" customWidth="1"/>
    <col min="11" max="11" width="18.7109375" style="179" customWidth="1"/>
    <col min="12" max="12" width="14.85546875" style="179" customWidth="1"/>
    <col min="13" max="13" width="11.140625" style="179" bestFit="1" customWidth="1"/>
    <col min="14" max="14" width="13.140625" style="179" customWidth="1"/>
    <col min="15" max="15" width="12.7109375" style="179" customWidth="1"/>
    <col min="16" max="16" width="13.140625" style="179" customWidth="1"/>
    <col min="17" max="17" width="13.85546875" style="179" customWidth="1"/>
    <col min="18" max="18" width="13.140625" style="179" customWidth="1"/>
    <col min="19" max="19" width="14" style="179" customWidth="1"/>
  </cols>
  <sheetData>
    <row r="1" spans="1:20" ht="24" customHeight="1">
      <c r="A1" s="183"/>
      <c r="B1" s="374" t="s">
        <v>25</v>
      </c>
      <c r="C1" s="371"/>
      <c r="D1" s="371"/>
      <c r="E1" s="371"/>
      <c r="F1" s="371"/>
      <c r="G1" s="371"/>
      <c r="H1" s="371"/>
      <c r="I1" s="371"/>
      <c r="J1" s="371"/>
      <c r="K1" s="371"/>
      <c r="L1" s="371"/>
      <c r="M1" s="371"/>
      <c r="N1" s="180"/>
      <c r="O1" s="180"/>
      <c r="P1" s="180"/>
      <c r="Q1" s="180"/>
      <c r="R1" s="180"/>
      <c r="S1" s="180"/>
    </row>
    <row r="2" spans="1:20" s="184" customFormat="1" ht="15" customHeight="1">
      <c r="A2" s="183"/>
      <c r="B2" s="220"/>
      <c r="C2" s="220"/>
      <c r="D2" s="220"/>
      <c r="E2" s="220"/>
      <c r="F2" s="220"/>
      <c r="G2" s="220"/>
      <c r="H2" s="220"/>
      <c r="I2" s="220"/>
      <c r="J2" s="220"/>
      <c r="K2" s="220"/>
      <c r="L2" s="220"/>
      <c r="M2" s="220"/>
      <c r="N2" s="245"/>
      <c r="O2" s="245"/>
      <c r="P2" s="245"/>
      <c r="Q2" s="245"/>
      <c r="R2" s="245"/>
      <c r="S2" s="245"/>
    </row>
    <row r="3" spans="1:20" ht="16.5" customHeight="1">
      <c r="A3" s="183"/>
      <c r="B3" s="246" t="s">
        <v>46</v>
      </c>
      <c r="C3" s="247"/>
      <c r="D3" s="220"/>
      <c r="E3" s="220"/>
      <c r="F3" s="220"/>
      <c r="G3" s="220"/>
      <c r="H3" s="220"/>
      <c r="I3" s="248"/>
      <c r="J3" s="248"/>
      <c r="K3" s="220"/>
      <c r="L3" s="220"/>
      <c r="M3" s="220"/>
      <c r="N3" s="220"/>
      <c r="O3" s="220"/>
      <c r="P3" s="220"/>
      <c r="Q3" s="220"/>
      <c r="R3" s="220"/>
      <c r="S3" s="245"/>
    </row>
    <row r="4" spans="1:20" ht="16.5" customHeight="1">
      <c r="A4" s="183"/>
      <c r="B4" s="249" t="s">
        <v>50</v>
      </c>
      <c r="C4" s="250"/>
      <c r="D4" s="220"/>
      <c r="E4" s="220"/>
      <c r="F4" s="220"/>
      <c r="G4" s="220"/>
      <c r="H4" s="220"/>
      <c r="I4" s="248"/>
      <c r="J4" s="248"/>
      <c r="K4" s="220"/>
      <c r="L4" s="220"/>
      <c r="M4" s="220"/>
      <c r="N4" s="220"/>
      <c r="O4" s="220"/>
      <c r="P4" s="220"/>
      <c r="Q4" s="220"/>
      <c r="R4" s="220"/>
      <c r="S4" s="245"/>
    </row>
    <row r="5" spans="1:20" s="184" customFormat="1" ht="16.5" customHeight="1">
      <c r="A5" s="183"/>
      <c r="B5" s="251"/>
      <c r="C5" s="252"/>
      <c r="D5" s="220"/>
      <c r="E5" s="220"/>
      <c r="F5" s="220"/>
      <c r="G5" s="220"/>
      <c r="H5" s="220"/>
      <c r="I5" s="248"/>
      <c r="J5" s="248"/>
      <c r="K5" s="220"/>
      <c r="L5" s="220"/>
      <c r="M5" s="220"/>
      <c r="N5" s="220"/>
      <c r="O5" s="220"/>
      <c r="P5" s="220"/>
      <c r="Q5" s="220"/>
      <c r="R5" s="220"/>
      <c r="S5" s="245"/>
    </row>
    <row r="6" spans="1:20" ht="18" customHeight="1">
      <c r="A6" s="242"/>
      <c r="B6" s="382" t="s">
        <v>75</v>
      </c>
      <c r="C6" s="383"/>
      <c r="D6" s="220"/>
      <c r="E6" s="220"/>
      <c r="F6" s="220"/>
      <c r="G6" s="220"/>
      <c r="H6" s="220"/>
      <c r="I6" s="248"/>
      <c r="J6" s="248"/>
      <c r="K6" s="220"/>
      <c r="L6" s="220"/>
      <c r="M6" s="220"/>
      <c r="N6" s="220"/>
      <c r="O6" s="220"/>
      <c r="P6" s="220"/>
      <c r="Q6" s="220"/>
      <c r="R6" s="220"/>
      <c r="S6" s="253"/>
      <c r="T6" s="184"/>
    </row>
    <row r="7" spans="1:20">
      <c r="A7" s="183"/>
      <c r="B7" s="254" t="s">
        <v>155</v>
      </c>
      <c r="C7" s="255">
        <v>25</v>
      </c>
      <c r="D7" s="256" t="s">
        <v>158</v>
      </c>
      <c r="E7" s="257"/>
      <c r="F7" s="257"/>
      <c r="G7" s="257"/>
      <c r="H7" s="257"/>
      <c r="I7" s="257"/>
      <c r="J7" s="245"/>
      <c r="K7" s="245"/>
      <c r="L7" s="245"/>
      <c r="M7" s="245"/>
      <c r="N7" s="245"/>
      <c r="O7" s="245"/>
      <c r="P7" s="245"/>
      <c r="Q7" s="245"/>
      <c r="R7" s="245"/>
      <c r="S7" s="245"/>
      <c r="T7" s="184"/>
    </row>
    <row r="8" spans="1:20" ht="30" customHeight="1">
      <c r="A8" s="183"/>
      <c r="B8" s="258" t="s">
        <v>184</v>
      </c>
      <c r="C8" s="259">
        <f>Summary!C31</f>
        <v>693.5</v>
      </c>
      <c r="D8" s="260"/>
      <c r="E8" s="260"/>
      <c r="F8" s="260"/>
      <c r="G8" s="260"/>
      <c r="H8" s="260"/>
      <c r="I8" s="260"/>
      <c r="J8" s="245"/>
      <c r="K8" s="245"/>
      <c r="L8" s="245"/>
      <c r="M8" s="245"/>
      <c r="N8" s="245"/>
      <c r="O8" s="245"/>
      <c r="P8" s="245"/>
      <c r="Q8" s="245"/>
      <c r="R8" s="245"/>
      <c r="S8" s="245"/>
      <c r="T8" s="184"/>
    </row>
    <row r="9" spans="1:20" ht="30" customHeight="1">
      <c r="A9" s="183"/>
      <c r="B9" s="261" t="s">
        <v>199</v>
      </c>
      <c r="C9" s="262">
        <v>22.5</v>
      </c>
      <c r="D9" s="263"/>
      <c r="E9" s="263"/>
      <c r="F9" s="263"/>
      <c r="G9" s="263"/>
      <c r="H9" s="257"/>
      <c r="I9" s="257"/>
      <c r="J9" s="245"/>
      <c r="K9" s="245"/>
      <c r="L9" s="245"/>
      <c r="M9" s="245"/>
      <c r="N9" s="245"/>
      <c r="O9" s="245"/>
      <c r="P9" s="245"/>
      <c r="Q9" s="245"/>
      <c r="R9" s="245"/>
      <c r="S9" s="245"/>
      <c r="T9" s="184"/>
    </row>
    <row r="10" spans="1:20" ht="30" customHeight="1">
      <c r="A10" s="183"/>
      <c r="B10" s="337" t="s">
        <v>371</v>
      </c>
      <c r="C10" s="264">
        <f>C9*C8*1000000</f>
        <v>15603750000</v>
      </c>
      <c r="D10" s="265"/>
      <c r="E10" s="265"/>
      <c r="F10" s="265"/>
      <c r="G10" s="265"/>
      <c r="H10" s="257"/>
      <c r="I10" s="257"/>
      <c r="J10" s="245"/>
      <c r="K10" s="245"/>
      <c r="L10" s="245"/>
      <c r="M10" s="245"/>
      <c r="N10" s="245"/>
      <c r="O10" s="245"/>
      <c r="P10" s="245"/>
      <c r="Q10" s="245"/>
      <c r="R10" s="245"/>
      <c r="S10" s="245"/>
      <c r="T10" s="184"/>
    </row>
    <row r="11" spans="1:20" ht="30" customHeight="1">
      <c r="A11" s="183"/>
      <c r="B11" s="261" t="s">
        <v>212</v>
      </c>
      <c r="C11" s="262">
        <v>7.0000000000000007E-2</v>
      </c>
      <c r="D11" s="263"/>
      <c r="E11" s="263"/>
      <c r="F11" s="263"/>
      <c r="G11" s="263"/>
      <c r="H11" s="257"/>
      <c r="I11" s="257"/>
      <c r="J11" s="245"/>
      <c r="K11" s="245"/>
      <c r="L11" s="245"/>
      <c r="M11" s="245"/>
      <c r="N11" s="245"/>
      <c r="O11" s="245"/>
      <c r="P11" s="245"/>
      <c r="Q11" s="245"/>
      <c r="R11" s="245"/>
      <c r="S11" s="245"/>
      <c r="T11" s="184"/>
    </row>
    <row r="12" spans="1:20" ht="30" customHeight="1">
      <c r="A12" s="183"/>
      <c r="B12" s="258" t="s">
        <v>213</v>
      </c>
      <c r="C12" s="266"/>
      <c r="D12" s="257"/>
      <c r="E12" s="257"/>
      <c r="F12" s="257"/>
      <c r="G12" s="257"/>
      <c r="H12" s="257"/>
      <c r="I12" s="257"/>
      <c r="J12" s="245"/>
      <c r="K12" s="245"/>
      <c r="L12" s="245"/>
      <c r="M12" s="245"/>
      <c r="N12" s="245"/>
      <c r="O12" s="245"/>
      <c r="P12" s="245"/>
      <c r="Q12" s="245"/>
      <c r="R12" s="245"/>
      <c r="S12" s="245"/>
      <c r="T12" s="184"/>
    </row>
    <row r="13" spans="1:20" ht="45" customHeight="1">
      <c r="A13" s="183"/>
      <c r="B13" s="258" t="s">
        <v>222</v>
      </c>
      <c r="C13" s="267">
        <v>2</v>
      </c>
      <c r="D13" s="257"/>
      <c r="E13" s="257"/>
      <c r="F13" s="257"/>
      <c r="G13" s="257"/>
      <c r="H13" s="263"/>
      <c r="I13" s="257"/>
      <c r="J13" s="245"/>
      <c r="K13" s="245"/>
      <c r="L13" s="245"/>
      <c r="M13" s="245"/>
      <c r="N13" s="245"/>
      <c r="O13" s="245"/>
      <c r="P13" s="245"/>
      <c r="Q13" s="245"/>
      <c r="R13" s="245"/>
      <c r="S13" s="245"/>
      <c r="T13" s="184"/>
    </row>
    <row r="14" spans="1:20">
      <c r="A14" s="183"/>
      <c r="B14" s="258" t="s">
        <v>240</v>
      </c>
      <c r="C14" s="268">
        <f>Summary!C47</f>
        <v>200</v>
      </c>
      <c r="D14" s="257"/>
      <c r="E14" s="257"/>
      <c r="F14" s="257"/>
      <c r="G14" s="257"/>
      <c r="H14" s="263"/>
      <c r="I14" s="257"/>
      <c r="J14" s="245"/>
      <c r="K14" s="245"/>
      <c r="L14" s="245"/>
      <c r="M14" s="245"/>
      <c r="N14" s="245"/>
      <c r="O14" s="245"/>
      <c r="P14" s="245"/>
      <c r="Q14" s="245"/>
      <c r="R14" s="245"/>
      <c r="S14" s="245"/>
      <c r="T14" s="184"/>
    </row>
    <row r="15" spans="1:20" ht="30" customHeight="1">
      <c r="A15" s="183"/>
      <c r="B15" s="258" t="s">
        <v>284</v>
      </c>
      <c r="C15" s="269">
        <f>Summary!C48</f>
        <v>28.356481481481481</v>
      </c>
      <c r="D15" s="257"/>
      <c r="E15" s="257"/>
      <c r="F15" s="257"/>
      <c r="G15" s="257"/>
      <c r="H15" s="257"/>
      <c r="I15" s="257"/>
      <c r="J15" s="245"/>
      <c r="K15" s="245"/>
      <c r="L15" s="245"/>
      <c r="M15" s="245"/>
      <c r="N15" s="245"/>
      <c r="O15" s="245"/>
      <c r="P15" s="245"/>
      <c r="Q15" s="245"/>
      <c r="R15" s="245"/>
      <c r="S15" s="245"/>
      <c r="T15" s="184"/>
    </row>
    <row r="16" spans="1:20">
      <c r="A16" s="183"/>
      <c r="B16" s="258" t="s">
        <v>285</v>
      </c>
      <c r="C16" s="270">
        <f>C14*C13</f>
        <v>400</v>
      </c>
      <c r="D16" s="271"/>
      <c r="E16" s="271"/>
      <c r="F16" s="271"/>
      <c r="G16" s="271"/>
      <c r="H16" s="260"/>
      <c r="I16" s="260"/>
      <c r="J16" s="245"/>
      <c r="K16" s="245"/>
      <c r="L16" s="245"/>
      <c r="M16" s="245"/>
      <c r="N16" s="245"/>
      <c r="O16" s="245"/>
      <c r="P16" s="245"/>
      <c r="Q16" s="245"/>
      <c r="R16" s="245"/>
      <c r="S16" s="245"/>
      <c r="T16" s="184"/>
    </row>
    <row r="17" spans="1:20" ht="30" customHeight="1">
      <c r="A17" s="183"/>
      <c r="B17" s="258" t="s">
        <v>286</v>
      </c>
      <c r="C17" s="259">
        <f>C10/C16</f>
        <v>39009375</v>
      </c>
      <c r="D17" s="260"/>
      <c r="E17" s="260"/>
      <c r="F17" s="260"/>
      <c r="G17" s="260"/>
      <c r="H17" s="260"/>
      <c r="I17" s="260"/>
      <c r="J17" s="245"/>
      <c r="K17" s="245"/>
      <c r="L17" s="245"/>
      <c r="M17" s="245"/>
      <c r="N17" s="245"/>
      <c r="O17" s="245"/>
      <c r="P17" s="245"/>
      <c r="Q17" s="245"/>
      <c r="R17" s="245"/>
      <c r="S17" s="245"/>
      <c r="T17" s="184"/>
    </row>
    <row r="18" spans="1:20" ht="45.75" customHeight="1">
      <c r="A18" s="183"/>
      <c r="B18" s="272" t="s">
        <v>287</v>
      </c>
      <c r="C18" s="273">
        <v>1</v>
      </c>
      <c r="D18" s="260"/>
      <c r="E18" s="260"/>
      <c r="F18" s="260"/>
      <c r="G18" s="260"/>
      <c r="H18" s="260"/>
      <c r="I18" s="260"/>
      <c r="J18" s="245"/>
      <c r="K18" s="245"/>
      <c r="L18" s="245"/>
      <c r="M18" s="245"/>
      <c r="N18" s="245"/>
      <c r="O18" s="245"/>
      <c r="P18" s="245"/>
      <c r="Q18" s="245"/>
      <c r="R18" s="245"/>
      <c r="S18" s="245"/>
      <c r="T18" s="184"/>
    </row>
    <row r="19" spans="1:20" s="184" customFormat="1" ht="18.75" customHeight="1">
      <c r="A19" s="183"/>
      <c r="B19" s="274"/>
      <c r="C19" s="275"/>
      <c r="D19" s="260"/>
      <c r="E19" s="260"/>
      <c r="F19" s="260"/>
      <c r="G19" s="260"/>
      <c r="H19" s="260"/>
      <c r="I19" s="260"/>
      <c r="J19" s="245"/>
      <c r="K19" s="245"/>
      <c r="L19" s="245"/>
      <c r="M19" s="245"/>
      <c r="N19" s="245"/>
      <c r="O19" s="245"/>
      <c r="P19" s="245"/>
      <c r="Q19" s="245"/>
      <c r="R19" s="245"/>
      <c r="S19" s="245"/>
    </row>
    <row r="20" spans="1:20" ht="60.75" customHeight="1">
      <c r="A20" s="218"/>
      <c r="B20" s="43" t="s">
        <v>45</v>
      </c>
      <c r="C20" s="43" t="s">
        <v>297</v>
      </c>
      <c r="D20" s="43" t="s">
        <v>266</v>
      </c>
      <c r="E20" s="43" t="s">
        <v>298</v>
      </c>
      <c r="F20" s="43" t="s">
        <v>170</v>
      </c>
      <c r="G20" s="43" t="s">
        <v>299</v>
      </c>
      <c r="H20" s="43" t="s">
        <v>300</v>
      </c>
      <c r="I20" s="43" t="s">
        <v>271</v>
      </c>
      <c r="J20" s="43" t="s">
        <v>302</v>
      </c>
      <c r="K20" s="336" t="s">
        <v>370</v>
      </c>
      <c r="L20" s="43" t="s">
        <v>303</v>
      </c>
      <c r="M20" s="43" t="s">
        <v>304</v>
      </c>
      <c r="N20" s="43" t="s">
        <v>309</v>
      </c>
      <c r="O20" s="43" t="s">
        <v>310</v>
      </c>
      <c r="P20" s="43" t="s">
        <v>311</v>
      </c>
      <c r="Q20" s="43" t="s">
        <v>282</v>
      </c>
      <c r="R20" s="43" t="s">
        <v>312</v>
      </c>
      <c r="S20" s="43" t="s">
        <v>313</v>
      </c>
    </row>
    <row r="21" spans="1:20">
      <c r="A21" s="183"/>
      <c r="B21" s="124">
        <v>1</v>
      </c>
      <c r="C21" s="120">
        <f>E21</f>
        <v>39009375</v>
      </c>
      <c r="D21" s="48">
        <f t="shared" ref="D21:D120" si="0">H21/I21</f>
        <v>0</v>
      </c>
      <c r="E21" s="120">
        <f>K21/C$16</f>
        <v>39009375</v>
      </c>
      <c r="F21" s="116">
        <f t="shared" ref="F21:F120" si="1">E21*C$18/1000000</f>
        <v>39.009374999999999</v>
      </c>
      <c r="G21" s="118">
        <f>C21/Summary!C$58</f>
        <v>6.1831312410841653E-3</v>
      </c>
      <c r="H21" s="119">
        <v>0</v>
      </c>
      <c r="I21" s="119">
        <f>Summary!C34</f>
        <v>347.92166666666662</v>
      </c>
      <c r="J21" s="120"/>
      <c r="K21" s="122">
        <f t="shared" ref="K21:K120" si="2">C$10+J21</f>
        <v>15603750000</v>
      </c>
      <c r="L21" s="120">
        <f t="shared" ref="L21:L120" ca="1" si="3">ROUNDUP(IF(B21&gt;$C$7,OFFSET(E21,-1*$C$7,0),0),0)</f>
        <v>0</v>
      </c>
      <c r="M21" s="276"/>
      <c r="N21" s="277">
        <f>M21/'Alberta Electricity Profile'!$D$49</f>
        <v>0</v>
      </c>
      <c r="O21" s="278">
        <f>I21</f>
        <v>347.92166666666662</v>
      </c>
      <c r="P21" s="276">
        <v>0</v>
      </c>
      <c r="Q21" s="276"/>
      <c r="R21" s="276"/>
      <c r="S21" s="276"/>
    </row>
    <row r="22" spans="1:20">
      <c r="A22" s="183"/>
      <c r="B22" s="124">
        <f t="shared" ref="B22:B120" si="4">B21+1</f>
        <v>2</v>
      </c>
      <c r="C22" s="120">
        <f t="shared" ref="C22:C120" ca="1" si="5">C21+E22-L22</f>
        <v>78272958</v>
      </c>
      <c r="D22" s="48">
        <f t="shared" si="0"/>
        <v>7.596026293916619E-3</v>
      </c>
      <c r="E22" s="120">
        <f t="shared" ref="E22:E120" si="6">ROUNDDOWN(K22/C$16,0)</f>
        <v>39263583</v>
      </c>
      <c r="F22" s="116">
        <f t="shared" si="1"/>
        <v>39.263582999999997</v>
      </c>
      <c r="G22" s="118">
        <f ca="1">C22/Summary!C$58</f>
        <v>1.240655539705183E-2</v>
      </c>
      <c r="H22" s="119">
        <f>H21+M22*Summary!$C$26/1000000</f>
        <v>5.2856442564465862</v>
      </c>
      <c r="I22" s="119">
        <f t="shared" ref="I22:I120" si="7">I21+I$21</f>
        <v>695.84333333333325</v>
      </c>
      <c r="J22" s="122">
        <f>C21*Summary!C$49*Summary!C$62*24*365*1000*C$11</f>
        <v>101683579.55348147</v>
      </c>
      <c r="K22" s="122">
        <f t="shared" si="2"/>
        <v>15705433579.553482</v>
      </c>
      <c r="L22" s="120">
        <f t="shared" ca="1" si="3"/>
        <v>0</v>
      </c>
      <c r="M22" s="278">
        <f>C21*Summary!$C$49*Summary!$C$61</f>
        <v>829.12246863569351</v>
      </c>
      <c r="N22" s="277">
        <f>M22/'Alberta Electricity Profile'!$D$49</f>
        <v>6.3513361010218358E-3</v>
      </c>
      <c r="O22" s="278">
        <f t="shared" ref="O22:O120" si="8">I22-I21</f>
        <v>347.92166666666662</v>
      </c>
      <c r="P22" s="278">
        <f t="shared" ref="P22:P120" si="9">H22-H21</f>
        <v>5.2856442564465862</v>
      </c>
      <c r="Q22" s="276">
        <f t="shared" ref="Q22:Q120" si="10">P22/M22*1000</f>
        <v>6.37498615270193</v>
      </c>
      <c r="R22" s="276">
        <f t="shared" ref="R22:R120" si="11">M22*10^6/C21</f>
        <v>21.254441237156289</v>
      </c>
      <c r="S22" s="276">
        <f t="shared" ref="S22:S120" si="12">P22/C21*1000000</f>
        <v>0.1354967685702882</v>
      </c>
    </row>
    <row r="23" spans="1:20">
      <c r="A23" s="183"/>
      <c r="B23" s="124">
        <f t="shared" si="4"/>
        <v>3</v>
      </c>
      <c r="C23" s="120">
        <f t="shared" ca="1" si="5"/>
        <v>117792407</v>
      </c>
      <c r="D23" s="48">
        <f t="shared" ca="1" si="0"/>
        <v>1.5225052700449311E-2</v>
      </c>
      <c r="E23" s="120">
        <f t="shared" ca="1" si="6"/>
        <v>39519449</v>
      </c>
      <c r="F23" s="116">
        <f t="shared" ca="1" si="1"/>
        <v>39.519449000000002</v>
      </c>
      <c r="G23" s="118">
        <f ca="1">C23/Summary!C$58</f>
        <v>1.8670535267078778E-2</v>
      </c>
      <c r="H23" s="119">
        <f ca="1">H22+M23*Summary!$C$26/1000000</f>
        <v>15.891377131884473</v>
      </c>
      <c r="I23" s="119">
        <f t="shared" si="7"/>
        <v>1043.7649999999999</v>
      </c>
      <c r="J23" s="122">
        <f ca="1">C22*Summary!C$49*Summary!C$62*24*365*1000*C$11</f>
        <v>204029789.03607953</v>
      </c>
      <c r="K23" s="122">
        <f t="shared" ca="1" si="2"/>
        <v>15807779789.036079</v>
      </c>
      <c r="L23" s="120">
        <f t="shared" ca="1" si="3"/>
        <v>0</v>
      </c>
      <c r="M23" s="278">
        <f ca="1">C22*Summary!$C$49*Summary!$C$61</f>
        <v>1663.6479862694021</v>
      </c>
      <c r="N23" s="277">
        <f ca="1">M23/'Alberta Electricity Profile'!$D$49</f>
        <v>1.274406123859113E-2</v>
      </c>
      <c r="O23" s="278">
        <f t="shared" si="8"/>
        <v>347.92166666666662</v>
      </c>
      <c r="P23" s="278">
        <f t="shared" ca="1" si="9"/>
        <v>10.605732875437887</v>
      </c>
      <c r="Q23" s="276">
        <f t="shared" ca="1" si="10"/>
        <v>6.3749861527019291</v>
      </c>
      <c r="R23" s="276">
        <f t="shared" ca="1" si="11"/>
        <v>21.254441237156286</v>
      </c>
      <c r="S23" s="276">
        <f t="shared" ca="1" si="12"/>
        <v>0.1354967685702882</v>
      </c>
    </row>
    <row r="24" spans="1:20">
      <c r="A24" s="183"/>
      <c r="B24" s="124">
        <f t="shared" si="4"/>
        <v>4</v>
      </c>
      <c r="C24" s="120">
        <f t="shared" ca="1" si="5"/>
        <v>157569389</v>
      </c>
      <c r="D24" s="48">
        <f t="shared" ca="1" si="0"/>
        <v>2.2887240645045107E-2</v>
      </c>
      <c r="E24" s="120">
        <f t="shared" ca="1" si="6"/>
        <v>39776982</v>
      </c>
      <c r="F24" s="116">
        <f t="shared" ca="1" si="1"/>
        <v>39.776981999999997</v>
      </c>
      <c r="G24" s="118">
        <f ca="1">C24/Summary!C$58</f>
        <v>2.4975335076874307E-2</v>
      </c>
      <c r="H24" s="119">
        <f ca="1">H23+M24*Summary!$C$26/1000000</f>
        <v>31.851867642500672</v>
      </c>
      <c r="I24" s="119">
        <f>I23+I$21</f>
        <v>1391.6866666666665</v>
      </c>
      <c r="J24" s="122">
        <f ca="1">C23*Summary!C$49*Summary!C$62*24*365*1000*C$11</f>
        <v>307042950.26466244</v>
      </c>
      <c r="K24" s="122">
        <f t="shared" ca="1" si="2"/>
        <v>15910792950.264662</v>
      </c>
      <c r="L24" s="120">
        <f t="shared" ca="1" si="3"/>
        <v>0</v>
      </c>
      <c r="M24" s="278">
        <f ca="1">C23*Summary!$C$49*Summary!$C$61</f>
        <v>2503.6117927646974</v>
      </c>
      <c r="N24" s="277">
        <f ca="1">M24/'Alberta Electricity Profile'!$D$49</f>
        <v>1.9178445361028147E-2</v>
      </c>
      <c r="O24" s="278">
        <f t="shared" si="8"/>
        <v>347.92166666666662</v>
      </c>
      <c r="P24" s="278">
        <f t="shared" ca="1" si="9"/>
        <v>15.960490510616198</v>
      </c>
      <c r="Q24" s="276">
        <f t="shared" ca="1" si="10"/>
        <v>6.3749861527019291</v>
      </c>
      <c r="R24" s="276">
        <f t="shared" ca="1" si="11"/>
        <v>21.254441237156293</v>
      </c>
      <c r="S24" s="276">
        <f t="shared" ca="1" si="12"/>
        <v>0.13549676857028822</v>
      </c>
    </row>
    <row r="25" spans="1:20">
      <c r="A25" s="183"/>
      <c r="B25" s="124">
        <f t="shared" si="4"/>
        <v>5</v>
      </c>
      <c r="C25" s="120">
        <f t="shared" ca="1" si="5"/>
        <v>197605582</v>
      </c>
      <c r="D25" s="48">
        <f t="shared" ca="1" si="0"/>
        <v>3.0582752254154175E-2</v>
      </c>
      <c r="E25" s="120">
        <f t="shared" ca="1" si="6"/>
        <v>40036193</v>
      </c>
      <c r="F25" s="116">
        <f t="shared" ca="1" si="1"/>
        <v>40.036192999999997</v>
      </c>
      <c r="G25" s="118">
        <f ca="1">C25/Summary!C$58</f>
        <v>3.1321220795688699E-2</v>
      </c>
      <c r="H25" s="119">
        <f ca="1">H24+M25*Summary!$C$26/1000000</f>
        <v>53.202010677595382</v>
      </c>
      <c r="I25" s="119">
        <f t="shared" si="7"/>
        <v>1739.6083333333331</v>
      </c>
      <c r="J25" s="122">
        <f ca="1">C24*Summary!C$49*Summary!C$62*24*365*1000*C$11</f>
        <v>410727408.51590091</v>
      </c>
      <c r="K25" s="122">
        <f t="shared" ca="1" si="2"/>
        <v>16014477408.515902</v>
      </c>
      <c r="L25" s="120">
        <f t="shared" ca="1" si="3"/>
        <v>0</v>
      </c>
      <c r="M25" s="278">
        <f ca="1">C24*Summary!$C$49*Summary!$C$61</f>
        <v>3349.0493192751205</v>
      </c>
      <c r="N25" s="277">
        <f ca="1">M25/'Alberta Electricity Profile'!$D$49</f>
        <v>2.5654759881993831E-2</v>
      </c>
      <c r="O25" s="278">
        <f t="shared" si="8"/>
        <v>347.92166666666662</v>
      </c>
      <c r="P25" s="278">
        <f t="shared" ca="1" si="9"/>
        <v>21.35014303509471</v>
      </c>
      <c r="Q25" s="276">
        <f t="shared" ca="1" si="10"/>
        <v>6.3749861527019274</v>
      </c>
      <c r="R25" s="276">
        <f t="shared" ca="1" si="11"/>
        <v>21.254441237156289</v>
      </c>
      <c r="S25" s="276">
        <f t="shared" ca="1" si="12"/>
        <v>0.13549676857028817</v>
      </c>
    </row>
    <row r="26" spans="1:20">
      <c r="A26" s="183"/>
      <c r="B26" s="124">
        <f t="shared" si="4"/>
        <v>6</v>
      </c>
      <c r="C26" s="120">
        <f t="shared" ca="1" si="5"/>
        <v>237902675</v>
      </c>
      <c r="D26" s="48">
        <f t="shared" ca="1" si="0"/>
        <v>3.8311750485045246E-2</v>
      </c>
      <c r="E26" s="120">
        <f t="shared" ca="1" si="6"/>
        <v>40297093</v>
      </c>
      <c r="F26" s="116">
        <f t="shared" ca="1" si="1"/>
        <v>40.297092999999997</v>
      </c>
      <c r="G26" s="118">
        <f ca="1">C26/Summary!C$58</f>
        <v>3.7708460136313203E-2</v>
      </c>
      <c r="H26" s="119">
        <f ca="1">H25+M26*Summary!$C$26/1000000</f>
        <v>79.97692849004649</v>
      </c>
      <c r="I26" s="119">
        <f t="shared" si="7"/>
        <v>2087.5299999999997</v>
      </c>
      <c r="J26" s="122">
        <f ca="1">C25*Summary!C$49*Summary!C$62*24*365*1000*C$11</f>
        <v>515087537.73955643</v>
      </c>
      <c r="K26" s="122">
        <f t="shared" ca="1" si="2"/>
        <v>16118837537.739557</v>
      </c>
      <c r="L26" s="120">
        <f t="shared" ca="1" si="3"/>
        <v>0</v>
      </c>
      <c r="M26" s="278">
        <f ca="1">C25*Summary!$C$49*Summary!$C$61</f>
        <v>4199.9962307530686</v>
      </c>
      <c r="N26" s="277">
        <f ca="1">M26/'Alberta Electricity Profile'!$D$49</f>
        <v>3.2173278006121117E-2</v>
      </c>
      <c r="O26" s="278">
        <f t="shared" si="8"/>
        <v>347.92166666666662</v>
      </c>
      <c r="P26" s="278">
        <f t="shared" ca="1" si="9"/>
        <v>26.774917812451108</v>
      </c>
      <c r="Q26" s="276">
        <f t="shared" ca="1" si="10"/>
        <v>6.3749861527019291</v>
      </c>
      <c r="R26" s="276">
        <f t="shared" ca="1" si="11"/>
        <v>21.254441237156289</v>
      </c>
      <c r="S26" s="276">
        <f t="shared" ca="1" si="12"/>
        <v>0.1354967685702882</v>
      </c>
    </row>
    <row r="27" spans="1:20">
      <c r="A27" s="183"/>
      <c r="B27" s="124">
        <f t="shared" si="4"/>
        <v>7</v>
      </c>
      <c r="C27" s="120">
        <f t="shared" ca="1" si="5"/>
        <v>278462369</v>
      </c>
      <c r="D27" s="48">
        <f t="shared" ca="1" si="0"/>
        <v>4.6074399144350631E-2</v>
      </c>
      <c r="E27" s="120">
        <f t="shared" ca="1" si="6"/>
        <v>40559694</v>
      </c>
      <c r="F27" s="116">
        <f t="shared" ca="1" si="1"/>
        <v>40.559694</v>
      </c>
      <c r="G27" s="118">
        <f ca="1">C27/Summary!C$58</f>
        <v>4.4137322713583768E-2</v>
      </c>
      <c r="H27" s="119">
        <f ca="1">H26+M27*Summary!$C$26/1000000</f>
        <v>112.21197218677398</v>
      </c>
      <c r="I27" s="119">
        <f t="shared" si="7"/>
        <v>2435.4516666666664</v>
      </c>
      <c r="J27" s="122">
        <f ca="1">C26*Summary!C$49*Summary!C$62*24*365*1000*C$11</f>
        <v>620127740.55848229</v>
      </c>
      <c r="K27" s="122">
        <f t="shared" ca="1" si="2"/>
        <v>16223877740.558483</v>
      </c>
      <c r="L27" s="120">
        <f t="shared" ca="1" si="3"/>
        <v>0</v>
      </c>
      <c r="M27" s="278">
        <f ca="1">C26*Summary!$C$49*Summary!$C$61</f>
        <v>5056.4884259497903</v>
      </c>
      <c r="N27" s="277">
        <f ca="1">M27/'Alberta Electricity Profile'!$D$49</f>
        <v>3.8734274729014889E-2</v>
      </c>
      <c r="O27" s="278">
        <f t="shared" si="8"/>
        <v>347.92166666666662</v>
      </c>
      <c r="P27" s="278">
        <f t="shared" ca="1" si="9"/>
        <v>32.235043696727487</v>
      </c>
      <c r="Q27" s="276">
        <f t="shared" ca="1" si="10"/>
        <v>6.3749861527019291</v>
      </c>
      <c r="R27" s="276">
        <f t="shared" ca="1" si="11"/>
        <v>21.254441237156286</v>
      </c>
      <c r="S27" s="276">
        <f t="shared" ca="1" si="12"/>
        <v>0.1354967685702882</v>
      </c>
    </row>
    <row r="28" spans="1:20">
      <c r="A28" s="183"/>
      <c r="B28" s="124">
        <f t="shared" si="4"/>
        <v>8</v>
      </c>
      <c r="C28" s="120">
        <f t="shared" ca="1" si="5"/>
        <v>319286375</v>
      </c>
      <c r="D28" s="48">
        <f t="shared" ca="1" si="0"/>
        <v>5.3870862941383303E-2</v>
      </c>
      <c r="E28" s="120">
        <f t="shared" ca="1" si="6"/>
        <v>40824006</v>
      </c>
      <c r="F28" s="116">
        <f t="shared" ca="1" si="1"/>
        <v>40.824005999999997</v>
      </c>
      <c r="G28" s="118">
        <f ca="1">C28/Summary!C$58</f>
        <v>5.0608079727373592E-2</v>
      </c>
      <c r="H28" s="119">
        <f ca="1">H27+M28*Summary!$C$26/1000000</f>
        <v>149.94272335470117</v>
      </c>
      <c r="I28" s="119">
        <f t="shared" si="7"/>
        <v>2783.373333333333</v>
      </c>
      <c r="J28" s="122">
        <f ca="1">C27*Summary!C$49*Summary!C$62*24*365*1000*C$11</f>
        <v>725852450.87526822</v>
      </c>
      <c r="K28" s="122">
        <f t="shared" ca="1" si="2"/>
        <v>16329602450.875269</v>
      </c>
      <c r="L28" s="120">
        <f t="shared" ca="1" si="3"/>
        <v>0</v>
      </c>
      <c r="M28" s="278">
        <f ca="1">C27*Summary!$C$49*Summary!$C$61</f>
        <v>5918.5620586698305</v>
      </c>
      <c r="N28" s="277">
        <f ca="1">M28/'Alberta Electricity Profile'!$D$49</f>
        <v>4.5338027000067643E-2</v>
      </c>
      <c r="O28" s="278">
        <f t="shared" si="8"/>
        <v>347.92166666666662</v>
      </c>
      <c r="P28" s="278">
        <f t="shared" ca="1" si="9"/>
        <v>37.730751167927195</v>
      </c>
      <c r="Q28" s="276">
        <f t="shared" ca="1" si="10"/>
        <v>6.3749861527019291</v>
      </c>
      <c r="R28" s="276">
        <f t="shared" ca="1" si="11"/>
        <v>21.254441237156286</v>
      </c>
      <c r="S28" s="276">
        <f t="shared" ca="1" si="12"/>
        <v>0.1354967685702882</v>
      </c>
    </row>
    <row r="29" spans="1:20">
      <c r="A29" s="183"/>
      <c r="B29" s="124">
        <f t="shared" si="4"/>
        <v>9</v>
      </c>
      <c r="C29" s="120">
        <f t="shared" ca="1" si="5"/>
        <v>360376415</v>
      </c>
      <c r="D29" s="48">
        <f t="shared" ca="1" si="0"/>
        <v>6.1701307419365616E-2</v>
      </c>
      <c r="E29" s="120">
        <f t="shared" ca="1" si="6"/>
        <v>41090040</v>
      </c>
      <c r="F29" s="116">
        <f t="shared" ca="1" si="1"/>
        <v>41.090040000000002</v>
      </c>
      <c r="G29" s="118">
        <f ca="1">C29/Summary!C$58</f>
        <v>5.7121004121096844E-2</v>
      </c>
      <c r="H29" s="119">
        <f ca="1">H28+M29*Summary!$C$26/1000000</f>
        <v>193.20499541572244</v>
      </c>
      <c r="I29" s="119">
        <f t="shared" si="7"/>
        <v>3131.2949999999996</v>
      </c>
      <c r="J29" s="122">
        <f ca="1">C28*Summary!C$49*Summary!C$62*24*365*1000*C$11</f>
        <v>832266128.65894985</v>
      </c>
      <c r="K29" s="122">
        <f t="shared" ca="1" si="2"/>
        <v>16436016128.658951</v>
      </c>
      <c r="L29" s="120">
        <f t="shared" ca="1" si="3"/>
        <v>0</v>
      </c>
      <c r="M29" s="278">
        <f ca="1">C28*Summary!$C$49*Summary!$C$61</f>
        <v>6786.2534952621463</v>
      </c>
      <c r="N29" s="277">
        <f ca="1">M29/'Alberta Electricity Profile'!$D$49</f>
        <v>5.1984813396828221E-2</v>
      </c>
      <c r="O29" s="278">
        <f t="shared" si="8"/>
        <v>347.92166666666662</v>
      </c>
      <c r="P29" s="278">
        <f t="shared" ca="1" si="9"/>
        <v>43.262272061021264</v>
      </c>
      <c r="Q29" s="276">
        <f t="shared" ca="1" si="10"/>
        <v>6.3749861527019309</v>
      </c>
      <c r="R29" s="276">
        <f t="shared" ca="1" si="11"/>
        <v>21.254441237156286</v>
      </c>
      <c r="S29" s="276">
        <f t="shared" ca="1" si="12"/>
        <v>0.13549676857028825</v>
      </c>
    </row>
    <row r="30" spans="1:20">
      <c r="A30" s="183"/>
      <c r="B30" s="124">
        <f t="shared" si="4"/>
        <v>10</v>
      </c>
      <c r="C30" s="120">
        <f t="shared" ca="1" si="5"/>
        <v>401734223</v>
      </c>
      <c r="D30" s="48">
        <f t="shared" ca="1" si="0"/>
        <v>6.9565898966865422E-2</v>
      </c>
      <c r="E30" s="120">
        <f t="shared" ca="1" si="6"/>
        <v>41357808</v>
      </c>
      <c r="F30" s="116">
        <f t="shared" ca="1" si="1"/>
        <v>41.357807999999999</v>
      </c>
      <c r="G30" s="118">
        <f ca="1">C30/Summary!C$58</f>
        <v>6.3676370740212401E-2</v>
      </c>
      <c r="H30" s="119">
        <f ca="1">H29+M30*Summary!$C$26/1000000</f>
        <v>242.03483511716757</v>
      </c>
      <c r="I30" s="119">
        <f t="shared" si="7"/>
        <v>3479.2166666666662</v>
      </c>
      <c r="J30" s="122">
        <f ca="1">C29*Summary!C$49*Summary!C$62*24*365*1000*C$11</f>
        <v>939373262.5516547</v>
      </c>
      <c r="K30" s="122">
        <f t="shared" ca="1" si="2"/>
        <v>16543123262.551655</v>
      </c>
      <c r="L30" s="120">
        <f t="shared" ca="1" si="3"/>
        <v>0</v>
      </c>
      <c r="M30" s="278">
        <f ca="1">C29*Summary!$C$49*Summary!$C$61</f>
        <v>7659.5993358745482</v>
      </c>
      <c r="N30" s="277">
        <f ca="1">M30/'Alberta Electricity Profile'!$D$49</f>
        <v>5.867491428781741E-2</v>
      </c>
      <c r="O30" s="278">
        <f t="shared" si="8"/>
        <v>347.92166666666662</v>
      </c>
      <c r="P30" s="278">
        <f t="shared" ca="1" si="9"/>
        <v>48.829839701445138</v>
      </c>
      <c r="Q30" s="276">
        <f t="shared" ca="1" si="10"/>
        <v>6.3749861527019291</v>
      </c>
      <c r="R30" s="276">
        <f t="shared" ca="1" si="11"/>
        <v>21.254441237156289</v>
      </c>
      <c r="S30" s="276">
        <f t="shared" ca="1" si="12"/>
        <v>0.13549676857028822</v>
      </c>
    </row>
    <row r="31" spans="1:20">
      <c r="A31" s="183"/>
      <c r="B31" s="124">
        <f t="shared" si="4"/>
        <v>11</v>
      </c>
      <c r="C31" s="120">
        <f t="shared" ca="1" si="5"/>
        <v>443361543</v>
      </c>
      <c r="D31" s="48">
        <f t="shared" ca="1" si="0"/>
        <v>7.7464804858398503E-2</v>
      </c>
      <c r="E31" s="120">
        <f t="shared" ca="1" si="6"/>
        <v>41627320</v>
      </c>
      <c r="F31" s="116">
        <f t="shared" ca="1" si="1"/>
        <v>41.627319999999997</v>
      </c>
      <c r="G31" s="118">
        <f ca="1">C31/Summary!C$58</f>
        <v>7.0274456015216355E-2</v>
      </c>
      <c r="H31" s="119">
        <f ca="1">H30+M31*Summary!$C$26/1000000</f>
        <v>296.46852415776311</v>
      </c>
      <c r="I31" s="119">
        <f t="shared" si="7"/>
        <v>3827.1383333333329</v>
      </c>
      <c r="J31" s="122">
        <f ca="1">C30*Summary!C$49*Summary!C$62*24*365*1000*C$11</f>
        <v>1047178372.4752464</v>
      </c>
      <c r="K31" s="122">
        <f t="shared" ca="1" si="2"/>
        <v>16650928372.475246</v>
      </c>
      <c r="L31" s="120">
        <f t="shared" ca="1" si="3"/>
        <v>0</v>
      </c>
      <c r="M31" s="278">
        <f ca="1">C30*Summary!$C$49*Summary!$C$61</f>
        <v>8538.6364357081402</v>
      </c>
      <c r="N31" s="277">
        <f ca="1">M31/'Alberta Electricity Profile'!$D$49</f>
        <v>6.5408611995343605E-2</v>
      </c>
      <c r="O31" s="278">
        <f t="shared" si="8"/>
        <v>347.92166666666662</v>
      </c>
      <c r="P31" s="278">
        <f t="shared" ca="1" si="9"/>
        <v>54.433689040595539</v>
      </c>
      <c r="Q31" s="276">
        <f t="shared" ca="1" si="10"/>
        <v>6.3749861527019274</v>
      </c>
      <c r="R31" s="276">
        <f t="shared" ca="1" si="11"/>
        <v>21.254441237156289</v>
      </c>
      <c r="S31" s="276">
        <f t="shared" ca="1" si="12"/>
        <v>0.13549676857028817</v>
      </c>
    </row>
    <row r="32" spans="1:20">
      <c r="A32" s="183"/>
      <c r="B32" s="124">
        <f t="shared" si="4"/>
        <v>12</v>
      </c>
      <c r="C32" s="120">
        <f t="shared" ca="1" si="5"/>
        <v>485260133</v>
      </c>
      <c r="D32" s="48">
        <f t="shared" ca="1" si="0"/>
        <v>8.5398193209822143E-2</v>
      </c>
      <c r="E32" s="120">
        <f t="shared" ca="1" si="6"/>
        <v>41898590</v>
      </c>
      <c r="F32" s="116">
        <f t="shared" ca="1" si="1"/>
        <v>41.898589999999999</v>
      </c>
      <c r="G32" s="118">
        <f ca="1">C32/Summary!C$58</f>
        <v>7.6915538595657001E-2</v>
      </c>
      <c r="H32" s="119">
        <f ca="1">H31+M32*Summary!$C$26/1000000</f>
        <v>356.54258054259998</v>
      </c>
      <c r="I32" s="119">
        <f t="shared" si="7"/>
        <v>4175.0599999999995</v>
      </c>
      <c r="J32" s="122">
        <f ca="1">C31*Summary!C$49*Summary!C$62*24*365*1000*C$11</f>
        <v>1155686004.4180355</v>
      </c>
      <c r="K32" s="122">
        <f t="shared" ca="1" si="2"/>
        <v>16759436004.418036</v>
      </c>
      <c r="L32" s="120">
        <f t="shared" ca="1" si="3"/>
        <v>0</v>
      </c>
      <c r="M32" s="278">
        <f ca="1">C31*Summary!$C$49*Summary!$C$61</f>
        <v>9423.4018625084409</v>
      </c>
      <c r="N32" s="277">
        <f ca="1">M32/'Alberta Electricity Profile'!$D$49</f>
        <v>7.2186190469871542E-2</v>
      </c>
      <c r="O32" s="278">
        <f t="shared" si="8"/>
        <v>347.92166666666662</v>
      </c>
      <c r="P32" s="278">
        <f t="shared" ca="1" si="9"/>
        <v>60.074056384836865</v>
      </c>
      <c r="Q32" s="276">
        <f t="shared" ca="1" si="10"/>
        <v>6.3749861527019274</v>
      </c>
      <c r="R32" s="276">
        <f t="shared" ca="1" si="11"/>
        <v>21.254441237156286</v>
      </c>
      <c r="S32" s="276">
        <f t="shared" ca="1" si="12"/>
        <v>0.13549676857028817</v>
      </c>
    </row>
    <row r="33" spans="1:19">
      <c r="A33" s="183"/>
      <c r="B33" s="124">
        <f t="shared" si="4"/>
        <v>13</v>
      </c>
      <c r="C33" s="120">
        <f t="shared" ca="1" si="5"/>
        <v>527431759</v>
      </c>
      <c r="D33" s="48">
        <f t="shared" ca="1" si="0"/>
        <v>9.3366233074145766E-2</v>
      </c>
      <c r="E33" s="120">
        <f t="shared" ca="1" si="6"/>
        <v>42171626</v>
      </c>
      <c r="F33" s="116">
        <f t="shared" ca="1" si="1"/>
        <v>42.171626000000003</v>
      </c>
      <c r="G33" s="118">
        <f ca="1">C33/Summary!C$58</f>
        <v>8.3599898399112374E-2</v>
      </c>
      <c r="H33" s="119">
        <f ca="1">H32+M33*Summary!$C$26/1000000</f>
        <v>422.29376048008828</v>
      </c>
      <c r="I33" s="119">
        <f t="shared" si="7"/>
        <v>4522.9816666666666</v>
      </c>
      <c r="J33" s="122">
        <f ca="1">C32*Summary!C$49*Summary!C$62*24*365*1000*C$11</f>
        <v>1264900740.861357</v>
      </c>
      <c r="K33" s="122">
        <f t="shared" ca="1" si="2"/>
        <v>16868650740.861357</v>
      </c>
      <c r="L33" s="120">
        <f t="shared" ca="1" si="3"/>
        <v>0</v>
      </c>
      <c r="M33" s="278">
        <f ca="1">C32*Summary!$C$49*Summary!$C$61</f>
        <v>10313.932981583146</v>
      </c>
      <c r="N33" s="277">
        <f ca="1">M33/'Alberta Electricity Profile'!$D$49</f>
        <v>7.9007935941284829E-2</v>
      </c>
      <c r="O33" s="278">
        <f t="shared" si="8"/>
        <v>347.92166666666708</v>
      </c>
      <c r="P33" s="278">
        <f t="shared" ca="1" si="9"/>
        <v>65.751179937488303</v>
      </c>
      <c r="Q33" s="276">
        <f t="shared" ca="1" si="10"/>
        <v>6.3749861527019318</v>
      </c>
      <c r="R33" s="276">
        <f t="shared" ca="1" si="11"/>
        <v>21.254441237156293</v>
      </c>
      <c r="S33" s="276">
        <f t="shared" ca="1" si="12"/>
        <v>0.13549676857028828</v>
      </c>
    </row>
    <row r="34" spans="1:19">
      <c r="A34" s="183"/>
      <c r="B34" s="124">
        <f t="shared" si="4"/>
        <v>14</v>
      </c>
      <c r="C34" s="120">
        <f t="shared" ca="1" si="5"/>
        <v>569878201</v>
      </c>
      <c r="D34" s="48">
        <f t="shared" ca="1" si="0"/>
        <v>0.10136909432937448</v>
      </c>
      <c r="E34" s="120">
        <f t="shared" ca="1" si="6"/>
        <v>42446442</v>
      </c>
      <c r="F34" s="116">
        <f t="shared" ca="1" si="1"/>
        <v>42.446441999999998</v>
      </c>
      <c r="G34" s="118">
        <f ca="1">C34/Summary!C$58</f>
        <v>9.0327817562212712E-2</v>
      </c>
      <c r="H34" s="119">
        <f ca="1">H33+M34*Summary!$C$26/1000000</f>
        <v>493.75905946593127</v>
      </c>
      <c r="I34" s="119">
        <f t="shared" si="7"/>
        <v>4870.9033333333336</v>
      </c>
      <c r="J34" s="122">
        <f ca="1">C33*Summary!C$49*Summary!C$62*24*365*1000*C$11</f>
        <v>1374827185.1397049</v>
      </c>
      <c r="K34" s="122">
        <f t="shared" ca="1" si="2"/>
        <v>16978577185.139706</v>
      </c>
      <c r="L34" s="120">
        <f t="shared" ca="1" si="3"/>
        <v>0</v>
      </c>
      <c r="M34" s="278">
        <f ca="1">C33*Summary!$C$49*Summary!$C$61</f>
        <v>11210.267328275477</v>
      </c>
      <c r="N34" s="277">
        <f ca="1">M34/'Alberta Electricity Profile'!$D$49</f>
        <v>8.5874135941992114E-2</v>
      </c>
      <c r="O34" s="278">
        <f t="shared" si="8"/>
        <v>347.92166666666708</v>
      </c>
      <c r="P34" s="278">
        <f t="shared" ca="1" si="9"/>
        <v>71.465298985842992</v>
      </c>
      <c r="Q34" s="276">
        <f t="shared" ca="1" si="10"/>
        <v>6.3749861527019265</v>
      </c>
      <c r="R34" s="276">
        <f t="shared" ca="1" si="11"/>
        <v>21.254441237156286</v>
      </c>
      <c r="S34" s="276">
        <f t="shared" ca="1" si="12"/>
        <v>0.13549676857028814</v>
      </c>
    </row>
    <row r="35" spans="1:19">
      <c r="A35" s="183"/>
      <c r="B35" s="124">
        <f t="shared" si="4"/>
        <v>15</v>
      </c>
      <c r="C35" s="120">
        <f t="shared" ca="1" si="5"/>
        <v>612601250</v>
      </c>
      <c r="D35" s="48">
        <f t="shared" ca="1" si="0"/>
        <v>0.1094069477669936</v>
      </c>
      <c r="E35" s="120">
        <f t="shared" ca="1" si="6"/>
        <v>42723049</v>
      </c>
      <c r="F35" s="116">
        <f t="shared" ca="1" si="1"/>
        <v>42.723049000000003</v>
      </c>
      <c r="G35" s="118">
        <f ca="1">C35/Summary!C$58</f>
        <v>9.7099579965129176E-2</v>
      </c>
      <c r="H35" s="119">
        <f ca="1">H34+M35*Summary!$C$26/1000000</f>
        <v>570.97571418008044</v>
      </c>
      <c r="I35" s="119">
        <f t="shared" si="7"/>
        <v>5218.8250000000007</v>
      </c>
      <c r="J35" s="122">
        <f ca="1">C34*Summary!C$49*Summary!C$62*24*365*1000*C$11</f>
        <v>1485469977.0805974</v>
      </c>
      <c r="K35" s="122">
        <f t="shared" ca="1" si="2"/>
        <v>17089219977.080597</v>
      </c>
      <c r="L35" s="120">
        <f t="shared" ca="1" si="3"/>
        <v>0</v>
      </c>
      <c r="M35" s="278">
        <f ca="1">C34*Summary!$C$49*Summary!$C$61</f>
        <v>12112.44273549084</v>
      </c>
      <c r="N35" s="277">
        <f ca="1">M35/'Alberta Electricity Profile'!$D$49</f>
        <v>9.2785080283820959E-2</v>
      </c>
      <c r="O35" s="278">
        <f t="shared" si="8"/>
        <v>347.92166666666708</v>
      </c>
      <c r="P35" s="278">
        <f t="shared" ca="1" si="9"/>
        <v>77.216654714149172</v>
      </c>
      <c r="Q35" s="276">
        <f t="shared" ca="1" si="10"/>
        <v>6.3749861527019283</v>
      </c>
      <c r="R35" s="276">
        <f t="shared" ca="1" si="11"/>
        <v>21.254441237156289</v>
      </c>
      <c r="S35" s="276">
        <f t="shared" ca="1" si="12"/>
        <v>0.1354967685702882</v>
      </c>
    </row>
    <row r="36" spans="1:19">
      <c r="A36" s="183"/>
      <c r="B36" s="124">
        <f t="shared" si="4"/>
        <v>16</v>
      </c>
      <c r="C36" s="120">
        <f t="shared" ca="1" si="5"/>
        <v>655602709</v>
      </c>
      <c r="D36" s="48">
        <f t="shared" ca="1" si="0"/>
        <v>0.11747996507425035</v>
      </c>
      <c r="E36" s="120">
        <f t="shared" ca="1" si="6"/>
        <v>43001459</v>
      </c>
      <c r="F36" s="116">
        <f t="shared" ca="1" si="1"/>
        <v>43.001458999999997</v>
      </c>
      <c r="G36" s="118">
        <f ca="1">C36/Summary!C$58</f>
        <v>0.10391547139007766</v>
      </c>
      <c r="H36" s="119">
        <f ca="1">H35+M36*Summary!$C$26/1000000</f>
        <v>653.9812039771997</v>
      </c>
      <c r="I36" s="119">
        <f t="shared" si="7"/>
        <v>5566.7466666666678</v>
      </c>
      <c r="J36" s="122">
        <f ca="1">C35*Summary!C$49*Summary!C$62*24*365*1000*C$11</f>
        <v>1596833785.1846435</v>
      </c>
      <c r="K36" s="122">
        <f t="shared" ca="1" si="2"/>
        <v>17200583785.184643</v>
      </c>
      <c r="L36" s="120">
        <f t="shared" ca="1" si="3"/>
        <v>0</v>
      </c>
      <c r="M36" s="278">
        <f ca="1">C35*Summary!$C$49*Summary!$C$61</f>
        <v>13020.497269933488</v>
      </c>
      <c r="N36" s="277">
        <f ca="1">M36/'Alberta Electricity Profile'!$D$49</f>
        <v>9.9741060569570855E-2</v>
      </c>
      <c r="O36" s="278">
        <f t="shared" si="8"/>
        <v>347.92166666666708</v>
      </c>
      <c r="P36" s="278">
        <f t="shared" ca="1" si="9"/>
        <v>83.005489797119253</v>
      </c>
      <c r="Q36" s="276">
        <f t="shared" ca="1" si="10"/>
        <v>6.3749861527019283</v>
      </c>
      <c r="R36" s="276">
        <f t="shared" ca="1" si="11"/>
        <v>21.254441237156289</v>
      </c>
      <c r="S36" s="276">
        <f t="shared" ca="1" si="12"/>
        <v>0.1354967685702882</v>
      </c>
    </row>
    <row r="37" spans="1:19">
      <c r="A37" s="183"/>
      <c r="B37" s="124">
        <f t="shared" si="4"/>
        <v>17</v>
      </c>
      <c r="C37" s="120">
        <f t="shared" ca="1" si="5"/>
        <v>698884392</v>
      </c>
      <c r="D37" s="48">
        <f t="shared" ca="1" si="0"/>
        <v>0.12558831884559768</v>
      </c>
      <c r="E37" s="120">
        <f t="shared" ca="1" si="6"/>
        <v>43281683</v>
      </c>
      <c r="F37" s="116">
        <f t="shared" ca="1" si="1"/>
        <v>43.281683000000001</v>
      </c>
      <c r="G37" s="118">
        <f ca="1">C37/Summary!C$58</f>
        <v>0.11077577936281503</v>
      </c>
      <c r="H37" s="119">
        <f ca="1">H36+M37*Summary!$C$26/1000000</f>
        <v>742.81325251262672</v>
      </c>
      <c r="I37" s="119">
        <f t="shared" si="7"/>
        <v>5914.6683333333349</v>
      </c>
      <c r="J37" s="122">
        <f ca="1">C36*Summary!C$49*Summary!C$62*24*365*1000*C$11</f>
        <v>1708923309.2321904</v>
      </c>
      <c r="K37" s="122">
        <f t="shared" ca="1" si="2"/>
        <v>17312673309.232189</v>
      </c>
      <c r="L37" s="120">
        <f t="shared" ca="1" si="3"/>
        <v>0</v>
      </c>
      <c r="M37" s="278">
        <f ca="1">C36*Summary!$C$49*Summary!$C$61</f>
        <v>13934.469253360976</v>
      </c>
      <c r="N37" s="277">
        <f ca="1">M37/'Alberta Electricity Profile'!$D$49</f>
        <v>0.10674237035582892</v>
      </c>
      <c r="O37" s="278">
        <f t="shared" si="8"/>
        <v>347.92166666666708</v>
      </c>
      <c r="P37" s="278">
        <f t="shared" ca="1" si="9"/>
        <v>88.83204853542702</v>
      </c>
      <c r="Q37" s="276">
        <f t="shared" ca="1" si="10"/>
        <v>6.37498615270193</v>
      </c>
      <c r="R37" s="276">
        <f t="shared" ca="1" si="11"/>
        <v>21.254441237156289</v>
      </c>
      <c r="S37" s="276">
        <f t="shared" ca="1" si="12"/>
        <v>0.13549676857028825</v>
      </c>
    </row>
    <row r="38" spans="1:19">
      <c r="A38" s="183"/>
      <c r="B38" s="124">
        <f t="shared" si="4"/>
        <v>18</v>
      </c>
      <c r="C38" s="120">
        <f t="shared" ca="1" si="5"/>
        <v>742448125</v>
      </c>
      <c r="D38" s="48">
        <f t="shared" ca="1" si="0"/>
        <v>0.13373218256868757</v>
      </c>
      <c r="E38" s="120">
        <f t="shared" ca="1" si="6"/>
        <v>43563733</v>
      </c>
      <c r="F38" s="116">
        <f t="shared" ca="1" si="1"/>
        <v>43.563732999999999</v>
      </c>
      <c r="G38" s="118">
        <f ca="1">C38/Summary!C$58</f>
        <v>0.11768079331114281</v>
      </c>
      <c r="H38" s="119">
        <f ca="1">H37+M38*Summary!$C$26/1000000</f>
        <v>837.50982923283732</v>
      </c>
      <c r="I38" s="119">
        <f t="shared" si="7"/>
        <v>6262.590000000002</v>
      </c>
      <c r="J38" s="122">
        <f ca="1">C37*Summary!C$49*Summary!C$62*24*365*1000*C$11</f>
        <v>1821743277.6766746</v>
      </c>
      <c r="K38" s="122">
        <f t="shared" ca="1" si="2"/>
        <v>17425493277.676674</v>
      </c>
      <c r="L38" s="120">
        <f t="shared" ca="1" si="3"/>
        <v>0</v>
      </c>
      <c r="M38" s="278">
        <f ca="1">C37*Summary!$C$49*Summary!$C$61</f>
        <v>14854.3972413297</v>
      </c>
      <c r="N38" s="277">
        <f ca="1">M38/'Alberta Electricity Profile'!$D$49</f>
        <v>0.1137893049901542</v>
      </c>
      <c r="O38" s="278">
        <f t="shared" si="8"/>
        <v>347.92166666666708</v>
      </c>
      <c r="P38" s="278">
        <f t="shared" ca="1" si="9"/>
        <v>94.696576720210601</v>
      </c>
      <c r="Q38" s="276">
        <f t="shared" ca="1" si="10"/>
        <v>6.3749861527019309</v>
      </c>
      <c r="R38" s="276">
        <f t="shared" ca="1" si="11"/>
        <v>21.254441237156289</v>
      </c>
      <c r="S38" s="276">
        <f t="shared" ca="1" si="12"/>
        <v>0.13549676857028825</v>
      </c>
    </row>
    <row r="39" spans="1:19">
      <c r="A39" s="183"/>
      <c r="B39" s="124">
        <f t="shared" si="4"/>
        <v>19</v>
      </c>
      <c r="C39" s="120">
        <f t="shared" ca="1" si="5"/>
        <v>786295746</v>
      </c>
      <c r="D39" s="48">
        <f t="shared" ca="1" si="0"/>
        <v>0.14191173063528462</v>
      </c>
      <c r="E39" s="120">
        <f t="shared" ca="1" si="6"/>
        <v>43847621</v>
      </c>
      <c r="F39" s="116">
        <f t="shared" ca="1" si="1"/>
        <v>43.847620999999997</v>
      </c>
      <c r="G39" s="118">
        <f ca="1">C39/Summary!C$58</f>
        <v>0.12463080456490727</v>
      </c>
      <c r="H39" s="119">
        <f ca="1">H38+M39*Summary!$C$26/1000000</f>
        <v>938.10915100140676</v>
      </c>
      <c r="I39" s="119">
        <f t="shared" si="7"/>
        <v>6610.511666666669</v>
      </c>
      <c r="J39" s="122">
        <f ca="1">C38*Summary!C$49*Summary!C$62*24*365*1000*C$11</f>
        <v>1935298450.2512708</v>
      </c>
      <c r="K39" s="122">
        <f t="shared" ca="1" si="2"/>
        <v>17539048450.25127</v>
      </c>
      <c r="L39" s="120">
        <f t="shared" ca="1" si="3"/>
        <v>0</v>
      </c>
      <c r="M39" s="278">
        <f ca="1">C38*Summary!$C$49*Summary!$C$61</f>
        <v>15780.320044449367</v>
      </c>
      <c r="N39" s="277">
        <f ca="1">M39/'Alberta Electricity Profile'!$D$49</f>
        <v>0.12088216177389341</v>
      </c>
      <c r="O39" s="278">
        <f t="shared" si="8"/>
        <v>347.92166666666708</v>
      </c>
      <c r="P39" s="278">
        <f t="shared" ca="1" si="9"/>
        <v>100.59932176856944</v>
      </c>
      <c r="Q39" s="276">
        <f t="shared" ca="1" si="10"/>
        <v>6.3749861527019309</v>
      </c>
      <c r="R39" s="276">
        <f t="shared" ca="1" si="11"/>
        <v>21.254441237156289</v>
      </c>
      <c r="S39" s="276">
        <f t="shared" ca="1" si="12"/>
        <v>0.13549676857028825</v>
      </c>
    </row>
    <row r="40" spans="1:19">
      <c r="A40" s="183"/>
      <c r="B40" s="124">
        <f t="shared" si="4"/>
        <v>20</v>
      </c>
      <c r="C40" s="120">
        <f t="shared" ca="1" si="5"/>
        <v>830429105</v>
      </c>
      <c r="D40" s="48">
        <f t="shared" ca="1" si="0"/>
        <v>0.1501271383489057</v>
      </c>
      <c r="E40" s="120">
        <f t="shared" ca="1" si="6"/>
        <v>44133359</v>
      </c>
      <c r="F40" s="116">
        <f t="shared" ca="1" si="1"/>
        <v>44.133358999999999</v>
      </c>
      <c r="G40" s="118">
        <f ca="1">C40/Summary!C$58</f>
        <v>0.13162610635599936</v>
      </c>
      <c r="H40" s="119">
        <f ca="1">H39+M40*Summary!$C$26/1000000</f>
        <v>1044.6496837249708</v>
      </c>
      <c r="I40" s="119">
        <f t="shared" si="7"/>
        <v>6958.4333333333361</v>
      </c>
      <c r="J40" s="122">
        <f ca="1">C39*Summary!C$49*Summary!C$62*24*365*1000*C$11</f>
        <v>2049593617.9688878</v>
      </c>
      <c r="K40" s="122">
        <f t="shared" ca="1" si="2"/>
        <v>17653343617.968887</v>
      </c>
      <c r="L40" s="120">
        <f t="shared" ca="1" si="3"/>
        <v>0</v>
      </c>
      <c r="M40" s="278">
        <f ca="1">C39*Summary!$C$49*Summary!$C$61</f>
        <v>16712.276728382967</v>
      </c>
      <c r="N40" s="277">
        <f ca="1">M40/'Alberta Electricity Profile'!$D$49</f>
        <v>0.12802123996218079</v>
      </c>
      <c r="O40" s="278">
        <f t="shared" si="8"/>
        <v>347.92166666666708</v>
      </c>
      <c r="P40" s="278">
        <f t="shared" ca="1" si="9"/>
        <v>106.54053272356407</v>
      </c>
      <c r="Q40" s="276">
        <f t="shared" ca="1" si="10"/>
        <v>6.3749861527019265</v>
      </c>
      <c r="R40" s="276">
        <f t="shared" ca="1" si="11"/>
        <v>21.254441237156289</v>
      </c>
      <c r="S40" s="276">
        <f t="shared" ca="1" si="12"/>
        <v>0.13549676857028814</v>
      </c>
    </row>
    <row r="41" spans="1:19">
      <c r="A41" s="183"/>
      <c r="B41" s="124">
        <f t="shared" si="4"/>
        <v>21</v>
      </c>
      <c r="C41" s="120">
        <f t="shared" ca="1" si="5"/>
        <v>874850064</v>
      </c>
      <c r="D41" s="48">
        <f t="shared" ca="1" si="0"/>
        <v>0.15837858193027671</v>
      </c>
      <c r="E41" s="120">
        <f t="shared" ca="1" si="6"/>
        <v>44420959</v>
      </c>
      <c r="F41" s="116">
        <f t="shared" ca="1" si="1"/>
        <v>44.420959000000003</v>
      </c>
      <c r="G41" s="118">
        <f ca="1">C41/Summary!C$58</f>
        <v>0.13866699381835473</v>
      </c>
      <c r="H41" s="119">
        <f ca="1">H40+M41*Summary!$C$26/1000000</f>
        <v>1157.1701439791873</v>
      </c>
      <c r="I41" s="119">
        <f t="shared" si="7"/>
        <v>7306.3550000000032</v>
      </c>
      <c r="J41" s="122">
        <f ca="1">C40*Summary!C$49*Summary!C$62*24*365*1000*C$11</f>
        <v>2164633603.1221704</v>
      </c>
      <c r="K41" s="122">
        <f t="shared" ca="1" si="2"/>
        <v>17768383603.122169</v>
      </c>
      <c r="L41" s="120">
        <f t="shared" ca="1" si="3"/>
        <v>0</v>
      </c>
      <c r="M41" s="278">
        <f ca="1">C40*Summary!$C$49*Summary!$C$61</f>
        <v>17650.306613846788</v>
      </c>
      <c r="N41" s="277">
        <f ca="1">M41/'Alberta Electricity Profile'!$D$49</f>
        <v>0.13520684076393821</v>
      </c>
      <c r="O41" s="278">
        <f t="shared" si="8"/>
        <v>347.92166666666708</v>
      </c>
      <c r="P41" s="278">
        <f t="shared" ca="1" si="9"/>
        <v>112.52046025421646</v>
      </c>
      <c r="Q41" s="276">
        <f t="shared" ca="1" si="10"/>
        <v>6.3749861527019238</v>
      </c>
      <c r="R41" s="276">
        <f t="shared" ca="1" si="11"/>
        <v>21.254441237156286</v>
      </c>
      <c r="S41" s="276">
        <f t="shared" ca="1" si="12"/>
        <v>0.13549676857028808</v>
      </c>
    </row>
    <row r="42" spans="1:19">
      <c r="A42" s="183"/>
      <c r="B42" s="124">
        <f t="shared" si="4"/>
        <v>22</v>
      </c>
      <c r="C42" s="120">
        <f t="shared" ca="1" si="5"/>
        <v>919560497</v>
      </c>
      <c r="D42" s="48">
        <f t="shared" ca="1" si="0"/>
        <v>0.16666623852130116</v>
      </c>
      <c r="E42" s="120">
        <f t="shared" ca="1" si="6"/>
        <v>44710433</v>
      </c>
      <c r="F42" s="116">
        <f t="shared" ca="1" si="1"/>
        <v>44.710433000000002</v>
      </c>
      <c r="G42" s="118">
        <f ca="1">C42/Summary!C$58</f>
        <v>0.14575376398795373</v>
      </c>
      <c r="H42" s="119">
        <f ca="1">H41+M42*Summary!$C$26/1000000</f>
        <v>1275.7095006346972</v>
      </c>
      <c r="I42" s="119">
        <f t="shared" si="7"/>
        <v>7654.2766666666703</v>
      </c>
      <c r="J42" s="122">
        <f ca="1">C41*Summary!C$49*Summary!C$62*24*365*1000*C$11</f>
        <v>2280423259.2835026</v>
      </c>
      <c r="K42" s="122">
        <f t="shared" ca="1" si="2"/>
        <v>17884173259.283501</v>
      </c>
      <c r="L42" s="120">
        <f t="shared" ca="1" si="3"/>
        <v>0</v>
      </c>
      <c r="M42" s="278">
        <f ca="1">C41*Summary!$C$49*Summary!$C$61</f>
        <v>18594.449276610419</v>
      </c>
      <c r="N42" s="277">
        <f ca="1">M42/'Alberta Electricity Profile'!$D$49</f>
        <v>0.14243926734187523</v>
      </c>
      <c r="O42" s="278">
        <f t="shared" si="8"/>
        <v>347.92166666666708</v>
      </c>
      <c r="P42" s="278">
        <f t="shared" ca="1" si="9"/>
        <v>118.53935665550989</v>
      </c>
      <c r="Q42" s="276">
        <f t="shared" ca="1" si="10"/>
        <v>6.3749861527019327</v>
      </c>
      <c r="R42" s="276">
        <f t="shared" ca="1" si="11"/>
        <v>21.254441237156289</v>
      </c>
      <c r="S42" s="276">
        <f t="shared" ca="1" si="12"/>
        <v>0.13549676857028828</v>
      </c>
    </row>
    <row r="43" spans="1:19">
      <c r="A43" s="183"/>
      <c r="B43" s="124">
        <f t="shared" si="4"/>
        <v>23</v>
      </c>
      <c r="C43" s="120">
        <f t="shared" ca="1" si="5"/>
        <v>964562290</v>
      </c>
      <c r="D43" s="48">
        <f t="shared" ca="1" si="0"/>
        <v>0.17499028618799353</v>
      </c>
      <c r="E43" s="120">
        <f t="shared" ca="1" si="6"/>
        <v>45001793</v>
      </c>
      <c r="F43" s="116">
        <f t="shared" ca="1" si="1"/>
        <v>45.001792999999999</v>
      </c>
      <c r="G43" s="118">
        <f ca="1">C43/Summary!C$58</f>
        <v>0.15288671580282137</v>
      </c>
      <c r="H43" s="119">
        <f ca="1">H42+M43*Summary!$C$26/1000000</f>
        <v>1400.3069764830855</v>
      </c>
      <c r="I43" s="119">
        <f t="shared" si="7"/>
        <v>8002.1983333333374</v>
      </c>
      <c r="J43" s="122">
        <f ca="1">C42*Summary!C$49*Summary!C$62*24*365*1000*C$11</f>
        <v>2396967471.3049994</v>
      </c>
      <c r="K43" s="122">
        <f t="shared" ca="1" si="2"/>
        <v>18000717471.305</v>
      </c>
      <c r="L43" s="120">
        <f t="shared" ca="1" si="3"/>
        <v>0</v>
      </c>
      <c r="M43" s="278">
        <f ca="1">C42*Summary!$C$49*Summary!$C$61</f>
        <v>19544.744547496732</v>
      </c>
      <c r="N43" s="277">
        <f ca="1">M43/'Alberta Electricity Profile'!$D$49</f>
        <v>0.14971882481248885</v>
      </c>
      <c r="O43" s="278">
        <f t="shared" si="8"/>
        <v>347.92166666666708</v>
      </c>
      <c r="P43" s="278">
        <f t="shared" ca="1" si="9"/>
        <v>124.59747584838829</v>
      </c>
      <c r="Q43" s="276">
        <f t="shared" ca="1" si="10"/>
        <v>6.3749861527019336</v>
      </c>
      <c r="R43" s="276">
        <f t="shared" ca="1" si="11"/>
        <v>21.254441237156289</v>
      </c>
      <c r="S43" s="276">
        <f t="shared" ca="1" si="12"/>
        <v>0.13549676857028831</v>
      </c>
    </row>
    <row r="44" spans="1:19">
      <c r="A44" s="183"/>
      <c r="B44" s="124">
        <f t="shared" si="4"/>
        <v>24</v>
      </c>
      <c r="C44" s="120">
        <f t="shared" ca="1" si="5"/>
        <v>1009857342</v>
      </c>
      <c r="D44" s="48">
        <f t="shared" ca="1" si="0"/>
        <v>0.18335090392267919</v>
      </c>
      <c r="E44" s="120">
        <f t="shared" ca="1" si="6"/>
        <v>45295052</v>
      </c>
      <c r="F44" s="116">
        <f t="shared" ca="1" si="1"/>
        <v>45.295051999999998</v>
      </c>
      <c r="G44" s="118">
        <f ca="1">C44/Summary!C$58</f>
        <v>0.16006615026153115</v>
      </c>
      <c r="H44" s="119">
        <f ca="1">H43+M44*Summary!$C$26/1000000</f>
        <v>1531.0020498628428</v>
      </c>
      <c r="I44" s="119">
        <f t="shared" si="7"/>
        <v>8350.1200000000044</v>
      </c>
      <c r="J44" s="122">
        <f ca="1">C43*Summary!C$49*Summary!C$62*24*365*1000*C$11</f>
        <v>2514271155.3185167</v>
      </c>
      <c r="K44" s="122">
        <f t="shared" ca="1" si="2"/>
        <v>18118021155.318516</v>
      </c>
      <c r="L44" s="120">
        <f t="shared" ca="1" si="3"/>
        <v>0</v>
      </c>
      <c r="M44" s="278">
        <f ca="1">C43*Summary!$C$49*Summary!$C$61</f>
        <v>20501.232512381903</v>
      </c>
      <c r="N44" s="277">
        <f ca="1">M44/'Alberta Electricity Profile'!$D$49</f>
        <v>0.15704582024606378</v>
      </c>
      <c r="O44" s="278">
        <f t="shared" si="8"/>
        <v>347.92166666666708</v>
      </c>
      <c r="P44" s="278">
        <f t="shared" ca="1" si="9"/>
        <v>130.69507337975733</v>
      </c>
      <c r="Q44" s="276">
        <f t="shared" ca="1" si="10"/>
        <v>6.3749861527019354</v>
      </c>
      <c r="R44" s="276">
        <f t="shared" ca="1" si="11"/>
        <v>21.254441237156289</v>
      </c>
      <c r="S44" s="276">
        <f t="shared" ca="1" si="12"/>
        <v>0.13549676857028833</v>
      </c>
    </row>
    <row r="45" spans="1:19">
      <c r="A45" s="183"/>
      <c r="B45" s="124">
        <f t="shared" si="4"/>
        <v>25</v>
      </c>
      <c r="C45" s="120">
        <f t="shared" ca="1" si="5"/>
        <v>1055447565</v>
      </c>
      <c r="D45" s="48">
        <f t="shared" ca="1" si="0"/>
        <v>0.19174827166124431</v>
      </c>
      <c r="E45" s="120">
        <f t="shared" ca="1" si="6"/>
        <v>45590223</v>
      </c>
      <c r="F45" s="116">
        <f t="shared" ca="1" si="1"/>
        <v>45.590223000000002</v>
      </c>
      <c r="G45" s="118">
        <f ca="1">C45/Summary!C$58</f>
        <v>0.16729237042320494</v>
      </c>
      <c r="H45" s="119">
        <f ca="1">H44+M45*Summary!$C$26/1000000</f>
        <v>1667.8344564208232</v>
      </c>
      <c r="I45" s="119">
        <f t="shared" si="7"/>
        <v>8698.0416666666715</v>
      </c>
      <c r="J45" s="122">
        <f ca="1">C44*Summary!C$49*Summary!C$62*24*365*1000*C$11</f>
        <v>2632339261.342289</v>
      </c>
      <c r="K45" s="122">
        <f t="shared" ca="1" si="2"/>
        <v>18236089261.342289</v>
      </c>
      <c r="L45" s="120">
        <f t="shared" ca="1" si="3"/>
        <v>0</v>
      </c>
      <c r="M45" s="278">
        <f ca="1">C44*Summary!$C$49*Summary!$C$61</f>
        <v>21463.95353344984</v>
      </c>
      <c r="N45" s="277">
        <f ca="1">M45/'Alberta Electricity Profile'!$D$49</f>
        <v>0.16442056282948792</v>
      </c>
      <c r="O45" s="278">
        <f t="shared" si="8"/>
        <v>347.92166666666708</v>
      </c>
      <c r="P45" s="278">
        <f t="shared" ca="1" si="9"/>
        <v>136.83240655798045</v>
      </c>
      <c r="Q45" s="276">
        <f t="shared" ca="1" si="10"/>
        <v>6.3749861527019327</v>
      </c>
      <c r="R45" s="276">
        <f t="shared" ca="1" si="11"/>
        <v>21.254441237156289</v>
      </c>
      <c r="S45" s="276">
        <f t="shared" ca="1" si="12"/>
        <v>0.13549676857028828</v>
      </c>
    </row>
    <row r="46" spans="1:19">
      <c r="A46" s="183"/>
      <c r="B46" s="124">
        <f t="shared" si="4"/>
        <v>26</v>
      </c>
      <c r="C46" s="120">
        <f t="shared" ca="1" si="5"/>
        <v>1062325506</v>
      </c>
      <c r="D46" s="48">
        <f t="shared" ca="1" si="0"/>
        <v>0.20018257029640493</v>
      </c>
      <c r="E46" s="120">
        <f t="shared" ca="1" si="6"/>
        <v>45887316</v>
      </c>
      <c r="F46" s="116">
        <f t="shared" ca="1" si="1"/>
        <v>45.887315999999998</v>
      </c>
      <c r="G46" s="118">
        <f ca="1">C46/Summary!C$58</f>
        <v>0.16838254969091773</v>
      </c>
      <c r="H46" s="119">
        <f ca="1">H45+M46*Summary!$C$26/1000000</f>
        <v>1810.8441908737025</v>
      </c>
      <c r="I46" s="119">
        <f t="shared" si="7"/>
        <v>9045.9633333333386</v>
      </c>
      <c r="J46" s="122">
        <f ca="1">C45*Summary!C$49*Summary!C$62*24*365*1000*C$11</f>
        <v>2751176773.280931</v>
      </c>
      <c r="K46" s="122">
        <f t="shared" ca="1" si="2"/>
        <v>18354926773.28093</v>
      </c>
      <c r="L46" s="120">
        <f t="shared" ca="1" si="3"/>
        <v>39009375</v>
      </c>
      <c r="M46" s="278">
        <f ca="1">C45*Summary!$C$49*Summary!$C$61</f>
        <v>22432.948249192192</v>
      </c>
      <c r="N46" s="277">
        <f ca="1">M46/'Alberta Electricity Profile'!$D$49</f>
        <v>0.17184336386625243</v>
      </c>
      <c r="O46" s="278">
        <f t="shared" si="8"/>
        <v>347.92166666666708</v>
      </c>
      <c r="P46" s="278">
        <f t="shared" ca="1" si="9"/>
        <v>143.00973445287923</v>
      </c>
      <c r="Q46" s="276">
        <f t="shared" ca="1" si="10"/>
        <v>6.37498615270193</v>
      </c>
      <c r="R46" s="276">
        <f t="shared" ca="1" si="11"/>
        <v>21.254441237156289</v>
      </c>
      <c r="S46" s="276">
        <f t="shared" ca="1" si="12"/>
        <v>0.13549676857028822</v>
      </c>
    </row>
    <row r="47" spans="1:19">
      <c r="A47" s="183"/>
      <c r="B47" s="124">
        <f t="shared" si="4"/>
        <v>27</v>
      </c>
      <c r="C47" s="120">
        <f t="shared" ca="1" si="5"/>
        <v>1068994060</v>
      </c>
      <c r="D47" s="48">
        <f t="shared" ca="1" si="0"/>
        <v>0.20809131303039133</v>
      </c>
      <c r="E47" s="120">
        <f t="shared" ca="1" si="6"/>
        <v>45932137</v>
      </c>
      <c r="F47" s="116">
        <f t="shared" ca="1" si="1"/>
        <v>45.932136999999997</v>
      </c>
      <c r="G47" s="118">
        <f ca="1">C47/Summary!C$58</f>
        <v>0.16943954033919797</v>
      </c>
      <c r="H47" s="119">
        <f ca="1">H46+M47*Summary!$C$26/1000000</f>
        <v>1954.7858641064988</v>
      </c>
      <c r="I47" s="119">
        <f t="shared" si="7"/>
        <v>9393.8850000000057</v>
      </c>
      <c r="J47" s="122">
        <f ca="1">C46*Summary!C$49*Summary!C$62*24*365*1000*C$11</f>
        <v>2769105121.5520239</v>
      </c>
      <c r="K47" s="122">
        <f t="shared" ca="1" si="2"/>
        <v>18372855121.552025</v>
      </c>
      <c r="L47" s="120">
        <f t="shared" ca="1" si="3"/>
        <v>39263583</v>
      </c>
      <c r="M47" s="278">
        <f ca="1">C46*Summary!$C$49*Summary!$C$61</f>
        <v>22579.135042009319</v>
      </c>
      <c r="N47" s="277">
        <f ca="1">M47/'Alberta Electricity Profile'!$D$49</f>
        <v>0.17296320018698297</v>
      </c>
      <c r="O47" s="278">
        <f t="shared" si="8"/>
        <v>347.92166666666708</v>
      </c>
      <c r="P47" s="278">
        <f t="shared" ca="1" si="9"/>
        <v>143.94167323279635</v>
      </c>
      <c r="Q47" s="276">
        <f t="shared" ca="1" si="10"/>
        <v>6.3749861527019309</v>
      </c>
      <c r="R47" s="276">
        <f t="shared" ca="1" si="11"/>
        <v>21.254441237156289</v>
      </c>
      <c r="S47" s="276">
        <f t="shared" ca="1" si="12"/>
        <v>0.13549676857028825</v>
      </c>
    </row>
    <row r="48" spans="1:19">
      <c r="A48" s="183"/>
      <c r="B48" s="124">
        <f t="shared" si="4"/>
        <v>28</v>
      </c>
      <c r="C48" s="120">
        <f t="shared" ca="1" si="5"/>
        <v>1075450205</v>
      </c>
      <c r="D48" s="48">
        <f t="shared" ca="1" si="0"/>
        <v>0.21552789710368545</v>
      </c>
      <c r="E48" s="120">
        <f t="shared" ca="1" si="6"/>
        <v>45975594</v>
      </c>
      <c r="F48" s="116">
        <f t="shared" ca="1" si="1"/>
        <v>45.975594000000001</v>
      </c>
      <c r="G48" s="118">
        <f ca="1">C48/Summary!C$58</f>
        <v>0.17046286336978919</v>
      </c>
      <c r="H48" s="119">
        <f ca="1">H47+M48*Summary!$C$26/1000000</f>
        <v>2099.6311048573316</v>
      </c>
      <c r="I48" s="119">
        <f t="shared" si="7"/>
        <v>9741.8066666666728</v>
      </c>
      <c r="J48" s="122">
        <f ca="1">C47*Summary!C$49*Summary!C$62*24*365*1000*C$11</f>
        <v>2786487672.3149023</v>
      </c>
      <c r="K48" s="122">
        <f t="shared" ca="1" si="2"/>
        <v>18390237672.314903</v>
      </c>
      <c r="L48" s="120">
        <f t="shared" ca="1" si="3"/>
        <v>39519449</v>
      </c>
      <c r="M48" s="278">
        <f ca="1">C47*Summary!$C$49*Summary!$C$61</f>
        <v>22720.871431139123</v>
      </c>
      <c r="N48" s="277">
        <f ca="1">M48/'Alberta Electricity Profile'!$D$49</f>
        <v>0.17404894503067284</v>
      </c>
      <c r="O48" s="278">
        <f t="shared" si="8"/>
        <v>347.92166666666708</v>
      </c>
      <c r="P48" s="278">
        <f t="shared" ca="1" si="9"/>
        <v>144.84524075083277</v>
      </c>
      <c r="Q48" s="276">
        <f t="shared" ca="1" si="10"/>
        <v>6.3749861527019291</v>
      </c>
      <c r="R48" s="276">
        <f t="shared" ca="1" si="11"/>
        <v>21.254441237156286</v>
      </c>
      <c r="S48" s="276">
        <f t="shared" ca="1" si="12"/>
        <v>0.1354967685702882</v>
      </c>
    </row>
    <row r="49" spans="1:19">
      <c r="A49" s="183"/>
      <c r="B49" s="124">
        <f t="shared" si="4"/>
        <v>29</v>
      </c>
      <c r="C49" s="120">
        <f t="shared" ca="1" si="5"/>
        <v>1081690889</v>
      </c>
      <c r="D49" s="48">
        <f t="shared" ca="1" si="0"/>
        <v>0.22253831403717189</v>
      </c>
      <c r="E49" s="120">
        <f t="shared" ca="1" si="6"/>
        <v>46017666</v>
      </c>
      <c r="F49" s="116">
        <f t="shared" ca="1" si="1"/>
        <v>46.017665999999998</v>
      </c>
      <c r="G49" s="118">
        <f ca="1">C49/Summary!C$58</f>
        <v>0.17145203502932319</v>
      </c>
      <c r="H49" s="119">
        <f ca="1">H48+M49*Summary!$C$26/1000000</f>
        <v>2245.3511323930857</v>
      </c>
      <c r="I49" s="119">
        <f t="shared" si="7"/>
        <v>10089.72833333334</v>
      </c>
      <c r="J49" s="122">
        <f ca="1">C48*Summary!C$49*Summary!C$62*24*365*1000*C$11</f>
        <v>2803316548.2893658</v>
      </c>
      <c r="K49" s="122">
        <f t="shared" ca="1" si="2"/>
        <v>18407066548.289368</v>
      </c>
      <c r="L49" s="120">
        <f t="shared" ca="1" si="3"/>
        <v>39776982</v>
      </c>
      <c r="M49" s="278">
        <f ca="1">C48*Summary!$C$49*Summary!$C$61</f>
        <v>22858.093185660182</v>
      </c>
      <c r="N49" s="277">
        <f ca="1">M49/'Alberta Electricity Profile'!$D$49</f>
        <v>0.17510010636847767</v>
      </c>
      <c r="O49" s="278">
        <f t="shared" si="8"/>
        <v>347.92166666666708</v>
      </c>
      <c r="P49" s="278">
        <f t="shared" ca="1" si="9"/>
        <v>145.72002753575407</v>
      </c>
      <c r="Q49" s="276">
        <f t="shared" ca="1" si="10"/>
        <v>6.3749861527019327</v>
      </c>
      <c r="R49" s="276">
        <f t="shared" ca="1" si="11"/>
        <v>21.254441237156289</v>
      </c>
      <c r="S49" s="276">
        <f t="shared" ca="1" si="12"/>
        <v>0.13549676857028828</v>
      </c>
    </row>
    <row r="50" spans="1:19">
      <c r="A50" s="183"/>
      <c r="B50" s="124">
        <f t="shared" si="4"/>
        <v>30</v>
      </c>
      <c r="C50" s="120">
        <f t="shared" ca="1" si="5"/>
        <v>1087713030</v>
      </c>
      <c r="D50" s="48">
        <f t="shared" ca="1" si="0"/>
        <v>0.22916238352929119</v>
      </c>
      <c r="E50" s="120">
        <f t="shared" ca="1" si="6"/>
        <v>46058334</v>
      </c>
      <c r="F50" s="116">
        <f t="shared" ca="1" si="1"/>
        <v>46.058334000000002</v>
      </c>
      <c r="G50" s="118">
        <f ca="1">C50/Summary!C$58</f>
        <v>0.17240656680932001</v>
      </c>
      <c r="H50" s="119">
        <f ca="1">H49+M50*Summary!$C$26/1000000</f>
        <v>2391.9167524445079</v>
      </c>
      <c r="I50" s="119">
        <f t="shared" si="7"/>
        <v>10437.650000000007</v>
      </c>
      <c r="J50" s="122">
        <f ca="1">C49*Summary!C$49*Summary!C$62*24*365*1000*C$11</f>
        <v>2819583793.9958696</v>
      </c>
      <c r="K50" s="122">
        <f t="shared" ca="1" si="2"/>
        <v>18423333793.995869</v>
      </c>
      <c r="L50" s="120">
        <f t="shared" ca="1" si="3"/>
        <v>40036193</v>
      </c>
      <c r="M50" s="278">
        <f ca="1">C49*Summary!$C$49*Summary!$C$61</f>
        <v>22990.735437017844</v>
      </c>
      <c r="N50" s="277">
        <f ca="1">M50/'Alberta Electricity Profile'!$D$49</f>
        <v>0.17611618728708428</v>
      </c>
      <c r="O50" s="278">
        <f t="shared" si="8"/>
        <v>347.92166666666708</v>
      </c>
      <c r="P50" s="278">
        <f t="shared" ca="1" si="9"/>
        <v>146.56562005142223</v>
      </c>
      <c r="Q50" s="276">
        <f t="shared" ca="1" si="10"/>
        <v>6.3749861527019265</v>
      </c>
      <c r="R50" s="276">
        <f t="shared" ca="1" si="11"/>
        <v>21.254441237156289</v>
      </c>
      <c r="S50" s="276">
        <f t="shared" ca="1" si="12"/>
        <v>0.13549676857028814</v>
      </c>
    </row>
    <row r="51" spans="1:19">
      <c r="A51" s="183"/>
      <c r="B51" s="124">
        <f t="shared" si="4"/>
        <v>31</v>
      </c>
      <c r="C51" s="120">
        <f t="shared" ca="1" si="5"/>
        <v>1093513515</v>
      </c>
      <c r="D51" s="48">
        <f t="shared" ca="1" si="0"/>
        <v>0.2354347485343895</v>
      </c>
      <c r="E51" s="120">
        <f t="shared" ca="1" si="6"/>
        <v>46097578</v>
      </c>
      <c r="F51" s="116">
        <f t="shared" ca="1" si="1"/>
        <v>46.097577999999999</v>
      </c>
      <c r="G51" s="118">
        <f ca="1">C51/Summary!C$58</f>
        <v>0.17332596528768426</v>
      </c>
      <c r="H51" s="119">
        <f ca="1">H50+M51*Summary!$C$26/1000000</f>
        <v>2539.2983531413047</v>
      </c>
      <c r="I51" s="119">
        <f t="shared" si="7"/>
        <v>10785.571666666674</v>
      </c>
      <c r="J51" s="122">
        <f ca="1">C50*Summary!C$49*Summary!C$62*24*365*1000*C$11</f>
        <v>2835281375.7555304</v>
      </c>
      <c r="K51" s="122">
        <f t="shared" ca="1" si="2"/>
        <v>18439031375.755531</v>
      </c>
      <c r="L51" s="120">
        <f t="shared" ca="1" si="3"/>
        <v>40297093</v>
      </c>
      <c r="M51" s="278">
        <f ca="1">C50*Summary!$C$49*Summary!$C$61</f>
        <v>23118.732679024215</v>
      </c>
      <c r="N51" s="277">
        <f ca="1">M51/'Alberta Electricity Profile'!$D$49</f>
        <v>0.17709668598871034</v>
      </c>
      <c r="O51" s="278">
        <f t="shared" si="8"/>
        <v>347.92166666666708</v>
      </c>
      <c r="P51" s="278">
        <f t="shared" ca="1" si="9"/>
        <v>147.3816006967968</v>
      </c>
      <c r="Q51" s="276">
        <f t="shared" ca="1" si="10"/>
        <v>6.374986152701922</v>
      </c>
      <c r="R51" s="276">
        <f t="shared" ca="1" si="11"/>
        <v>21.254441237156289</v>
      </c>
      <c r="S51" s="276">
        <f t="shared" ca="1" si="12"/>
        <v>0.13549676857028806</v>
      </c>
    </row>
    <row r="52" spans="1:19">
      <c r="A52" s="183"/>
      <c r="B52" s="124">
        <f t="shared" si="4"/>
        <v>32</v>
      </c>
      <c r="C52" s="120">
        <f t="shared" ca="1" si="5"/>
        <v>1099089198</v>
      </c>
      <c r="D52" s="48">
        <f t="shared" ca="1" si="0"/>
        <v>0.24138568375170716</v>
      </c>
      <c r="E52" s="120">
        <f t="shared" ca="1" si="6"/>
        <v>46135377</v>
      </c>
      <c r="F52" s="116">
        <f t="shared" ca="1" si="1"/>
        <v>46.135376999999998</v>
      </c>
      <c r="G52" s="118">
        <f ca="1">C52/Summary!C$58</f>
        <v>0.17420973181169758</v>
      </c>
      <c r="H52" s="119">
        <f ca="1">H51+M52*Summary!$C$26/1000000</f>
        <v>2687.4659008117419</v>
      </c>
      <c r="I52" s="119">
        <f t="shared" si="7"/>
        <v>11133.493333333341</v>
      </c>
      <c r="J52" s="122">
        <f ca="1">C51*Summary!C$49*Summary!C$62*24*365*1000*C$11</f>
        <v>2850401179.0834813</v>
      </c>
      <c r="K52" s="122">
        <f t="shared" ca="1" si="2"/>
        <v>18454151179.083481</v>
      </c>
      <c r="L52" s="120">
        <f t="shared" ca="1" si="3"/>
        <v>40559694</v>
      </c>
      <c r="M52" s="278">
        <f ca="1">C51*Summary!$C$49*Summary!$C$61</f>
        <v>23242.018746603724</v>
      </c>
      <c r="N52" s="277">
        <f ca="1">M52/'Alberta Electricity Profile'!$D$49</f>
        <v>0.17804109562828896</v>
      </c>
      <c r="O52" s="278">
        <f t="shared" si="8"/>
        <v>347.92166666666708</v>
      </c>
      <c r="P52" s="278">
        <f t="shared" ca="1" si="9"/>
        <v>148.16754767043722</v>
      </c>
      <c r="Q52" s="276">
        <f t="shared" ca="1" si="10"/>
        <v>6.3749861527019211</v>
      </c>
      <c r="R52" s="276">
        <f t="shared" ca="1" si="11"/>
        <v>21.254441237156293</v>
      </c>
      <c r="S52" s="276">
        <f t="shared" ca="1" si="12"/>
        <v>0.13549676857028806</v>
      </c>
    </row>
    <row r="53" spans="1:19">
      <c r="A53" s="183"/>
      <c r="B53" s="124">
        <f t="shared" si="4"/>
        <v>33</v>
      </c>
      <c r="C53" s="120">
        <f t="shared" ca="1" si="5"/>
        <v>1104436904</v>
      </c>
      <c r="D53" s="48">
        <f t="shared" ca="1" si="0"/>
        <v>0.24704175709276682</v>
      </c>
      <c r="E53" s="120">
        <f t="shared" ca="1" si="6"/>
        <v>46171712</v>
      </c>
      <c r="F53" s="116">
        <f t="shared" ca="1" si="1"/>
        <v>46.171711999999999</v>
      </c>
      <c r="G53" s="118">
        <f ca="1">C53/Summary!C$58</f>
        <v>0.1750573631320336</v>
      </c>
      <c r="H53" s="119">
        <f ca="1">H52+M53*Summary!$C$26/1000000</f>
        <v>2836.3889355112515</v>
      </c>
      <c r="I53" s="119">
        <f t="shared" si="7"/>
        <v>11481.415000000008</v>
      </c>
      <c r="J53" s="122">
        <f ca="1">C52*Summary!C$49*Summary!C$62*24*365*1000*C$11</f>
        <v>2864935003.4755788</v>
      </c>
      <c r="K53" s="122">
        <f t="shared" ca="1" si="2"/>
        <v>18468685003.475578</v>
      </c>
      <c r="L53" s="120">
        <f t="shared" ca="1" si="3"/>
        <v>40824006</v>
      </c>
      <c r="M53" s="278">
        <f ca="1">C52*Summary!$C$49*Summary!$C$61</f>
        <v>23360.526773284233</v>
      </c>
      <c r="N53" s="277">
        <f ca="1">M53/'Alberta Electricity Profile'!$D$49</f>
        <v>0.17894890398783722</v>
      </c>
      <c r="O53" s="278">
        <f t="shared" si="8"/>
        <v>347.92166666666708</v>
      </c>
      <c r="P53" s="278">
        <f t="shared" ca="1" si="9"/>
        <v>148.92303469950957</v>
      </c>
      <c r="Q53" s="276">
        <f t="shared" ca="1" si="10"/>
        <v>6.3749861527019247</v>
      </c>
      <c r="R53" s="276">
        <f t="shared" ca="1" si="11"/>
        <v>21.254441237156289</v>
      </c>
      <c r="S53" s="276">
        <f t="shared" ca="1" si="12"/>
        <v>0.13549676857028811</v>
      </c>
    </row>
    <row r="54" spans="1:19">
      <c r="A54" s="183"/>
      <c r="B54" s="124">
        <f t="shared" si="4"/>
        <v>34</v>
      </c>
      <c r="C54" s="120">
        <f t="shared" ca="1" si="5"/>
        <v>1109553425</v>
      </c>
      <c r="D54" s="48">
        <f t="shared" ca="1" si="0"/>
        <v>0.25242637446503957</v>
      </c>
      <c r="E54" s="120">
        <f t="shared" ca="1" si="6"/>
        <v>46206561</v>
      </c>
      <c r="F54" s="116">
        <f t="shared" ca="1" si="1"/>
        <v>46.206561000000001</v>
      </c>
      <c r="G54" s="118">
        <f ca="1">C54/Summary!C$58</f>
        <v>0.17586835076874308</v>
      </c>
      <c r="H54" s="119">
        <f ca="1">H53+M54*Summary!$C$26/1000000</f>
        <v>2986.036567093025</v>
      </c>
      <c r="I54" s="119">
        <f t="shared" si="7"/>
        <v>11829.336666666675</v>
      </c>
      <c r="J54" s="122">
        <f ca="1">C53*Summary!C$49*Summary!C$62*24*365*1000*C$11</f>
        <v>2878874572.8349867</v>
      </c>
      <c r="K54" s="122">
        <f t="shared" ca="1" si="2"/>
        <v>18482624572.834988</v>
      </c>
      <c r="L54" s="120">
        <f t="shared" ca="1" si="3"/>
        <v>41090040</v>
      </c>
      <c r="M54" s="278">
        <f ca="1">C53*Summary!$C$49*Summary!$C$61</f>
        <v>23474.189276214824</v>
      </c>
      <c r="N54" s="277">
        <f ca="1">M54/'Alberta Electricity Profile'!$D$49</f>
        <v>0.17981959412771903</v>
      </c>
      <c r="O54" s="278">
        <f t="shared" si="8"/>
        <v>347.92166666666708</v>
      </c>
      <c r="P54" s="278">
        <f t="shared" ca="1" si="9"/>
        <v>149.64763158177357</v>
      </c>
      <c r="Q54" s="276">
        <f t="shared" ca="1" si="10"/>
        <v>6.3749861527019265</v>
      </c>
      <c r="R54" s="276">
        <f t="shared" ca="1" si="11"/>
        <v>21.254441237156293</v>
      </c>
      <c r="S54" s="276">
        <f t="shared" ca="1" si="12"/>
        <v>0.13549676857028817</v>
      </c>
    </row>
    <row r="55" spans="1:19">
      <c r="A55" s="183"/>
      <c r="B55" s="124">
        <f t="shared" si="4"/>
        <v>35</v>
      </c>
      <c r="C55" s="120">
        <f t="shared" ca="1" si="5"/>
        <v>1114435520</v>
      </c>
      <c r="D55" s="48">
        <f t="shared" ca="1" si="0"/>
        <v>0.25756023111961723</v>
      </c>
      <c r="E55" s="120">
        <f t="shared" ca="1" si="6"/>
        <v>46239903</v>
      </c>
      <c r="F55" s="116">
        <f t="shared" ca="1" si="1"/>
        <v>46.239902999999998</v>
      </c>
      <c r="G55" s="118">
        <f ca="1">C55/Summary!C$58</f>
        <v>0.17664218101125376</v>
      </c>
      <c r="H55" s="119">
        <f ca="1">H54+M55*Summary!$C$26/1000000</f>
        <v>3136.3774707366206</v>
      </c>
      <c r="I55" s="119">
        <f t="shared" si="7"/>
        <v>12177.258333333342</v>
      </c>
      <c r="J55" s="122">
        <f ca="1">C54*Summary!C$49*Summary!C$62*24*365*1000*C$11</f>
        <v>2892211525.0455914</v>
      </c>
      <c r="K55" s="122">
        <f t="shared" ca="1" si="2"/>
        <v>18495961525.045593</v>
      </c>
      <c r="L55" s="120">
        <f t="shared" ca="1" si="3"/>
        <v>41357808</v>
      </c>
      <c r="M55" s="278">
        <f ca="1">C54*Summary!$C$49*Summary!$C$61</f>
        <v>23582.938071147997</v>
      </c>
      <c r="N55" s="277">
        <f ca="1">M55/'Alberta Electricity Profile'!$D$49</f>
        <v>0.1806526437353822</v>
      </c>
      <c r="O55" s="278">
        <f t="shared" si="8"/>
        <v>347.92166666666708</v>
      </c>
      <c r="P55" s="278">
        <f t="shared" ca="1" si="9"/>
        <v>150.34090364359554</v>
      </c>
      <c r="Q55" s="276">
        <f t="shared" ca="1" si="10"/>
        <v>6.3749861527019256</v>
      </c>
      <c r="R55" s="276">
        <f t="shared" ca="1" si="11"/>
        <v>21.254441237156289</v>
      </c>
      <c r="S55" s="276">
        <f t="shared" ca="1" si="12"/>
        <v>0.13549676857028811</v>
      </c>
    </row>
    <row r="56" spans="1:19">
      <c r="A56" s="183"/>
      <c r="B56" s="124">
        <f t="shared" si="4"/>
        <v>36</v>
      </c>
      <c r="C56" s="120">
        <f t="shared" ca="1" si="5"/>
        <v>1119079918</v>
      </c>
      <c r="D56" s="48">
        <f t="shared" ca="1" si="0"/>
        <v>0.26246168777427287</v>
      </c>
      <c r="E56" s="120">
        <f t="shared" ca="1" si="6"/>
        <v>46271718</v>
      </c>
      <c r="F56" s="116">
        <f t="shared" ca="1" si="1"/>
        <v>46.271718</v>
      </c>
      <c r="G56" s="118">
        <f ca="1">C56/Summary!C$58</f>
        <v>0.17737833539388176</v>
      </c>
      <c r="H56" s="119">
        <f ca="1">H55+M56*Summary!$C$26/1000000</f>
        <v>3287.3798824765695</v>
      </c>
      <c r="I56" s="119">
        <f t="shared" si="7"/>
        <v>12525.180000000009</v>
      </c>
      <c r="J56" s="122">
        <f ca="1">C55*Summary!C$49*Summary!C$62*24*365*1000*C$11</f>
        <v>2904937411.9720073</v>
      </c>
      <c r="K56" s="122">
        <f t="shared" ca="1" si="2"/>
        <v>18508687411.972008</v>
      </c>
      <c r="L56" s="120">
        <f t="shared" ca="1" si="3"/>
        <v>41627320</v>
      </c>
      <c r="M56" s="278">
        <f ca="1">C55*Summary!$C$49*Summary!$C$61</f>
        <v>23686.704272439711</v>
      </c>
      <c r="N56" s="277">
        <f ca="1">M56/'Alberta Electricity Profile'!$D$49</f>
        <v>0.18144752512535878</v>
      </c>
      <c r="O56" s="278">
        <f t="shared" si="8"/>
        <v>347.92166666666708</v>
      </c>
      <c r="P56" s="278">
        <f t="shared" ca="1" si="9"/>
        <v>151.00241173994891</v>
      </c>
      <c r="Q56" s="276">
        <f t="shared" ca="1" si="10"/>
        <v>6.3749861527019345</v>
      </c>
      <c r="R56" s="276">
        <f t="shared" ca="1" si="11"/>
        <v>21.254441237156289</v>
      </c>
      <c r="S56" s="276">
        <f t="shared" ca="1" si="12"/>
        <v>0.13549676857028833</v>
      </c>
    </row>
    <row r="57" spans="1:19">
      <c r="A57" s="183"/>
      <c r="B57" s="124">
        <f t="shared" si="4"/>
        <v>37</v>
      </c>
      <c r="C57" s="120">
        <f t="shared" ca="1" si="5"/>
        <v>1123483312</v>
      </c>
      <c r="D57" s="48">
        <f t="shared" ca="1" si="0"/>
        <v>0.26714708577516894</v>
      </c>
      <c r="E57" s="120">
        <f t="shared" ca="1" si="6"/>
        <v>46301984</v>
      </c>
      <c r="F57" s="116">
        <f t="shared" ca="1" si="1"/>
        <v>46.301983999999997</v>
      </c>
      <c r="G57" s="118">
        <f ca="1">C57/Summary!C$58</f>
        <v>0.17807628974480899</v>
      </c>
      <c r="H57" s="119">
        <f ca="1">H56+M57*Summary!$C$26/1000000</f>
        <v>3439.0115951374728</v>
      </c>
      <c r="I57" s="119">
        <f t="shared" si="7"/>
        <v>12873.101666666676</v>
      </c>
      <c r="J57" s="122">
        <f ca="1">C56*Summary!C$49*Summary!C$62*24*365*1000*C$11</f>
        <v>2917043707.2795072</v>
      </c>
      <c r="K57" s="122">
        <f t="shared" ca="1" si="2"/>
        <v>18520793707.279507</v>
      </c>
      <c r="L57" s="120">
        <f t="shared" ca="1" si="3"/>
        <v>41898590</v>
      </c>
      <c r="M57" s="278">
        <f ca="1">C56*Summary!$C$49*Summary!$C$61</f>
        <v>23785.418356812679</v>
      </c>
      <c r="N57" s="277">
        <f ca="1">M57/'Alberta Electricity Profile'!$D$49</f>
        <v>0.18220370572771177</v>
      </c>
      <c r="O57" s="278">
        <f t="shared" si="8"/>
        <v>347.92166666666708</v>
      </c>
      <c r="P57" s="278">
        <f t="shared" ca="1" si="9"/>
        <v>151.6317126609033</v>
      </c>
      <c r="Q57" s="276">
        <f t="shared" ca="1" si="10"/>
        <v>6.374986152701938</v>
      </c>
      <c r="R57" s="276">
        <f t="shared" ca="1" si="11"/>
        <v>21.254441237156289</v>
      </c>
      <c r="S57" s="276">
        <f t="shared" ca="1" si="12"/>
        <v>0.13549676857028836</v>
      </c>
    </row>
    <row r="58" spans="1:19">
      <c r="A58" s="183"/>
      <c r="B58" s="124">
        <f t="shared" si="4"/>
        <v>38</v>
      </c>
      <c r="C58" s="120">
        <f t="shared" ca="1" si="5"/>
        <v>1127642365</v>
      </c>
      <c r="D58" s="48">
        <f t="shared" ca="1" si="0"/>
        <v>0.27163101243469923</v>
      </c>
      <c r="E58" s="120">
        <f t="shared" ca="1" si="6"/>
        <v>46330679</v>
      </c>
      <c r="F58" s="116">
        <f t="shared" ca="1" si="1"/>
        <v>46.330679000000003</v>
      </c>
      <c r="G58" s="118">
        <f ca="1">C58/Summary!C$58</f>
        <v>0.17873551513710573</v>
      </c>
      <c r="H58" s="119">
        <f ca="1">H57+M58*Summary!$C$26/1000000</f>
        <v>3591.2399534561177</v>
      </c>
      <c r="I58" s="119">
        <f t="shared" si="7"/>
        <v>13221.023333333344</v>
      </c>
      <c r="J58" s="122">
        <f ca="1">C57*Summary!C$49*Summary!C$62*24*365*1000*C$11</f>
        <v>2928521790.794158</v>
      </c>
      <c r="K58" s="122">
        <f t="shared" ca="1" si="2"/>
        <v>18532271790.794159</v>
      </c>
      <c r="L58" s="120">
        <f t="shared" ca="1" si="3"/>
        <v>42171626</v>
      </c>
      <c r="M58" s="278">
        <f ca="1">C57*Summary!$C$49*Summary!$C$61</f>
        <v>23879.010035829724</v>
      </c>
      <c r="N58" s="277">
        <f ca="1">M58/'Alberta Electricity Profile'!$D$49</f>
        <v>0.18292064711114134</v>
      </c>
      <c r="O58" s="278">
        <f t="shared" si="8"/>
        <v>347.92166666666708</v>
      </c>
      <c r="P58" s="278">
        <f t="shared" ca="1" si="9"/>
        <v>152.22835831864495</v>
      </c>
      <c r="Q58" s="276">
        <f t="shared" ca="1" si="10"/>
        <v>6.3749861527019318</v>
      </c>
      <c r="R58" s="276">
        <f t="shared" ca="1" si="11"/>
        <v>21.254441237156289</v>
      </c>
      <c r="S58" s="276">
        <f t="shared" ca="1" si="12"/>
        <v>0.13549676857028825</v>
      </c>
    </row>
    <row r="59" spans="1:19">
      <c r="A59" s="183"/>
      <c r="B59" s="124">
        <f t="shared" si="4"/>
        <v>39</v>
      </c>
      <c r="C59" s="120">
        <f t="shared" ca="1" si="5"/>
        <v>1131553705</v>
      </c>
      <c r="D59" s="48">
        <f t="shared" ca="1" si="0"/>
        <v>0.27592652560803899</v>
      </c>
      <c r="E59" s="120">
        <f t="shared" ca="1" si="6"/>
        <v>46357782</v>
      </c>
      <c r="F59" s="116">
        <f t="shared" ca="1" si="1"/>
        <v>46.357782</v>
      </c>
      <c r="G59" s="118">
        <f ca="1">C59/Summary!C$58</f>
        <v>0.17935547709621177</v>
      </c>
      <c r="H59" s="119">
        <f ca="1">H58+M59*Summary!$C$26/1000000</f>
        <v>3744.0318500165754</v>
      </c>
      <c r="I59" s="119">
        <f t="shared" si="7"/>
        <v>13568.945000000011</v>
      </c>
      <c r="J59" s="122">
        <f ca="1">C58*Summary!C$49*Summary!C$62*24*365*1000*C$11</f>
        <v>2939362964.142684</v>
      </c>
      <c r="K59" s="122">
        <f t="shared" ca="1" si="2"/>
        <v>18543112964.142685</v>
      </c>
      <c r="L59" s="120">
        <f t="shared" ca="1" si="3"/>
        <v>42446442</v>
      </c>
      <c r="M59" s="278">
        <f ca="1">C58*Summary!$C$49*Summary!$C$61</f>
        <v>23967.408383420443</v>
      </c>
      <c r="N59" s="277">
        <f ca="1">M59/'Alberta Electricity Profile'!$D$49</f>
        <v>0.18359780595987868</v>
      </c>
      <c r="O59" s="278">
        <f t="shared" si="8"/>
        <v>347.92166666666708</v>
      </c>
      <c r="P59" s="278">
        <f t="shared" ca="1" si="9"/>
        <v>152.79189656045764</v>
      </c>
      <c r="Q59" s="276">
        <f t="shared" ca="1" si="10"/>
        <v>6.3749861527019371</v>
      </c>
      <c r="R59" s="276">
        <f t="shared" ca="1" si="11"/>
        <v>21.254441237156289</v>
      </c>
      <c r="S59" s="276">
        <f t="shared" ca="1" si="12"/>
        <v>0.13549676857028836</v>
      </c>
    </row>
    <row r="60" spans="1:19">
      <c r="A60" s="183"/>
      <c r="B60" s="124">
        <f t="shared" si="4"/>
        <v>40</v>
      </c>
      <c r="C60" s="120">
        <f t="shared" ca="1" si="5"/>
        <v>1135213927</v>
      </c>
      <c r="D60" s="48">
        <f t="shared" ca="1" si="0"/>
        <v>0.28004534453453195</v>
      </c>
      <c r="E60" s="120">
        <f t="shared" ca="1" si="6"/>
        <v>46383271</v>
      </c>
      <c r="F60" s="116">
        <f t="shared" ca="1" si="1"/>
        <v>46.383271000000001</v>
      </c>
      <c r="G60" s="118">
        <f ca="1">C60/Summary!C$58</f>
        <v>0.17993563591694406</v>
      </c>
      <c r="H60" s="119">
        <f ca="1">H59+M60*Summary!$C$26/1000000</f>
        <v>3897.3537205078128</v>
      </c>
      <c r="I60" s="119">
        <f t="shared" si="7"/>
        <v>13916.866666666678</v>
      </c>
      <c r="J60" s="122">
        <f ca="1">C59*Summary!C$49*Summary!C$62*24*365*1000*C$11</f>
        <v>2949558437.7192459</v>
      </c>
      <c r="K60" s="122">
        <f t="shared" ca="1" si="2"/>
        <v>18553308437.719246</v>
      </c>
      <c r="L60" s="120">
        <f t="shared" ca="1" si="3"/>
        <v>42723049</v>
      </c>
      <c r="M60" s="278">
        <f ca="1">C59*Summary!$C$49*Summary!$C$61</f>
        <v>24050.541729608984</v>
      </c>
      <c r="N60" s="277">
        <f ca="1">M60/'Alberta Electricity Profile'!$D$49</f>
        <v>0.18423463325960782</v>
      </c>
      <c r="O60" s="278">
        <f t="shared" si="8"/>
        <v>347.92166666666708</v>
      </c>
      <c r="P60" s="278">
        <f t="shared" ca="1" si="9"/>
        <v>153.32187049123741</v>
      </c>
      <c r="Q60" s="276">
        <f t="shared" ca="1" si="10"/>
        <v>6.3749861527019389</v>
      </c>
      <c r="R60" s="276">
        <f t="shared" ca="1" si="11"/>
        <v>21.254441237156289</v>
      </c>
      <c r="S60" s="276">
        <f t="shared" ca="1" si="12"/>
        <v>0.13549676857028839</v>
      </c>
    </row>
    <row r="61" spans="1:19">
      <c r="A61" s="183"/>
      <c r="B61" s="124">
        <f t="shared" si="4"/>
        <v>41</v>
      </c>
      <c r="C61" s="120">
        <f t="shared" ca="1" si="5"/>
        <v>1138619591</v>
      </c>
      <c r="D61" s="48">
        <f t="shared" ca="1" si="0"/>
        <v>0.28399801277006653</v>
      </c>
      <c r="E61" s="120">
        <f t="shared" ca="1" si="6"/>
        <v>46407123</v>
      </c>
      <c r="F61" s="116">
        <f t="shared" ca="1" si="1"/>
        <v>46.407122999999999</v>
      </c>
      <c r="G61" s="118">
        <f ca="1">C61/Summary!C$58</f>
        <v>0.18047544634648915</v>
      </c>
      <c r="H61" s="119">
        <f ca="1">H60+M61*Summary!$C$26/1000000</f>
        <v>4051.1715392522997</v>
      </c>
      <c r="I61" s="119">
        <f t="shared" si="7"/>
        <v>14264.788333333345</v>
      </c>
      <c r="J61" s="122">
        <f ca="1">C60*Summary!C$49*Summary!C$62*24*365*1000*C$11</f>
        <v>2959099335.8987322</v>
      </c>
      <c r="K61" s="122">
        <f t="shared" ca="1" si="2"/>
        <v>18562849335.898731</v>
      </c>
      <c r="L61" s="120">
        <f t="shared" ca="1" si="3"/>
        <v>43001459</v>
      </c>
      <c r="M61" s="278">
        <f ca="1">C60*Summary!$C$49*Summary!$C$61</f>
        <v>24128.337703022928</v>
      </c>
      <c r="N61" s="277">
        <f ca="1">M61/'Alberta Electricity Profile'!$D$49</f>
        <v>0.18483057462309682</v>
      </c>
      <c r="O61" s="278">
        <f t="shared" si="8"/>
        <v>347.92166666666708</v>
      </c>
      <c r="P61" s="278">
        <f t="shared" ca="1" si="9"/>
        <v>153.81781874448689</v>
      </c>
      <c r="Q61" s="276">
        <f t="shared" ca="1" si="10"/>
        <v>6.3749861527019229</v>
      </c>
      <c r="R61" s="276">
        <f t="shared" ca="1" si="11"/>
        <v>21.254441237156286</v>
      </c>
      <c r="S61" s="276">
        <f t="shared" ca="1" si="12"/>
        <v>0.13549676857028806</v>
      </c>
    </row>
    <row r="62" spans="1:19">
      <c r="A62" s="183"/>
      <c r="B62" s="124">
        <f t="shared" si="4"/>
        <v>42</v>
      </c>
      <c r="C62" s="120">
        <f t="shared" ca="1" si="5"/>
        <v>1141767224</v>
      </c>
      <c r="D62" s="48">
        <f t="shared" ca="1" si="0"/>
        <v>0.2877940378248538</v>
      </c>
      <c r="E62" s="120">
        <f t="shared" ca="1" si="6"/>
        <v>46429316</v>
      </c>
      <c r="F62" s="116">
        <f t="shared" ca="1" si="1"/>
        <v>46.429316</v>
      </c>
      <c r="G62" s="118">
        <f ca="1">C62/Summary!C$58</f>
        <v>0.18097435790141067</v>
      </c>
      <c r="H62" s="119">
        <f ca="1">H61+M62*Summary!$C$26/1000000</f>
        <v>4205.4508144636229</v>
      </c>
      <c r="I62" s="119">
        <f t="shared" si="7"/>
        <v>14612.710000000012</v>
      </c>
      <c r="J62" s="122">
        <f ca="1">C61*Summary!C$49*Summary!C$62*24*365*1000*C$11</f>
        <v>2967976691.8234663</v>
      </c>
      <c r="K62" s="122">
        <f t="shared" ca="1" si="2"/>
        <v>18571726691.823467</v>
      </c>
      <c r="L62" s="120">
        <f t="shared" ca="1" si="3"/>
        <v>43281683</v>
      </c>
      <c r="M62" s="278">
        <f ca="1">C61*Summary!$C$49*Summary!$C$61</f>
        <v>24200.723188384425</v>
      </c>
      <c r="N62" s="277">
        <f ca="1">M62/'Alberta Electricity Profile'!$D$49</f>
        <v>0.18538506996456666</v>
      </c>
      <c r="O62" s="278">
        <f t="shared" si="8"/>
        <v>347.92166666666708</v>
      </c>
      <c r="P62" s="278">
        <f t="shared" ca="1" si="9"/>
        <v>154.27927521132324</v>
      </c>
      <c r="Q62" s="276">
        <f t="shared" ca="1" si="10"/>
        <v>6.3749861527019309</v>
      </c>
      <c r="R62" s="276">
        <f t="shared" ca="1" si="11"/>
        <v>21.254441237156289</v>
      </c>
      <c r="S62" s="276">
        <f t="shared" ca="1" si="12"/>
        <v>0.13549676857028822</v>
      </c>
    </row>
    <row r="63" spans="1:19">
      <c r="A63" s="183"/>
      <c r="B63" s="124">
        <f t="shared" si="4"/>
        <v>43</v>
      </c>
      <c r="C63" s="120">
        <f t="shared" ca="1" si="5"/>
        <v>1144653319</v>
      </c>
      <c r="D63" s="48">
        <f t="shared" ca="1" si="0"/>
        <v>0.29144201133497732</v>
      </c>
      <c r="E63" s="120">
        <f t="shared" ca="1" si="6"/>
        <v>46449828</v>
      </c>
      <c r="F63" s="116">
        <f t="shared" ca="1" si="1"/>
        <v>46.449827999999997</v>
      </c>
      <c r="G63" s="118">
        <f ca="1">C63/Summary!C$58</f>
        <v>0.18143181470914566</v>
      </c>
      <c r="H63" s="119">
        <f ca="1">H62+M63*Summary!$C$26/1000000</f>
        <v>4360.1565837750913</v>
      </c>
      <c r="I63" s="119">
        <f t="shared" si="7"/>
        <v>14960.631666666679</v>
      </c>
      <c r="J63" s="122">
        <f ca="1">C62*Summary!C$49*Summary!C$62*24*365*1000*C$11</f>
        <v>2976181452.616498</v>
      </c>
      <c r="K63" s="122">
        <f t="shared" ca="1" si="2"/>
        <v>18579931452.616497</v>
      </c>
      <c r="L63" s="120">
        <f t="shared" ca="1" si="3"/>
        <v>43563733</v>
      </c>
      <c r="M63" s="278">
        <f ca="1">C62*Summary!$C$49*Summary!$C$61</f>
        <v>24267.62436901906</v>
      </c>
      <c r="N63" s="277">
        <f ca="1">M63/'Alberta Electricity Profile'!$D$49</f>
        <v>0.18589755382532239</v>
      </c>
      <c r="O63" s="278">
        <f t="shared" si="8"/>
        <v>347.92166666666708</v>
      </c>
      <c r="P63" s="278">
        <f t="shared" ca="1" si="9"/>
        <v>154.70576931146843</v>
      </c>
      <c r="Q63" s="276">
        <f t="shared" ca="1" si="10"/>
        <v>6.37498615270193</v>
      </c>
      <c r="R63" s="276">
        <f t="shared" ca="1" si="11"/>
        <v>21.254441237156289</v>
      </c>
      <c r="S63" s="276">
        <f t="shared" ca="1" si="12"/>
        <v>0.13549676857028822</v>
      </c>
    </row>
    <row r="64" spans="1:19">
      <c r="A64" s="183"/>
      <c r="B64" s="124">
        <f t="shared" si="4"/>
        <v>44</v>
      </c>
      <c r="C64" s="120">
        <f t="shared" ca="1" si="5"/>
        <v>1147274334</v>
      </c>
      <c r="D64" s="48">
        <f t="shared" ca="1" si="0"/>
        <v>0.29494971283806326</v>
      </c>
      <c r="E64" s="120">
        <f t="shared" ca="1" si="6"/>
        <v>46468636</v>
      </c>
      <c r="F64" s="116">
        <f t="shared" ca="1" si="1"/>
        <v>46.468635999999996</v>
      </c>
      <c r="G64" s="118">
        <f ca="1">C64/Summary!C$58</f>
        <v>0.18184725534950072</v>
      </c>
      <c r="H64" s="119">
        <f ca="1">H63+M64*Summary!$C$26/1000000</f>
        <v>4515.2534096328463</v>
      </c>
      <c r="I64" s="119">
        <f t="shared" si="7"/>
        <v>15308.553333333346</v>
      </c>
      <c r="J64" s="122">
        <f ca="1">C63*Summary!C$49*Summary!C$62*24*365*1000*C$11</f>
        <v>2983704476.7749581</v>
      </c>
      <c r="K64" s="122">
        <f t="shared" ca="1" si="2"/>
        <v>18587454476.77496</v>
      </c>
      <c r="L64" s="120">
        <f t="shared" ca="1" si="3"/>
        <v>43847621</v>
      </c>
      <c r="M64" s="278">
        <f ca="1">C63*Summary!$C$49*Summary!$C$61</f>
        <v>24328.966705601411</v>
      </c>
      <c r="N64" s="277">
        <f ca="1">M64/'Alberta Electricity Profile'!$D$49</f>
        <v>0.18636745521093748</v>
      </c>
      <c r="O64" s="278">
        <f t="shared" si="8"/>
        <v>347.92166666666708</v>
      </c>
      <c r="P64" s="278">
        <f t="shared" ca="1" si="9"/>
        <v>155.09682585775499</v>
      </c>
      <c r="Q64" s="276">
        <f t="shared" ca="1" si="10"/>
        <v>6.3749861527019176</v>
      </c>
      <c r="R64" s="276">
        <f t="shared" ca="1" si="11"/>
        <v>21.254441237156286</v>
      </c>
      <c r="S64" s="276">
        <f t="shared" ca="1" si="12"/>
        <v>0.13549676857028795</v>
      </c>
    </row>
    <row r="65" spans="1:19">
      <c r="A65" s="183"/>
      <c r="B65" s="124">
        <f t="shared" si="4"/>
        <v>45</v>
      </c>
      <c r="C65" s="120">
        <f t="shared" ca="1" si="5"/>
        <v>1149626691</v>
      </c>
      <c r="D65" s="48">
        <f t="shared" ca="1" si="0"/>
        <v>0.29832419970353941</v>
      </c>
      <c r="E65" s="120">
        <f t="shared" ca="1" si="6"/>
        <v>46485716</v>
      </c>
      <c r="F65" s="116">
        <f t="shared" ca="1" si="1"/>
        <v>46.485715999999996</v>
      </c>
      <c r="G65" s="118">
        <f ca="1">C65/Summary!C$58</f>
        <v>0.18222011269614835</v>
      </c>
      <c r="H65" s="119">
        <f ca="1">H64+M65*Summary!$C$26/1000000</f>
        <v>4670.7053745534758</v>
      </c>
      <c r="I65" s="119">
        <f t="shared" si="7"/>
        <v>15656.475000000013</v>
      </c>
      <c r="J65" s="122">
        <f ca="1">C64*Summary!C$49*Summary!C$62*24*365*1000*C$11</f>
        <v>2990536531.5634122</v>
      </c>
      <c r="K65" s="122">
        <f t="shared" ca="1" si="2"/>
        <v>18594286531.563412</v>
      </c>
      <c r="L65" s="120">
        <f t="shared" ca="1" si="3"/>
        <v>44133359</v>
      </c>
      <c r="M65" s="278">
        <f ca="1">C64*Summary!$C$49*Summary!$C$61</f>
        <v>24384.674914900617</v>
      </c>
      <c r="N65" s="277">
        <f ca="1">M65/'Alberta Electricity Profile'!$D$49</f>
        <v>0.18679419742843828</v>
      </c>
      <c r="O65" s="278">
        <f t="shared" si="8"/>
        <v>347.92166666666708</v>
      </c>
      <c r="P65" s="278">
        <f t="shared" ca="1" si="9"/>
        <v>155.45196492062951</v>
      </c>
      <c r="Q65" s="276">
        <f t="shared" ca="1" si="10"/>
        <v>6.3749861527019283</v>
      </c>
      <c r="R65" s="276">
        <f t="shared" ca="1" si="11"/>
        <v>21.254441237156286</v>
      </c>
      <c r="S65" s="276">
        <f t="shared" ca="1" si="12"/>
        <v>0.1354967685702882</v>
      </c>
    </row>
    <row r="66" spans="1:19">
      <c r="A66" s="183"/>
      <c r="B66" s="124">
        <f t="shared" si="4"/>
        <v>46</v>
      </c>
      <c r="C66" s="120">
        <f t="shared" ca="1" si="5"/>
        <v>1151706777</v>
      </c>
      <c r="D66" s="48">
        <f t="shared" ca="1" si="0"/>
        <v>0.30157188532439472</v>
      </c>
      <c r="E66" s="120">
        <f t="shared" ca="1" si="6"/>
        <v>46501045</v>
      </c>
      <c r="F66" s="116">
        <f t="shared" ca="1" si="1"/>
        <v>46.501044999999998</v>
      </c>
      <c r="G66" s="118">
        <f ca="1">C66/Summary!C$58</f>
        <v>0.18254981407513077</v>
      </c>
      <c r="H66" s="119">
        <f ca="1">H65+M66*Summary!$C$26/1000000</f>
        <v>4826.4760762461292</v>
      </c>
      <c r="I66" s="119">
        <f t="shared" si="7"/>
        <v>16004.39666666668</v>
      </c>
      <c r="J66" s="122">
        <f ca="1">C65*Summary!C$49*Summary!C$62*24*365*1000*C$11</f>
        <v>2996668290.4072204</v>
      </c>
      <c r="K66" s="122">
        <f t="shared" ca="1" si="2"/>
        <v>18600418290.407219</v>
      </c>
      <c r="L66" s="120">
        <f t="shared" ca="1" si="3"/>
        <v>44420959</v>
      </c>
      <c r="M66" s="278">
        <f ca="1">C65*Summary!$C$49*Summary!$C$61</f>
        <v>24434.672948525931</v>
      </c>
      <c r="N66" s="277">
        <f ca="1">M66/'Alberta Electricity Profile'!$D$49</f>
        <v>0.18717719792348828</v>
      </c>
      <c r="O66" s="278">
        <f t="shared" si="8"/>
        <v>347.92166666666708</v>
      </c>
      <c r="P66" s="278">
        <f t="shared" ca="1" si="9"/>
        <v>155.77070169265335</v>
      </c>
      <c r="Q66" s="276">
        <f t="shared" ca="1" si="10"/>
        <v>6.3749861527019336</v>
      </c>
      <c r="R66" s="276">
        <f t="shared" ca="1" si="11"/>
        <v>21.254441237156289</v>
      </c>
      <c r="S66" s="276">
        <f t="shared" ca="1" si="12"/>
        <v>0.13549676857028831</v>
      </c>
    </row>
    <row r="67" spans="1:19">
      <c r="A67" s="183"/>
      <c r="B67" s="124">
        <f t="shared" si="4"/>
        <v>47</v>
      </c>
      <c r="C67" s="120">
        <f t="shared" ca="1" si="5"/>
        <v>1153510944</v>
      </c>
      <c r="D67" s="48">
        <f t="shared" ca="1" si="0"/>
        <v>0.30469860733529791</v>
      </c>
      <c r="E67" s="120">
        <f t="shared" ca="1" si="6"/>
        <v>46514600</v>
      </c>
      <c r="F67" s="116">
        <f t="shared" ca="1" si="1"/>
        <v>46.514600000000002</v>
      </c>
      <c r="G67" s="118">
        <f ca="1">C67/Summary!C$58</f>
        <v>0.18283578126485972</v>
      </c>
      <c r="H67" s="119">
        <f ca="1">H66+M67*Summary!$C$26/1000000</f>
        <v>4982.5286228701307</v>
      </c>
      <c r="I67" s="119">
        <f t="shared" si="7"/>
        <v>16352.318333333347</v>
      </c>
      <c r="J67" s="122">
        <f ca="1">C66*Summary!C$49*Summary!C$62*24*365*1000*C$11</f>
        <v>3002090335.4991789</v>
      </c>
      <c r="K67" s="122">
        <f t="shared" ca="1" si="2"/>
        <v>18605840335.49918</v>
      </c>
      <c r="L67" s="120">
        <f t="shared" ca="1" si="3"/>
        <v>44710433</v>
      </c>
      <c r="M67" s="278">
        <f ca="1">C66*Summary!$C$49*Summary!$C$61</f>
        <v>24478.884014181163</v>
      </c>
      <c r="N67" s="277">
        <f ca="1">M67/'Alberta Electricity Profile'!$D$49</f>
        <v>0.18751586844320386</v>
      </c>
      <c r="O67" s="278">
        <f t="shared" si="8"/>
        <v>347.92166666666708</v>
      </c>
      <c r="P67" s="278">
        <f t="shared" ca="1" si="9"/>
        <v>156.05254662400148</v>
      </c>
      <c r="Q67" s="276">
        <f t="shared" ca="1" si="10"/>
        <v>6.3749861527019265</v>
      </c>
      <c r="R67" s="276">
        <f t="shared" ca="1" si="11"/>
        <v>21.254441237156289</v>
      </c>
      <c r="S67" s="276">
        <f t="shared" ca="1" si="12"/>
        <v>0.13549676857028817</v>
      </c>
    </row>
    <row r="68" spans="1:19">
      <c r="A68" s="183"/>
      <c r="B68" s="124">
        <f t="shared" si="4"/>
        <v>48</v>
      </c>
      <c r="C68" s="120">
        <f t="shared" ca="1" si="5"/>
        <v>1155035508</v>
      </c>
      <c r="D68" s="48">
        <f t="shared" ca="1" si="0"/>
        <v>0.30770968730345127</v>
      </c>
      <c r="E68" s="120">
        <f t="shared" ca="1" si="6"/>
        <v>46526357</v>
      </c>
      <c r="F68" s="116">
        <f t="shared" ca="1" si="1"/>
        <v>46.526356999999997</v>
      </c>
      <c r="G68" s="118">
        <f ca="1">C68/Summary!C$58</f>
        <v>0.18307743033761292</v>
      </c>
      <c r="H68" s="119">
        <f ca="1">H67+M68*Summary!$C$26/1000000</f>
        <v>5138.8256282925931</v>
      </c>
      <c r="I68" s="119">
        <f t="shared" si="7"/>
        <v>16700.240000000013</v>
      </c>
      <c r="J68" s="122">
        <f ca="1">C67*Summary!C$49*Summary!C$62*24*365*1000*C$11</f>
        <v>3006793157.7995162</v>
      </c>
      <c r="K68" s="122">
        <f t="shared" ca="1" si="2"/>
        <v>18610543157.799515</v>
      </c>
      <c r="L68" s="120">
        <f t="shared" ca="1" si="3"/>
        <v>45001793</v>
      </c>
      <c r="M68" s="278">
        <f ca="1">C67*Summary!$C$49*Summary!$C$61</f>
        <v>24517.230575664678</v>
      </c>
      <c r="N68" s="277">
        <f ca="1">M68/'Alberta Electricity Profile'!$D$49</f>
        <v>0.1878096150361542</v>
      </c>
      <c r="O68" s="278">
        <f t="shared" si="8"/>
        <v>347.92166666666526</v>
      </c>
      <c r="P68" s="278">
        <f t="shared" ca="1" si="9"/>
        <v>156.29700542246246</v>
      </c>
      <c r="Q68" s="276">
        <f t="shared" ca="1" si="10"/>
        <v>6.3749861527019203</v>
      </c>
      <c r="R68" s="276">
        <f t="shared" ca="1" si="11"/>
        <v>21.254441237156286</v>
      </c>
      <c r="S68" s="276">
        <f t="shared" ca="1" si="12"/>
        <v>0.13549676857028803</v>
      </c>
    </row>
    <row r="69" spans="1:19">
      <c r="A69" s="183"/>
      <c r="B69" s="124">
        <f t="shared" si="4"/>
        <v>49</v>
      </c>
      <c r="C69" s="120">
        <f t="shared" ca="1" si="5"/>
        <v>1156276748</v>
      </c>
      <c r="D69" s="48">
        <f t="shared" ca="1" si="0"/>
        <v>0.31060998310241256</v>
      </c>
      <c r="E69" s="120">
        <f t="shared" ca="1" si="6"/>
        <v>46536292</v>
      </c>
      <c r="F69" s="116">
        <f t="shared" ca="1" si="1"/>
        <v>46.536292000000003</v>
      </c>
      <c r="G69" s="118">
        <f ca="1">C69/Summary!C$58</f>
        <v>0.18327417150103029</v>
      </c>
      <c r="H69" s="119">
        <f ca="1">H68+M69*Summary!$C$26/1000000</f>
        <v>5295.3292072105342</v>
      </c>
      <c r="I69" s="119">
        <f t="shared" si="7"/>
        <v>17048.161666666678</v>
      </c>
      <c r="J69" s="122">
        <f ca="1">C68*Summary!C$49*Summary!C$62*24*365*1000*C$11</f>
        <v>3010767154.4292588</v>
      </c>
      <c r="K69" s="122">
        <f t="shared" ca="1" si="2"/>
        <v>18614517154.42926</v>
      </c>
      <c r="L69" s="120">
        <f t="shared" ca="1" si="3"/>
        <v>45295052</v>
      </c>
      <c r="M69" s="278">
        <f ca="1">C68*Summary!$C$49*Summary!$C$61</f>
        <v>24549.634331614961</v>
      </c>
      <c r="N69" s="277">
        <f ca="1">M69/'Alberta Electricity Profile'!$D$49</f>
        <v>0.18805783788954566</v>
      </c>
      <c r="O69" s="278">
        <f t="shared" si="8"/>
        <v>347.92166666666526</v>
      </c>
      <c r="P69" s="278">
        <f t="shared" ca="1" si="9"/>
        <v>156.50357891794101</v>
      </c>
      <c r="Q69" s="276">
        <f t="shared" ca="1" si="10"/>
        <v>6.3749861527019185</v>
      </c>
      <c r="R69" s="276">
        <f t="shared" ca="1" si="11"/>
        <v>21.254441237156286</v>
      </c>
      <c r="S69" s="276">
        <f t="shared" ca="1" si="12"/>
        <v>0.13549676857028797</v>
      </c>
    </row>
    <row r="70" spans="1:19">
      <c r="A70" s="183"/>
      <c r="B70" s="124">
        <f t="shared" si="4"/>
        <v>50</v>
      </c>
      <c r="C70" s="120">
        <f t="shared" ca="1" si="5"/>
        <v>1157230906</v>
      </c>
      <c r="D70" s="48">
        <f t="shared" ca="1" si="0"/>
        <v>0.31340393499326913</v>
      </c>
      <c r="E70" s="120">
        <f t="shared" ca="1" si="6"/>
        <v>46544381</v>
      </c>
      <c r="F70" s="116">
        <f t="shared" ca="1" si="1"/>
        <v>46.544381000000001</v>
      </c>
      <c r="G70" s="118">
        <f ca="1">C70/Summary!C$58</f>
        <v>0.18342540909811381</v>
      </c>
      <c r="H70" s="119">
        <f ca="1">H69+M70*Summary!$C$26/1000000</f>
        <v>5452.0009701374956</v>
      </c>
      <c r="I70" s="119">
        <f t="shared" si="7"/>
        <v>17396.083333333343</v>
      </c>
      <c r="J70" s="122">
        <f ca="1">C69*Summary!C$49*Summary!C$62*24*365*1000*C$11</f>
        <v>3014002626.0635777</v>
      </c>
      <c r="K70" s="122">
        <f t="shared" ca="1" si="2"/>
        <v>18617752626.063576</v>
      </c>
      <c r="L70" s="120">
        <f t="shared" ca="1" si="3"/>
        <v>45590223</v>
      </c>
      <c r="M70" s="278">
        <f ca="1">C69*Summary!$C$49*Summary!$C$61</f>
        <v>24576.016194256172</v>
      </c>
      <c r="N70" s="277">
        <f ca="1">M70/'Alberta Electricity Profile'!$D$49</f>
        <v>0.18825993116640624</v>
      </c>
      <c r="O70" s="278">
        <f t="shared" si="8"/>
        <v>347.92166666666526</v>
      </c>
      <c r="P70" s="278">
        <f t="shared" ca="1" si="9"/>
        <v>156.67176292696149</v>
      </c>
      <c r="Q70" s="276">
        <f t="shared" ca="1" si="10"/>
        <v>6.37498615270193</v>
      </c>
      <c r="R70" s="276">
        <f t="shared" ca="1" si="11"/>
        <v>21.254441237156289</v>
      </c>
      <c r="S70" s="276">
        <f t="shared" ca="1" si="12"/>
        <v>0.13549676857028825</v>
      </c>
    </row>
    <row r="71" spans="1:19">
      <c r="A71" s="183"/>
      <c r="B71" s="124">
        <f t="shared" si="4"/>
        <v>51</v>
      </c>
      <c r="C71" s="120">
        <f t="shared" ca="1" si="5"/>
        <v>1157894189</v>
      </c>
      <c r="D71" s="48">
        <f t="shared" ca="1" si="0"/>
        <v>0.31609560628449779</v>
      </c>
      <c r="E71" s="120">
        <f t="shared" ca="1" si="6"/>
        <v>46550599</v>
      </c>
      <c r="F71" s="116">
        <f t="shared" ca="1" si="1"/>
        <v>46.550598999999998</v>
      </c>
      <c r="G71" s="118">
        <f ca="1">C71/Summary!C$58</f>
        <v>0.18353054192423521</v>
      </c>
      <c r="H71" s="119">
        <f ca="1">H70+M71*Summary!$C$26/1000000</f>
        <v>5608.8020183901626</v>
      </c>
      <c r="I71" s="119">
        <f t="shared" si="7"/>
        <v>17744.005000000008</v>
      </c>
      <c r="J71" s="122">
        <f ca="1">C70*Summary!C$49*Summary!C$62*24*365*1000*C$11</f>
        <v>3016489776.931788</v>
      </c>
      <c r="K71" s="122">
        <f t="shared" ca="1" si="2"/>
        <v>18620239776.931789</v>
      </c>
      <c r="L71" s="120">
        <f t="shared" ca="1" si="3"/>
        <v>45887316</v>
      </c>
      <c r="M71" s="278">
        <f ca="1">C70*Summary!$C$49*Summary!$C$61</f>
        <v>24596.296289398131</v>
      </c>
      <c r="N71" s="277">
        <f ca="1">M71/'Alberta Electricity Profile'!$D$49</f>
        <v>0.18841528300558538</v>
      </c>
      <c r="O71" s="278">
        <f t="shared" si="8"/>
        <v>347.92166666666526</v>
      </c>
      <c r="P71" s="278">
        <f t="shared" ca="1" si="9"/>
        <v>156.80104825266699</v>
      </c>
      <c r="Q71" s="276">
        <f t="shared" ca="1" si="10"/>
        <v>6.3749861527019318</v>
      </c>
      <c r="R71" s="276">
        <f t="shared" ca="1" si="11"/>
        <v>21.254441237156289</v>
      </c>
      <c r="S71" s="276">
        <f t="shared" ca="1" si="12"/>
        <v>0.13549676857028825</v>
      </c>
    </row>
    <row r="72" spans="1:19">
      <c r="A72" s="183"/>
      <c r="B72" s="124">
        <f t="shared" si="4"/>
        <v>52</v>
      </c>
      <c r="C72" s="120">
        <f t="shared" ca="1" si="5"/>
        <v>1158516973</v>
      </c>
      <c r="D72" s="48">
        <f t="shared" ca="1" si="0"/>
        <v>0.31868871931528064</v>
      </c>
      <c r="E72" s="120">
        <f t="shared" ca="1" si="6"/>
        <v>46554921</v>
      </c>
      <c r="F72" s="116">
        <f t="shared" ca="1" si="1"/>
        <v>46.554921</v>
      </c>
      <c r="G72" s="118">
        <f ca="1">C72/Summary!C$58</f>
        <v>0.18362925550800444</v>
      </c>
      <c r="H72" s="119">
        <f ca="1">H71+M72*Summary!$C$26/1000000</f>
        <v>5765.6929393459768</v>
      </c>
      <c r="I72" s="119">
        <f t="shared" si="7"/>
        <v>18091.926666666674</v>
      </c>
      <c r="J72" s="122">
        <f ca="1">C71*Summary!C$49*Summary!C$62*24*365*1000*C$11</f>
        <v>3018218720.0306444</v>
      </c>
      <c r="K72" s="122">
        <f t="shared" ca="1" si="2"/>
        <v>18621968720.030643</v>
      </c>
      <c r="L72" s="120">
        <f t="shared" ca="1" si="3"/>
        <v>45932137</v>
      </c>
      <c r="M72" s="278">
        <f ca="1">C71*Summary!$C$49*Summary!$C$61</f>
        <v>24610.393998945237</v>
      </c>
      <c r="N72" s="277">
        <f ca="1">M72/'Alberta Electricity Profile'!$D$49</f>
        <v>0.18852327584738543</v>
      </c>
      <c r="O72" s="278">
        <f t="shared" si="8"/>
        <v>347.92166666666526</v>
      </c>
      <c r="P72" s="278">
        <f t="shared" ca="1" si="9"/>
        <v>156.89092095581418</v>
      </c>
      <c r="Q72" s="276">
        <f t="shared" ca="1" si="10"/>
        <v>6.3749861527019149</v>
      </c>
      <c r="R72" s="276">
        <f t="shared" ca="1" si="11"/>
        <v>21.254441237156289</v>
      </c>
      <c r="S72" s="276">
        <f t="shared" ca="1" si="12"/>
        <v>0.13549676857028789</v>
      </c>
    </row>
    <row r="73" spans="1:19">
      <c r="A73" s="183"/>
      <c r="B73" s="124">
        <f t="shared" si="4"/>
        <v>53</v>
      </c>
      <c r="C73" s="120">
        <f t="shared" ca="1" si="5"/>
        <v>1159100359</v>
      </c>
      <c r="D73" s="48">
        <f t="shared" ca="1" si="0"/>
        <v>0.32118855526674922</v>
      </c>
      <c r="E73" s="120">
        <f t="shared" ca="1" si="6"/>
        <v>46558980</v>
      </c>
      <c r="F73" s="116">
        <f t="shared" ca="1" si="1"/>
        <v>46.558979999999998</v>
      </c>
      <c r="G73" s="118">
        <f ca="1">C73/Summary!C$58</f>
        <v>0.1837217243620225</v>
      </c>
      <c r="H73" s="119">
        <f ca="1">H72+M73*Summary!$C$26/1000000</f>
        <v>5922.6682455213086</v>
      </c>
      <c r="I73" s="119">
        <f t="shared" si="7"/>
        <v>18439.848333333339</v>
      </c>
      <c r="J73" s="122">
        <f ca="1">C72*Summary!C$49*Summary!C$62*24*365*1000*C$11</f>
        <v>3019842096.6268768</v>
      </c>
      <c r="K73" s="122">
        <f t="shared" ca="1" si="2"/>
        <v>18623592096.626877</v>
      </c>
      <c r="L73" s="120">
        <f t="shared" ca="1" si="3"/>
        <v>45975594</v>
      </c>
      <c r="M73" s="278">
        <f ca="1">C72*Summary!$C$49*Summary!$C$61</f>
        <v>24623.630924876681</v>
      </c>
      <c r="N73" s="277">
        <f ca="1">M73/'Alberta Electricity Profile'!$D$49</f>
        <v>0.18862467481884651</v>
      </c>
      <c r="O73" s="278">
        <f t="shared" si="8"/>
        <v>347.92166666666526</v>
      </c>
      <c r="P73" s="278">
        <f t="shared" ca="1" si="9"/>
        <v>156.97530617533175</v>
      </c>
      <c r="Q73" s="276">
        <f t="shared" ca="1" si="10"/>
        <v>6.3749861527019256</v>
      </c>
      <c r="R73" s="276">
        <f t="shared" ca="1" si="11"/>
        <v>21.254441237156293</v>
      </c>
      <c r="S73" s="276">
        <f t="shared" ca="1" si="12"/>
        <v>0.13549676857028814</v>
      </c>
    </row>
    <row r="74" spans="1:19">
      <c r="A74" s="183"/>
      <c r="B74" s="124">
        <f t="shared" si="4"/>
        <v>54</v>
      </c>
      <c r="C74" s="120">
        <f t="shared" ca="1" si="5"/>
        <v>1159645474</v>
      </c>
      <c r="D74" s="48">
        <f t="shared" ca="1" si="0"/>
        <v>0.32360001206180766</v>
      </c>
      <c r="E74" s="120">
        <f t="shared" ca="1" si="6"/>
        <v>46562781</v>
      </c>
      <c r="F74" s="116">
        <f t="shared" ca="1" si="1"/>
        <v>46.562781000000001</v>
      </c>
      <c r="G74" s="118">
        <f ca="1">C74/Summary!C$58</f>
        <v>0.18380812711998731</v>
      </c>
      <c r="H74" s="119">
        <f ca="1">H73+M74*Summary!$C$26/1000000</f>
        <v>6079.7225986144695</v>
      </c>
      <c r="I74" s="119">
        <f t="shared" si="7"/>
        <v>18787.770000000004</v>
      </c>
      <c r="J74" s="122">
        <f ca="1">C73*Summary!C$49*Summary!C$62*24*365*1000*C$11</f>
        <v>3021362776.6362686</v>
      </c>
      <c r="K74" s="122">
        <f t="shared" ca="1" si="2"/>
        <v>18625112776.636269</v>
      </c>
      <c r="L74" s="120">
        <f t="shared" ca="1" si="3"/>
        <v>46017666</v>
      </c>
      <c r="M74" s="278">
        <f ca="1">C73*Summary!$C$49*Summary!$C$61</f>
        <v>24636.030468332257</v>
      </c>
      <c r="N74" s="277">
        <f ca="1">M74/'Alberta Electricity Profile'!$D$49</f>
        <v>0.18871965917998099</v>
      </c>
      <c r="O74" s="278">
        <f t="shared" si="8"/>
        <v>347.92166666666526</v>
      </c>
      <c r="P74" s="278">
        <f t="shared" ca="1" si="9"/>
        <v>157.0543530931609</v>
      </c>
      <c r="Q74" s="276">
        <f t="shared" ca="1" si="10"/>
        <v>6.3749861527019265</v>
      </c>
      <c r="R74" s="276">
        <f t="shared" ca="1" si="11"/>
        <v>21.254441237156286</v>
      </c>
      <c r="S74" s="276">
        <f t="shared" ca="1" si="12"/>
        <v>0.13549676857028814</v>
      </c>
    </row>
    <row r="75" spans="1:19">
      <c r="A75" s="183"/>
      <c r="B75" s="124">
        <f t="shared" si="4"/>
        <v>55</v>
      </c>
      <c r="C75" s="120">
        <f t="shared" ca="1" si="5"/>
        <v>1160153474</v>
      </c>
      <c r="D75" s="48">
        <f t="shared" ca="1" si="0"/>
        <v>0.32592763939089192</v>
      </c>
      <c r="E75" s="120">
        <f t="shared" ca="1" si="6"/>
        <v>46566334</v>
      </c>
      <c r="F75" s="116">
        <f t="shared" ca="1" si="1"/>
        <v>46.566333999999998</v>
      </c>
      <c r="G75" s="118">
        <f ca="1">C75/Summary!C$58</f>
        <v>0.18388864701220478</v>
      </c>
      <c r="H75" s="119">
        <f ca="1">H74+M75*Summary!$C$26/1000000</f>
        <v>6236.85081302863</v>
      </c>
      <c r="I75" s="119">
        <f t="shared" si="7"/>
        <v>19135.691666666669</v>
      </c>
      <c r="J75" s="122">
        <f ca="1">C74*Summary!C$49*Summary!C$62*24*365*1000*C$11</f>
        <v>3022783697.7473688</v>
      </c>
      <c r="K75" s="122">
        <f t="shared" ca="1" si="2"/>
        <v>18626533697.747368</v>
      </c>
      <c r="L75" s="120">
        <f t="shared" ca="1" si="3"/>
        <v>46058334</v>
      </c>
      <c r="M75" s="278">
        <f ca="1">C74*Summary!$C$49*Summary!$C$61</f>
        <v>24647.616583067254</v>
      </c>
      <c r="N75" s="277">
        <f ca="1">M75/'Alberta Electricity Profile'!$D$49</f>
        <v>0.18880841242400784</v>
      </c>
      <c r="O75" s="278">
        <f t="shared" si="8"/>
        <v>347.92166666666526</v>
      </c>
      <c r="P75" s="278">
        <f t="shared" ca="1" si="9"/>
        <v>157.12821441416054</v>
      </c>
      <c r="Q75" s="276">
        <f t="shared" ca="1" si="10"/>
        <v>6.3749861527019434</v>
      </c>
      <c r="R75" s="276">
        <f t="shared" ca="1" si="11"/>
        <v>21.254441237156289</v>
      </c>
      <c r="S75" s="276">
        <f t="shared" ca="1" si="12"/>
        <v>0.13549676857028853</v>
      </c>
    </row>
    <row r="76" spans="1:19">
      <c r="A76" s="183"/>
      <c r="B76" s="124">
        <f t="shared" si="4"/>
        <v>56</v>
      </c>
      <c r="C76" s="120">
        <f t="shared" ca="1" si="5"/>
        <v>1160625540</v>
      </c>
      <c r="D76" s="48">
        <f t="shared" ca="1" si="0"/>
        <v>0.32817567000583175</v>
      </c>
      <c r="E76" s="120">
        <f t="shared" ca="1" si="6"/>
        <v>46569644</v>
      </c>
      <c r="F76" s="116">
        <f t="shared" ca="1" si="1"/>
        <v>46.569643999999997</v>
      </c>
      <c r="G76" s="118">
        <f ca="1">C76/Summary!C$58</f>
        <v>0.18396347123157394</v>
      </c>
      <c r="H76" s="119">
        <f ca="1">H75+M76*Summary!$C$26/1000000</f>
        <v>6394.0478598012241</v>
      </c>
      <c r="I76" s="119">
        <f t="shared" si="7"/>
        <v>19483.613333333335</v>
      </c>
      <c r="J76" s="122">
        <f ca="1">C75*Summary!C$49*Summary!C$62*24*365*1000*C$11</f>
        <v>3024107873.2414169</v>
      </c>
      <c r="K76" s="122">
        <f t="shared" ca="1" si="2"/>
        <v>18627857873.241417</v>
      </c>
      <c r="L76" s="120">
        <f t="shared" ca="1" si="3"/>
        <v>46097578</v>
      </c>
      <c r="M76" s="278">
        <f ca="1">C75*Summary!$C$49*Summary!$C$61</f>
        <v>24658.413839215726</v>
      </c>
      <c r="N76" s="277">
        <f ca="1">M76/'Alberta Electricity Profile'!$D$49</f>
        <v>0.1888911227657992</v>
      </c>
      <c r="O76" s="278">
        <f t="shared" si="8"/>
        <v>347.92166666666526</v>
      </c>
      <c r="P76" s="278">
        <f t="shared" ca="1" si="9"/>
        <v>157.19704677259415</v>
      </c>
      <c r="Q76" s="276">
        <f t="shared" ca="1" si="10"/>
        <v>6.3749861527019407</v>
      </c>
      <c r="R76" s="276">
        <f t="shared" ca="1" si="11"/>
        <v>21.254441237156289</v>
      </c>
      <c r="S76" s="276">
        <f t="shared" ca="1" si="12"/>
        <v>0.13549676857028845</v>
      </c>
    </row>
    <row r="77" spans="1:19">
      <c r="A77" s="183"/>
      <c r="B77" s="124">
        <f t="shared" si="4"/>
        <v>57</v>
      </c>
      <c r="C77" s="120">
        <f t="shared" ca="1" si="5"/>
        <v>1161062883</v>
      </c>
      <c r="D77" s="48">
        <f t="shared" ca="1" si="0"/>
        <v>0.33034804769229259</v>
      </c>
      <c r="E77" s="120">
        <f t="shared" ca="1" si="6"/>
        <v>46572720</v>
      </c>
      <c r="F77" s="116">
        <f t="shared" ca="1" si="1"/>
        <v>46.572719999999997</v>
      </c>
      <c r="G77" s="118">
        <f ca="1">C77/Summary!C$58</f>
        <v>0.18403279172610557</v>
      </c>
      <c r="H77" s="119">
        <f ca="1">H76+M77*Summary!$C$26/1000000</f>
        <v>6551.3088699913696</v>
      </c>
      <c r="I77" s="119">
        <f t="shared" si="7"/>
        <v>19831.535</v>
      </c>
      <c r="J77" s="122">
        <f ca="1">C76*Summary!C$49*Summary!C$62*24*365*1000*C$11</f>
        <v>3025338381.5657754</v>
      </c>
      <c r="K77" s="122">
        <f t="shared" ca="1" si="2"/>
        <v>18629088381.565777</v>
      </c>
      <c r="L77" s="120">
        <f t="shared" ca="1" si="3"/>
        <v>46135377</v>
      </c>
      <c r="M77" s="278">
        <f ca="1">C76*Summary!$C$49*Summary!$C$61</f>
        <v>24668.447338272788</v>
      </c>
      <c r="N77" s="277">
        <f ca="1">M77/'Alberta Electricity Profile'!$D$49</f>
        <v>0.18896798249061833</v>
      </c>
      <c r="O77" s="278">
        <f t="shared" si="8"/>
        <v>347.92166666666526</v>
      </c>
      <c r="P77" s="278">
        <f t="shared" ca="1" si="9"/>
        <v>157.2610101901455</v>
      </c>
      <c r="Q77" s="276">
        <f t="shared" ca="1" si="10"/>
        <v>6.3749861527019167</v>
      </c>
      <c r="R77" s="276">
        <f t="shared" ca="1" si="11"/>
        <v>21.254441237156293</v>
      </c>
      <c r="S77" s="276">
        <f t="shared" ca="1" si="12"/>
        <v>0.13549676857028797</v>
      </c>
    </row>
    <row r="78" spans="1:19">
      <c r="A78" s="183"/>
      <c r="B78" s="124">
        <f t="shared" si="4"/>
        <v>58</v>
      </c>
      <c r="C78" s="120">
        <f t="shared" ca="1" si="5"/>
        <v>1161466741</v>
      </c>
      <c r="D78" s="48">
        <f t="shared" ca="1" si="0"/>
        <v>0.33244845238208953</v>
      </c>
      <c r="E78" s="120">
        <f t="shared" ca="1" si="6"/>
        <v>46575570</v>
      </c>
      <c r="F78" s="116">
        <f t="shared" ca="1" si="1"/>
        <v>46.575569999999999</v>
      </c>
      <c r="G78" s="118">
        <f ca="1">C78/Summary!C$58</f>
        <v>0.184096804723411</v>
      </c>
      <c r="H78" s="119">
        <f ca="1">H77+M78*Summary!$C$26/1000000</f>
        <v>6708.6291387447718</v>
      </c>
      <c r="I78" s="119">
        <f t="shared" si="7"/>
        <v>20179.456666666665</v>
      </c>
      <c r="J78" s="122">
        <f ca="1">C77*Summary!C$49*Summary!C$62*24*365*1000*C$11</f>
        <v>3026478379.3671408</v>
      </c>
      <c r="K78" s="122">
        <f t="shared" ca="1" si="2"/>
        <v>18630228379.367142</v>
      </c>
      <c r="L78" s="120">
        <f t="shared" ca="1" si="3"/>
        <v>46171712</v>
      </c>
      <c r="M78" s="278">
        <f ca="1">C77*Summary!$C$49*Summary!$C$61</f>
        <v>24677.742819366766</v>
      </c>
      <c r="N78" s="277">
        <f ca="1">M78/'Alberta Electricity Profile'!$D$49</f>
        <v>0.1890391887681972</v>
      </c>
      <c r="O78" s="278">
        <f t="shared" si="8"/>
        <v>347.92166666666526</v>
      </c>
      <c r="P78" s="278">
        <f t="shared" ca="1" si="9"/>
        <v>157.32026875340216</v>
      </c>
      <c r="Q78" s="276">
        <f t="shared" ca="1" si="10"/>
        <v>6.3749861527019123</v>
      </c>
      <c r="R78" s="276">
        <f t="shared" ca="1" si="11"/>
        <v>21.254441237156286</v>
      </c>
      <c r="S78" s="276">
        <f t="shared" ca="1" si="12"/>
        <v>0.13549676857028781</v>
      </c>
    </row>
    <row r="79" spans="1:19">
      <c r="A79" s="183"/>
      <c r="B79" s="124">
        <f t="shared" si="4"/>
        <v>59</v>
      </c>
      <c r="C79" s="120">
        <f t="shared" ca="1" si="5"/>
        <v>1161838382</v>
      </c>
      <c r="D79" s="48">
        <f t="shared" ca="1" si="0"/>
        <v>0.33448032269190425</v>
      </c>
      <c r="E79" s="120">
        <f t="shared" ca="1" si="6"/>
        <v>46578202</v>
      </c>
      <c r="F79" s="116">
        <f t="shared" ca="1" si="1"/>
        <v>46.578201999999997</v>
      </c>
      <c r="G79" s="118">
        <f ca="1">C79/Summary!C$58</f>
        <v>0.18415571120621335</v>
      </c>
      <c r="H79" s="119">
        <f ca="1">H78+M79*Summary!$C$26/1000000</f>
        <v>6866.0041289521359</v>
      </c>
      <c r="I79" s="119">
        <f t="shared" si="7"/>
        <v>20527.37833333333</v>
      </c>
      <c r="J79" s="122">
        <f ca="1">C78*Summary!C$49*Summary!C$62*24*365*1000*C$11</f>
        <v>3027531093.6716204</v>
      </c>
      <c r="K79" s="122">
        <f t="shared" ca="1" si="2"/>
        <v>18631281093.671619</v>
      </c>
      <c r="L79" s="120">
        <f t="shared" ca="1" si="3"/>
        <v>46206561</v>
      </c>
      <c r="M79" s="278">
        <f ca="1">C78*Summary!$C$49*Summary!$C$61</f>
        <v>24686.326595495921</v>
      </c>
      <c r="N79" s="277">
        <f ca="1">M79/'Alberta Electricity Profile'!$D$49</f>
        <v>0.18910494316429008</v>
      </c>
      <c r="O79" s="278">
        <f t="shared" si="8"/>
        <v>347.92166666666526</v>
      </c>
      <c r="P79" s="278">
        <f t="shared" ca="1" si="9"/>
        <v>157.37499020736414</v>
      </c>
      <c r="Q79" s="276">
        <f t="shared" ca="1" si="10"/>
        <v>6.3749861527019407</v>
      </c>
      <c r="R79" s="276">
        <f t="shared" ca="1" si="11"/>
        <v>21.254441237156289</v>
      </c>
      <c r="S79" s="276">
        <f t="shared" ca="1" si="12"/>
        <v>0.13549676857028842</v>
      </c>
    </row>
    <row r="80" spans="1:19">
      <c r="A80" s="183"/>
      <c r="B80" s="124">
        <f t="shared" si="4"/>
        <v>60</v>
      </c>
      <c r="C80" s="120">
        <f t="shared" ca="1" si="5"/>
        <v>1162179103</v>
      </c>
      <c r="D80" s="48">
        <f t="shared" ca="1" si="0"/>
        <v>0.3364468762276025</v>
      </c>
      <c r="E80" s="120">
        <f t="shared" ca="1" si="6"/>
        <v>46580624</v>
      </c>
      <c r="F80" s="116">
        <f t="shared" ca="1" si="1"/>
        <v>46.580624</v>
      </c>
      <c r="G80" s="118">
        <f ca="1">C80/Summary!C$58</f>
        <v>0.18420971675384371</v>
      </c>
      <c r="H80" s="119">
        <f ca="1">H79+M80*Summary!$C$26/1000000</f>
        <v>7023.4294753140684</v>
      </c>
      <c r="I80" s="119">
        <f t="shared" si="7"/>
        <v>20875.299999999996</v>
      </c>
      <c r="J80" s="122">
        <f ca="1">C79*Summary!C$49*Summary!C$62*24*365*1000*C$11</f>
        <v>3028499829.7046599</v>
      </c>
      <c r="K80" s="122">
        <f t="shared" ca="1" si="2"/>
        <v>18632249829.704659</v>
      </c>
      <c r="L80" s="120">
        <f t="shared" ca="1" si="3"/>
        <v>46239903</v>
      </c>
      <c r="M80" s="278">
        <f ca="1">C79*Summary!$C$49*Summary!$C$61</f>
        <v>24694.225617291744</v>
      </c>
      <c r="N80" s="277">
        <f ca="1">M80/'Alberta Electricity Profile'!$D$49</f>
        <v>0.18916545212912025</v>
      </c>
      <c r="O80" s="278">
        <f t="shared" si="8"/>
        <v>347.92166666666526</v>
      </c>
      <c r="P80" s="278">
        <f t="shared" ca="1" si="9"/>
        <v>157.4253463619325</v>
      </c>
      <c r="Q80" s="276">
        <f t="shared" ca="1" si="10"/>
        <v>6.3749861527019451</v>
      </c>
      <c r="R80" s="276">
        <f t="shared" ca="1" si="11"/>
        <v>21.254441237156293</v>
      </c>
      <c r="S80" s="276">
        <f t="shared" ca="1" si="12"/>
        <v>0.13549676857028853</v>
      </c>
    </row>
    <row r="81" spans="1:19">
      <c r="A81" s="183"/>
      <c r="B81" s="124">
        <f t="shared" si="4"/>
        <v>61</v>
      </c>
      <c r="C81" s="120">
        <f t="shared" ca="1" si="5"/>
        <v>1162490229</v>
      </c>
      <c r="D81" s="48">
        <f t="shared" ca="1" si="0"/>
        <v>0.33835112788502125</v>
      </c>
      <c r="E81" s="120">
        <f t="shared" ca="1" si="6"/>
        <v>46582844</v>
      </c>
      <c r="F81" s="116">
        <f t="shared" ca="1" si="1"/>
        <v>46.582844000000001</v>
      </c>
      <c r="G81" s="118">
        <f ca="1">C81/Summary!C$58</f>
        <v>0.18425903138373753</v>
      </c>
      <c r="H81" s="119">
        <f ca="1">H80+M81*Summary!$C$26/1000000</f>
        <v>7180.900988270485</v>
      </c>
      <c r="I81" s="119">
        <f t="shared" si="7"/>
        <v>21223.221666666661</v>
      </c>
      <c r="J81" s="122">
        <f ca="1">C80*Summary!C$49*Summary!C$62*24*365*1000*C$11</f>
        <v>3029387968.284399</v>
      </c>
      <c r="K81" s="122">
        <f t="shared" ca="1" si="2"/>
        <v>18633137968.284401</v>
      </c>
      <c r="L81" s="120">
        <f t="shared" ca="1" si="3"/>
        <v>46271718</v>
      </c>
      <c r="M81" s="278">
        <f ca="1">C80*Summary!$C$49*Summary!$C$61</f>
        <v>24701.467451764503</v>
      </c>
      <c r="N81" s="277">
        <f ca="1">M81/'Alberta Electricity Profile'!$D$49</f>
        <v>0.18922092683456412</v>
      </c>
      <c r="O81" s="278">
        <f t="shared" si="8"/>
        <v>347.92166666666526</v>
      </c>
      <c r="P81" s="278">
        <f t="shared" ca="1" si="9"/>
        <v>157.47151295641652</v>
      </c>
      <c r="Q81" s="276">
        <f t="shared" ca="1" si="10"/>
        <v>6.374986152701946</v>
      </c>
      <c r="R81" s="276">
        <f t="shared" ca="1" si="11"/>
        <v>21.254441237156286</v>
      </c>
      <c r="S81" s="276">
        <f t="shared" ca="1" si="12"/>
        <v>0.13549676857028853</v>
      </c>
    </row>
    <row r="82" spans="1:19">
      <c r="A82" s="183"/>
      <c r="B82" s="124">
        <f t="shared" si="4"/>
        <v>62</v>
      </c>
      <c r="C82" s="120">
        <f t="shared" ca="1" si="5"/>
        <v>1162773117</v>
      </c>
      <c r="D82" s="48">
        <f t="shared" ca="1" si="0"/>
        <v>0.34019590637343078</v>
      </c>
      <c r="E82" s="120">
        <f t="shared" ca="1" si="6"/>
        <v>46584872</v>
      </c>
      <c r="F82" s="116">
        <f t="shared" ca="1" si="1"/>
        <v>46.584871999999997</v>
      </c>
      <c r="G82" s="118">
        <f ca="1">C82/Summary!C$58</f>
        <v>0.18430387018544936</v>
      </c>
      <c r="H82" s="119">
        <f ca="1">H81+M82*Summary!$C$26/1000000</f>
        <v>7338.4146577945194</v>
      </c>
      <c r="I82" s="119">
        <f t="shared" si="7"/>
        <v>21571.143333333326</v>
      </c>
      <c r="J82" s="122">
        <f ca="1">C81*Summary!C$49*Summary!C$62*24*365*1000*C$11</f>
        <v>3030198963.2150326</v>
      </c>
      <c r="K82" s="122">
        <f t="shared" ca="1" si="2"/>
        <v>18633948963.215034</v>
      </c>
      <c r="L82" s="120">
        <f t="shared" ca="1" si="3"/>
        <v>46301984</v>
      </c>
      <c r="M82" s="278">
        <f ca="1">C81*Summary!$C$49*Summary!$C$61</f>
        <v>24708.080261048857</v>
      </c>
      <c r="N82" s="277">
        <f ca="1">M82/'Alberta Electricity Profile'!$D$49</f>
        <v>0.18927158301133618</v>
      </c>
      <c r="O82" s="278">
        <f t="shared" si="8"/>
        <v>347.92166666666526</v>
      </c>
      <c r="P82" s="278">
        <f t="shared" ca="1" si="9"/>
        <v>157.51366952403441</v>
      </c>
      <c r="Q82" s="276">
        <f t="shared" ca="1" si="10"/>
        <v>6.3749861527019327</v>
      </c>
      <c r="R82" s="276">
        <f t="shared" ca="1" si="11"/>
        <v>21.254441237156289</v>
      </c>
      <c r="S82" s="276">
        <f t="shared" ca="1" si="12"/>
        <v>0.13549676857028828</v>
      </c>
    </row>
    <row r="83" spans="1:19">
      <c r="A83" s="183"/>
      <c r="B83" s="124">
        <f t="shared" si="4"/>
        <v>63</v>
      </c>
      <c r="C83" s="120">
        <f t="shared" ca="1" si="5"/>
        <v>1163029153</v>
      </c>
      <c r="D83" s="48">
        <f t="shared" ca="1" si="0"/>
        <v>0.34198386919006007</v>
      </c>
      <c r="E83" s="120">
        <f t="shared" ca="1" si="6"/>
        <v>46586715</v>
      </c>
      <c r="F83" s="116">
        <f t="shared" ca="1" si="1"/>
        <v>46.586714999999998</v>
      </c>
      <c r="G83" s="118">
        <f ca="1">C83/Summary!C$58</f>
        <v>0.18434445284514187</v>
      </c>
      <c r="H83" s="119">
        <f ca="1">H82+M83*Summary!$C$26/1000000</f>
        <v>7495.9666577284206</v>
      </c>
      <c r="I83" s="119">
        <f t="shared" si="7"/>
        <v>21919.064999999991</v>
      </c>
      <c r="J83" s="122">
        <f ca="1">C82*Summary!C$49*Summary!C$62*24*365*1000*C$11</f>
        <v>3030936351.7133799</v>
      </c>
      <c r="K83" s="122">
        <f t="shared" ca="1" si="2"/>
        <v>18634686351.713379</v>
      </c>
      <c r="L83" s="120">
        <f t="shared" ca="1" si="3"/>
        <v>46330679</v>
      </c>
      <c r="M83" s="278">
        <f ca="1">C82*Summary!$C$49*Summary!$C$61</f>
        <v>24714.092887421553</v>
      </c>
      <c r="N83" s="277">
        <f ca="1">M83/'Alberta Electricity Profile'!$D$49</f>
        <v>0.18931764160025091</v>
      </c>
      <c r="O83" s="278">
        <f t="shared" si="8"/>
        <v>347.92166666666526</v>
      </c>
      <c r="P83" s="278">
        <f t="shared" ca="1" si="9"/>
        <v>157.55199993390124</v>
      </c>
      <c r="Q83" s="276">
        <f t="shared" ca="1" si="10"/>
        <v>6.3749861527019132</v>
      </c>
      <c r="R83" s="276">
        <f t="shared" ca="1" si="11"/>
        <v>21.254441237156289</v>
      </c>
      <c r="S83" s="276">
        <f t="shared" ca="1" si="12"/>
        <v>0.13549676857028783</v>
      </c>
    </row>
    <row r="84" spans="1:19">
      <c r="A84" s="183"/>
      <c r="B84" s="124">
        <f t="shared" si="4"/>
        <v>64</v>
      </c>
      <c r="C84" s="120">
        <f t="shared" ca="1" si="5"/>
        <v>1163259755</v>
      </c>
      <c r="D84" s="48">
        <f t="shared" ca="1" si="0"/>
        <v>0.34371751617250546</v>
      </c>
      <c r="E84" s="120">
        <f t="shared" ca="1" si="6"/>
        <v>46588384</v>
      </c>
      <c r="F84" s="116">
        <f t="shared" ca="1" si="1"/>
        <v>46.588383999999998</v>
      </c>
      <c r="G84" s="118">
        <f ca="1">C84/Summary!C$58</f>
        <v>0.18438100412109684</v>
      </c>
      <c r="H84" s="119">
        <f ca="1">H83+M84*Summary!$C$26/1000000</f>
        <v>7653.55334971296</v>
      </c>
      <c r="I84" s="119">
        <f t="shared" si="7"/>
        <v>22266.986666666657</v>
      </c>
      <c r="J84" s="122">
        <f ca="1">C83*Summary!C$49*Summary!C$62*24*365*1000*C$11</f>
        <v>3031603746.5889592</v>
      </c>
      <c r="K84" s="122">
        <f t="shared" ca="1" si="2"/>
        <v>18635353746.588959</v>
      </c>
      <c r="L84" s="120">
        <f t="shared" ca="1" si="3"/>
        <v>46357782</v>
      </c>
      <c r="M84" s="278">
        <f ca="1">C83*Summary!$C$49*Summary!$C$61</f>
        <v>24719.534789538153</v>
      </c>
      <c r="N84" s="277">
        <f ca="1">M84/'Alberta Electricity Profile'!$D$49</f>
        <v>0.18935932826377633</v>
      </c>
      <c r="O84" s="278">
        <f t="shared" si="8"/>
        <v>347.92166666666526</v>
      </c>
      <c r="P84" s="278">
        <f t="shared" ca="1" si="9"/>
        <v>157.58669198453936</v>
      </c>
      <c r="Q84" s="276">
        <f t="shared" ca="1" si="10"/>
        <v>6.3749861527019309</v>
      </c>
      <c r="R84" s="276">
        <f t="shared" ca="1" si="11"/>
        <v>21.254441237156293</v>
      </c>
      <c r="S84" s="276">
        <f t="shared" ca="1" si="12"/>
        <v>0.13549676857028825</v>
      </c>
    </row>
    <row r="85" spans="1:19">
      <c r="A85" s="183"/>
      <c r="B85" s="124">
        <f t="shared" si="4"/>
        <v>65</v>
      </c>
      <c r="C85" s="120">
        <f t="shared" ca="1" si="5"/>
        <v>1163466371</v>
      </c>
      <c r="D85" s="48">
        <f t="shared" ca="1" si="0"/>
        <v>0.345399201818122</v>
      </c>
      <c r="E85" s="120">
        <f t="shared" ca="1" si="6"/>
        <v>46589887</v>
      </c>
      <c r="F85" s="116">
        <f t="shared" ca="1" si="1"/>
        <v>46.589886999999997</v>
      </c>
      <c r="G85" s="118">
        <f ca="1">C85/Summary!C$58</f>
        <v>0.18441375352670789</v>
      </c>
      <c r="H85" s="119">
        <f ca="1">H84+M85*Summary!$C$26/1000000</f>
        <v>7811.1712875233252</v>
      </c>
      <c r="I85" s="119">
        <f t="shared" si="7"/>
        <v>22614.908333333322</v>
      </c>
      <c r="J85" s="122">
        <f ca="1">C84*Summary!C$49*Summary!C$62*24*365*1000*C$11</f>
        <v>3032204844.0639176</v>
      </c>
      <c r="K85" s="122">
        <f t="shared" ca="1" si="2"/>
        <v>18635954844.063919</v>
      </c>
      <c r="L85" s="120">
        <f t="shared" ca="1" si="3"/>
        <v>46383271</v>
      </c>
      <c r="M85" s="278">
        <f ca="1">C84*Summary!$C$49*Summary!$C$61</f>
        <v>24724.436106196321</v>
      </c>
      <c r="N85" s="277">
        <f ca="1">M85/'Alberta Electricity Profile'!$D$49</f>
        <v>0.18939687387448059</v>
      </c>
      <c r="O85" s="278">
        <f t="shared" si="8"/>
        <v>347.92166666666526</v>
      </c>
      <c r="P85" s="278">
        <f t="shared" ca="1" si="9"/>
        <v>157.61793781036522</v>
      </c>
      <c r="Q85" s="276">
        <f t="shared" ca="1" si="10"/>
        <v>6.3749861527019318</v>
      </c>
      <c r="R85" s="276">
        <f t="shared" ca="1" si="11"/>
        <v>21.254441237156286</v>
      </c>
      <c r="S85" s="276">
        <f t="shared" ca="1" si="12"/>
        <v>0.13549676857028828</v>
      </c>
    </row>
    <row r="86" spans="1:19">
      <c r="A86" s="183"/>
      <c r="B86" s="124">
        <f t="shared" si="4"/>
        <v>66</v>
      </c>
      <c r="C86" s="120">
        <f t="shared" ca="1" si="5"/>
        <v>1163650481</v>
      </c>
      <c r="D86" s="48">
        <f t="shared" ca="1" si="0"/>
        <v>0.34703114647166877</v>
      </c>
      <c r="E86" s="120">
        <f t="shared" ca="1" si="6"/>
        <v>46591233</v>
      </c>
      <c r="F86" s="116">
        <f t="shared" ca="1" si="1"/>
        <v>46.591233000000003</v>
      </c>
      <c r="G86" s="118">
        <f ca="1">C86/Summary!C$58</f>
        <v>0.1844429356474877</v>
      </c>
      <c r="H86" s="119">
        <f ca="1">H85+M86*Summary!$C$26/1000000</f>
        <v>7968.8172211340252</v>
      </c>
      <c r="I86" s="119">
        <f t="shared" si="7"/>
        <v>22962.829999999987</v>
      </c>
      <c r="J86" s="122">
        <f ca="1">C85*Summary!C$49*Summary!C$62*24*365*1000*C$11</f>
        <v>3032743418.5597415</v>
      </c>
      <c r="K86" s="122">
        <f t="shared" ca="1" si="2"/>
        <v>18636493418.559742</v>
      </c>
      <c r="L86" s="120">
        <f t="shared" ca="1" si="3"/>
        <v>46407123</v>
      </c>
      <c r="M86" s="278">
        <f ca="1">C85*Summary!$C$49*Summary!$C$61</f>
        <v>24728.827613826979</v>
      </c>
      <c r="N86" s="277">
        <f ca="1">M86/'Alberta Electricity Profile'!$D$49</f>
        <v>0.18943051418940104</v>
      </c>
      <c r="O86" s="278">
        <f t="shared" si="8"/>
        <v>347.92166666666526</v>
      </c>
      <c r="P86" s="278">
        <f t="shared" ca="1" si="9"/>
        <v>157.64593361070001</v>
      </c>
      <c r="Q86" s="276">
        <f t="shared" ca="1" si="10"/>
        <v>6.3749861527019265</v>
      </c>
      <c r="R86" s="276">
        <f t="shared" ca="1" si="11"/>
        <v>21.254441237156293</v>
      </c>
      <c r="S86" s="276">
        <f t="shared" ca="1" si="12"/>
        <v>0.13549676857028817</v>
      </c>
    </row>
    <row r="87" spans="1:19">
      <c r="A87" s="183"/>
      <c r="B87" s="124">
        <f t="shared" si="4"/>
        <v>67</v>
      </c>
      <c r="C87" s="120">
        <f t="shared" ca="1" si="5"/>
        <v>1163813598</v>
      </c>
      <c r="D87" s="48">
        <f t="shared" ca="1" si="0"/>
        <v>0.34861544652270082</v>
      </c>
      <c r="E87" s="120">
        <f t="shared" ca="1" si="6"/>
        <v>46592433</v>
      </c>
      <c r="F87" s="116">
        <f t="shared" ca="1" si="1"/>
        <v>46.592433</v>
      </c>
      <c r="G87" s="118">
        <f ca="1">C87/Summary!C$58</f>
        <v>0.18446879029957203</v>
      </c>
      <c r="H87" s="119">
        <f ca="1">H86+M87*Summary!$C$26/1000000</f>
        <v>8126.488101054787</v>
      </c>
      <c r="I87" s="119">
        <f t="shared" si="7"/>
        <v>23310.751666666652</v>
      </c>
      <c r="J87" s="122">
        <f ca="1">C86*Summary!C$49*Summary!C$62*24*365*1000*C$11</f>
        <v>3033223327.9105468</v>
      </c>
      <c r="K87" s="122">
        <f t="shared" ca="1" si="2"/>
        <v>18636973327.910545</v>
      </c>
      <c r="L87" s="120">
        <f t="shared" ca="1" si="3"/>
        <v>46429316</v>
      </c>
      <c r="M87" s="278">
        <f ca="1">C86*Summary!$C$49*Summary!$C$61</f>
        <v>24732.74076900315</v>
      </c>
      <c r="N87" s="277">
        <f ca="1">M87/'Alberta Electricity Profile'!$D$49</f>
        <v>0.18946049017567507</v>
      </c>
      <c r="O87" s="278">
        <f t="shared" si="8"/>
        <v>347.92166666666526</v>
      </c>
      <c r="P87" s="278">
        <f t="shared" ca="1" si="9"/>
        <v>157.67087992076176</v>
      </c>
      <c r="Q87" s="276">
        <f t="shared" ca="1" si="10"/>
        <v>6.374986152701938</v>
      </c>
      <c r="R87" s="276">
        <f t="shared" ca="1" si="11"/>
        <v>21.254441237156289</v>
      </c>
      <c r="S87" s="276">
        <f t="shared" ca="1" si="12"/>
        <v>0.13549676857028836</v>
      </c>
    </row>
    <row r="88" spans="1:19">
      <c r="A88" s="183"/>
      <c r="B88" s="124">
        <f t="shared" si="4"/>
        <v>68</v>
      </c>
      <c r="C88" s="120">
        <f t="shared" ca="1" si="5"/>
        <v>1163957266</v>
      </c>
      <c r="D88" s="48">
        <f t="shared" ca="1" si="0"/>
        <v>0.35015408370891832</v>
      </c>
      <c r="E88" s="120">
        <f t="shared" ca="1" si="6"/>
        <v>46593496</v>
      </c>
      <c r="F88" s="116">
        <f t="shared" ca="1" si="1"/>
        <v>46.593496000000002</v>
      </c>
      <c r="G88" s="118">
        <f ca="1">C88/Summary!C$58</f>
        <v>0.18449156221271201</v>
      </c>
      <c r="H88" s="119">
        <f ca="1">H87+M88*Summary!$C$26/1000000</f>
        <v>8284.1810828019479</v>
      </c>
      <c r="I88" s="119">
        <f t="shared" si="7"/>
        <v>23658.673333333318</v>
      </c>
      <c r="J88" s="122">
        <f ca="1">C87*Summary!C$49*Summary!C$62*24*365*1000*C$11</f>
        <v>3033648515.9697261</v>
      </c>
      <c r="K88" s="122">
        <f t="shared" ca="1" si="2"/>
        <v>18637398515.969727</v>
      </c>
      <c r="L88" s="120">
        <f t="shared" ca="1" si="3"/>
        <v>46449828</v>
      </c>
      <c r="M88" s="278">
        <f ca="1">C87*Summary!$C$49*Summary!$C$61</f>
        <v>24736.207729694434</v>
      </c>
      <c r="N88" s="277">
        <f ca="1">M88/'Alberta Electricity Profile'!$D$49</f>
        <v>0.18948704817335615</v>
      </c>
      <c r="O88" s="278">
        <f t="shared" si="8"/>
        <v>347.92166666666526</v>
      </c>
      <c r="P88" s="278">
        <f t="shared" ca="1" si="9"/>
        <v>157.69298174716096</v>
      </c>
      <c r="Q88" s="276">
        <f t="shared" ca="1" si="10"/>
        <v>6.3749861527019505</v>
      </c>
      <c r="R88" s="276">
        <f t="shared" ca="1" si="11"/>
        <v>21.254441237156293</v>
      </c>
      <c r="S88" s="276">
        <f t="shared" ca="1" si="12"/>
        <v>0.13549676857028867</v>
      </c>
    </row>
    <row r="89" spans="1:19">
      <c r="A89" s="183"/>
      <c r="B89" s="124">
        <f t="shared" si="4"/>
        <v>69</v>
      </c>
      <c r="C89" s="120">
        <f t="shared" ca="1" si="5"/>
        <v>1164083062</v>
      </c>
      <c r="D89" s="48">
        <f t="shared" ca="1" si="0"/>
        <v>0.35164893359924054</v>
      </c>
      <c r="E89" s="120">
        <f t="shared" ca="1" si="6"/>
        <v>46594432</v>
      </c>
      <c r="F89" s="116">
        <f t="shared" ca="1" si="1"/>
        <v>46.594431999999998</v>
      </c>
      <c r="G89" s="118">
        <f ca="1">C89/Summary!C$58</f>
        <v>0.18451150134728167</v>
      </c>
      <c r="H89" s="119">
        <f ca="1">H88+M89*Summary!$C$26/1000000</f>
        <v>8441.8935310988545</v>
      </c>
      <c r="I89" s="119">
        <f t="shared" si="7"/>
        <v>24006.594999999983</v>
      </c>
      <c r="J89" s="122">
        <f ca="1">C88*Summary!C$49*Summary!C$62*24*365*1000*C$11</f>
        <v>3034023007.3966522</v>
      </c>
      <c r="K89" s="122">
        <f t="shared" ca="1" si="2"/>
        <v>18637773007.396652</v>
      </c>
      <c r="L89" s="120">
        <f t="shared" ca="1" si="3"/>
        <v>46468636</v>
      </c>
      <c r="M89" s="278">
        <f ca="1">C88*Summary!$C$49*Summary!$C$61</f>
        <v>24739.261312758092</v>
      </c>
      <c r="N89" s="277">
        <f ca="1">M89/'Alberta Electricity Profile'!$D$49</f>
        <v>0.18951043956978231</v>
      </c>
      <c r="O89" s="278">
        <f t="shared" si="8"/>
        <v>347.92166666666526</v>
      </c>
      <c r="P89" s="278">
        <f t="shared" ca="1" si="9"/>
        <v>157.71244829690659</v>
      </c>
      <c r="Q89" s="276">
        <f t="shared" ca="1" si="10"/>
        <v>6.3749861527018972</v>
      </c>
      <c r="R89" s="276">
        <f t="shared" ca="1" si="11"/>
        <v>21.254441237156289</v>
      </c>
      <c r="S89" s="276">
        <f t="shared" ca="1" si="12"/>
        <v>0.13549676857028753</v>
      </c>
    </row>
    <row r="90" spans="1:19">
      <c r="A90" s="183"/>
      <c r="B90" s="124">
        <f t="shared" si="4"/>
        <v>70</v>
      </c>
      <c r="C90" s="120">
        <f t="shared" ca="1" si="5"/>
        <v>1164192598</v>
      </c>
      <c r="D90" s="48">
        <f t="shared" ca="1" si="0"/>
        <v>0.3531017733608865</v>
      </c>
      <c r="E90" s="120">
        <f t="shared" ca="1" si="6"/>
        <v>46595252</v>
      </c>
      <c r="F90" s="116">
        <f t="shared" ca="1" si="1"/>
        <v>46.595252000000002</v>
      </c>
      <c r="G90" s="118">
        <f ca="1">C90/Summary!C$58</f>
        <v>0.18452886321128548</v>
      </c>
      <c r="H90" s="119">
        <f ca="1">H89+M90*Summary!$C$26/1000000</f>
        <v>8599.6230243472601</v>
      </c>
      <c r="I90" s="119">
        <f t="shared" si="7"/>
        <v>24354.516666666648</v>
      </c>
      <c r="J90" s="122">
        <f ca="1">C89*Summary!C$49*Summary!C$62*24*365*1000*C$11</f>
        <v>3034350912.869978</v>
      </c>
      <c r="K90" s="122">
        <f t="shared" ca="1" si="2"/>
        <v>18638100912.86998</v>
      </c>
      <c r="L90" s="120">
        <f t="shared" ca="1" si="3"/>
        <v>46485716</v>
      </c>
      <c r="M90" s="278">
        <f ca="1">C89*Summary!$C$49*Summary!$C$61</f>
        <v>24741.935036447961</v>
      </c>
      <c r="N90" s="277">
        <f ca="1">M90/'Alberta Electricity Profile'!$D$49</f>
        <v>0.1895309211252075</v>
      </c>
      <c r="O90" s="278">
        <f t="shared" si="8"/>
        <v>347.92166666666526</v>
      </c>
      <c r="P90" s="278">
        <f t="shared" ca="1" si="9"/>
        <v>157.72949324840556</v>
      </c>
      <c r="Q90" s="276">
        <f t="shared" ca="1" si="10"/>
        <v>6.3749861527018927</v>
      </c>
      <c r="R90" s="276">
        <f t="shared" ca="1" si="11"/>
        <v>21.254441237156289</v>
      </c>
      <c r="S90" s="276">
        <f t="shared" ca="1" si="12"/>
        <v>0.13549676857028745</v>
      </c>
    </row>
    <row r="91" spans="1:19">
      <c r="A91" s="183"/>
      <c r="B91" s="124">
        <f t="shared" si="4"/>
        <v>71</v>
      </c>
      <c r="C91" s="120">
        <f t="shared" ca="1" si="5"/>
        <v>1164287519</v>
      </c>
      <c r="D91" s="48">
        <f t="shared" ca="1" si="0"/>
        <v>0.35451428888105241</v>
      </c>
      <c r="E91" s="120">
        <f t="shared" ca="1" si="6"/>
        <v>46595966</v>
      </c>
      <c r="F91" s="116">
        <f t="shared" ca="1" si="1"/>
        <v>46.595965999999997</v>
      </c>
      <c r="G91" s="118">
        <f ca="1">C91/Summary!C$58</f>
        <v>0.18454390854335076</v>
      </c>
      <c r="H91" s="119">
        <f ca="1">H90+M91*Summary!$C$26/1000000</f>
        <v>8757.3673593697094</v>
      </c>
      <c r="I91" s="119">
        <f t="shared" si="7"/>
        <v>24702.438333333313</v>
      </c>
      <c r="J91" s="122">
        <f ca="1">C90*Summary!C$49*Summary!C$62*24*365*1000*C$11</f>
        <v>3034636434.3009157</v>
      </c>
      <c r="K91" s="122">
        <f t="shared" ca="1" si="2"/>
        <v>18638386434.300915</v>
      </c>
      <c r="L91" s="120">
        <f t="shared" ca="1" si="3"/>
        <v>46501045</v>
      </c>
      <c r="M91" s="278">
        <f ca="1">C90*Summary!$C$49*Summary!$C$61</f>
        <v>24744.263162923318</v>
      </c>
      <c r="N91" s="277">
        <f ca="1">M91/'Alberta Electricity Profile'!$D$49</f>
        <v>0.18954875529843285</v>
      </c>
      <c r="O91" s="278">
        <f t="shared" si="8"/>
        <v>347.92166666666526</v>
      </c>
      <c r="P91" s="278">
        <f t="shared" ca="1" si="9"/>
        <v>157.74433502244938</v>
      </c>
      <c r="Q91" s="276">
        <f t="shared" ca="1" si="10"/>
        <v>6.3749861527019602</v>
      </c>
      <c r="R91" s="276">
        <f t="shared" ca="1" si="11"/>
        <v>21.254441237156293</v>
      </c>
      <c r="S91" s="276">
        <f t="shared" ca="1" si="12"/>
        <v>0.13549676857028892</v>
      </c>
    </row>
    <row r="92" spans="1:19">
      <c r="A92" s="183"/>
      <c r="B92" s="124">
        <f t="shared" si="4"/>
        <v>72</v>
      </c>
      <c r="C92" s="120">
        <f t="shared" ca="1" si="5"/>
        <v>1164369503</v>
      </c>
      <c r="D92" s="48">
        <f t="shared" ca="1" si="0"/>
        <v>0.35588808128429833</v>
      </c>
      <c r="E92" s="120">
        <f t="shared" ca="1" si="6"/>
        <v>46596584</v>
      </c>
      <c r="F92" s="116">
        <f t="shared" ca="1" si="1"/>
        <v>46.596584</v>
      </c>
      <c r="G92" s="118">
        <f ca="1">C92/Summary!C$58</f>
        <v>0.18455690331272784</v>
      </c>
      <c r="H92" s="119">
        <f ca="1">H91+M92*Summary!$C$26/1000000</f>
        <v>8915.1245558809278</v>
      </c>
      <c r="I92" s="119">
        <f t="shared" si="7"/>
        <v>25050.359999999979</v>
      </c>
      <c r="J92" s="122">
        <f ca="1">C91*Summary!C$49*Summary!C$62*24*365*1000*C$11</f>
        <v>3034883859.6199522</v>
      </c>
      <c r="K92" s="122">
        <f t="shared" ca="1" si="2"/>
        <v>18638633859.619953</v>
      </c>
      <c r="L92" s="120">
        <f t="shared" ca="1" si="3"/>
        <v>46514600</v>
      </c>
      <c r="M92" s="278">
        <f ca="1">C91*Summary!$C$49*Summary!$C$61</f>
        <v>24746.280655739985</v>
      </c>
      <c r="N92" s="277">
        <f ca="1">M92/'Alberta Electricity Profile'!$D$49</f>
        <v>0.18956420992117529</v>
      </c>
      <c r="O92" s="278">
        <f t="shared" si="8"/>
        <v>347.92166666666526</v>
      </c>
      <c r="P92" s="278">
        <f t="shared" ca="1" si="9"/>
        <v>157.75719651121835</v>
      </c>
      <c r="Q92" s="276">
        <f t="shared" ca="1" si="10"/>
        <v>6.3749861527019425</v>
      </c>
      <c r="R92" s="276">
        <f t="shared" ca="1" si="11"/>
        <v>21.254441237156289</v>
      </c>
      <c r="S92" s="276">
        <f t="shared" ca="1" si="12"/>
        <v>0.13549676857028847</v>
      </c>
    </row>
    <row r="93" spans="1:19">
      <c r="A93" s="183"/>
      <c r="B93" s="124">
        <f t="shared" si="4"/>
        <v>73</v>
      </c>
      <c r="C93" s="120">
        <f t="shared" ca="1" si="5"/>
        <v>1164440264</v>
      </c>
      <c r="D93" s="48">
        <f t="shared" ca="1" si="0"/>
        <v>0.3572246729142593</v>
      </c>
      <c r="E93" s="120">
        <f t="shared" ca="1" si="6"/>
        <v>46597118</v>
      </c>
      <c r="F93" s="116">
        <f t="shared" ca="1" si="1"/>
        <v>46.597118000000002</v>
      </c>
      <c r="G93" s="118">
        <f ca="1">C93/Summary!C$58</f>
        <v>0.18456811919480107</v>
      </c>
      <c r="H93" s="119">
        <f ca="1">H92+M93*Summary!$C$26/1000000</f>
        <v>9072.8928609592203</v>
      </c>
      <c r="I93" s="119">
        <f t="shared" si="7"/>
        <v>25398.281666666644</v>
      </c>
      <c r="J93" s="122">
        <f ca="1">C92*Summary!C$49*Summary!C$62*24*365*1000*C$11</f>
        <v>3035097562.7768502</v>
      </c>
      <c r="K93" s="122">
        <f t="shared" ca="1" si="2"/>
        <v>18638847562.776852</v>
      </c>
      <c r="L93" s="120">
        <f t="shared" ca="1" si="3"/>
        <v>46526357</v>
      </c>
      <c r="M93" s="278">
        <f ca="1">C92*Summary!$C$49*Summary!$C$61</f>
        <v>24748.023179850374</v>
      </c>
      <c r="N93" s="277">
        <f ca="1">M93/'Alberta Electricity Profile'!$D$49</f>
        <v>0.18957755819806787</v>
      </c>
      <c r="O93" s="278">
        <f t="shared" si="8"/>
        <v>347.92166666666526</v>
      </c>
      <c r="P93" s="278">
        <f t="shared" ca="1" si="9"/>
        <v>157.76830507829254</v>
      </c>
      <c r="Q93" s="276">
        <f t="shared" ca="1" si="10"/>
        <v>6.3749861527019309</v>
      </c>
      <c r="R93" s="276">
        <f t="shared" ca="1" si="11"/>
        <v>21.254441237156289</v>
      </c>
      <c r="S93" s="276">
        <f t="shared" ca="1" si="12"/>
        <v>0.13549676857028825</v>
      </c>
    </row>
    <row r="94" spans="1:19">
      <c r="A94" s="183"/>
      <c r="B94" s="124">
        <f t="shared" si="4"/>
        <v>74</v>
      </c>
      <c r="C94" s="120">
        <f t="shared" ca="1" si="5"/>
        <v>1164501552</v>
      </c>
      <c r="D94" s="48">
        <f t="shared" ca="1" si="0"/>
        <v>0.3585255128461412</v>
      </c>
      <c r="E94" s="120">
        <f t="shared" ca="1" si="6"/>
        <v>46597580</v>
      </c>
      <c r="F94" s="116">
        <f t="shared" ca="1" si="1"/>
        <v>46.597580000000001</v>
      </c>
      <c r="G94" s="118">
        <f ca="1">C94/Summary!C$58</f>
        <v>0.18457783357108892</v>
      </c>
      <c r="H94" s="119">
        <f ca="1">H93+M94*Summary!$C$26/1000000</f>
        <v>9230.6707539243544</v>
      </c>
      <c r="I94" s="119">
        <f t="shared" si="7"/>
        <v>25746.203333333309</v>
      </c>
      <c r="J94" s="122">
        <f ca="1">C93*Summary!C$49*Summary!C$62*24*365*1000*C$11</f>
        <v>3035282011.5605793</v>
      </c>
      <c r="K94" s="122">
        <f t="shared" ca="1" si="2"/>
        <v>18639032011.560577</v>
      </c>
      <c r="L94" s="120">
        <f t="shared" ca="1" si="3"/>
        <v>46536292</v>
      </c>
      <c r="M94" s="278">
        <f ca="1">C93*Summary!$C$49*Summary!$C$61</f>
        <v>24749.527165366755</v>
      </c>
      <c r="N94" s="277">
        <f ca="1">M94/'Alberta Electricity Profile'!$D$49</f>
        <v>0.18958907919510626</v>
      </c>
      <c r="O94" s="278">
        <f t="shared" si="8"/>
        <v>347.92166666666526</v>
      </c>
      <c r="P94" s="278">
        <f t="shared" ca="1" si="9"/>
        <v>157.77789296513401</v>
      </c>
      <c r="Q94" s="276">
        <f t="shared" ca="1" si="10"/>
        <v>6.3749861527019585</v>
      </c>
      <c r="R94" s="276">
        <f t="shared" ca="1" si="11"/>
        <v>21.254441237156289</v>
      </c>
      <c r="S94" s="276">
        <f t="shared" ca="1" si="12"/>
        <v>0.13549676857028883</v>
      </c>
    </row>
    <row r="95" spans="1:19">
      <c r="A95" s="183"/>
      <c r="B95" s="124">
        <f t="shared" si="4"/>
        <v>75</v>
      </c>
      <c r="C95" s="120">
        <f t="shared" ca="1" si="5"/>
        <v>1164555150</v>
      </c>
      <c r="D95" s="48">
        <f t="shared" ca="1" si="0"/>
        <v>0.3597919819582166</v>
      </c>
      <c r="E95" s="120">
        <f t="shared" ca="1" si="6"/>
        <v>46597979</v>
      </c>
      <c r="F95" s="116">
        <f t="shared" ca="1" si="1"/>
        <v>46.597979000000002</v>
      </c>
      <c r="G95" s="118">
        <f ca="1">C95/Summary!C$58</f>
        <v>0.18458632905373276</v>
      </c>
      <c r="H95" s="119">
        <f ca="1">H94+M95*Summary!$C$26/1000000</f>
        <v>9388.4569512154394</v>
      </c>
      <c r="I95" s="119">
        <f t="shared" si="7"/>
        <v>26094.124999999975</v>
      </c>
      <c r="J95" s="122">
        <f ca="1">C94*Summary!C$49*Summary!C$62*24*365*1000*C$11</f>
        <v>3035441767.5993185</v>
      </c>
      <c r="K95" s="122">
        <f t="shared" ca="1" si="2"/>
        <v>18639191767.599319</v>
      </c>
      <c r="L95" s="120">
        <f t="shared" ca="1" si="3"/>
        <v>46544381</v>
      </c>
      <c r="M95" s="278">
        <f ca="1">C94*Summary!$C$49*Summary!$C$61</f>
        <v>24750.829807561302</v>
      </c>
      <c r="N95" s="277">
        <f ca="1">M95/'Alberta Electricity Profile'!$D$49</f>
        <v>0.18959905783964903</v>
      </c>
      <c r="O95" s="278">
        <f t="shared" si="8"/>
        <v>347.92166666666526</v>
      </c>
      <c r="P95" s="278">
        <f t="shared" ca="1" si="9"/>
        <v>157.78619729108505</v>
      </c>
      <c r="Q95" s="276">
        <f t="shared" ca="1" si="10"/>
        <v>6.3749861527019132</v>
      </c>
      <c r="R95" s="276">
        <f t="shared" ca="1" si="11"/>
        <v>21.254441237156293</v>
      </c>
      <c r="S95" s="276">
        <f t="shared" ca="1" si="12"/>
        <v>0.13549676857028786</v>
      </c>
    </row>
    <row r="96" spans="1:19">
      <c r="A96" s="183"/>
      <c r="B96" s="124">
        <f t="shared" si="4"/>
        <v>76</v>
      </c>
      <c r="C96" s="120">
        <f t="shared" ca="1" si="5"/>
        <v>1164602879</v>
      </c>
      <c r="D96" s="48">
        <f t="shared" ca="1" si="0"/>
        <v>0.36102539758756708</v>
      </c>
      <c r="E96" s="120">
        <f t="shared" ca="1" si="6"/>
        <v>46598328</v>
      </c>
      <c r="F96" s="116">
        <f t="shared" ca="1" si="1"/>
        <v>46.598328000000002</v>
      </c>
      <c r="G96" s="118">
        <f ca="1">C96/Summary!C$58</f>
        <v>0.18459389427801554</v>
      </c>
      <c r="H96" s="119">
        <f ca="1">H95+M96*Summary!$C$26/1000000</f>
        <v>9546.250410862327</v>
      </c>
      <c r="I96" s="119">
        <f t="shared" si="7"/>
        <v>26442.04666666664</v>
      </c>
      <c r="J96" s="122">
        <f ca="1">C95*Summary!C$49*Summary!C$62*24*365*1000*C$11</f>
        <v>3035581478.5405192</v>
      </c>
      <c r="K96" s="122">
        <f t="shared" ca="1" si="2"/>
        <v>18639331478.54052</v>
      </c>
      <c r="L96" s="120">
        <f t="shared" ca="1" si="3"/>
        <v>46550599</v>
      </c>
      <c r="M96" s="278">
        <f ca="1">C95*Summary!$C$49*Summary!$C$61</f>
        <v>24751.969003102728</v>
      </c>
      <c r="N96" s="277">
        <f ca="1">M96/'Alberta Electricity Profile'!$D$49</f>
        <v>0.18960778443197052</v>
      </c>
      <c r="O96" s="278">
        <f t="shared" si="8"/>
        <v>347.92166666666526</v>
      </c>
      <c r="P96" s="278">
        <f t="shared" ca="1" si="9"/>
        <v>157.79345964688764</v>
      </c>
      <c r="Q96" s="276">
        <f t="shared" ca="1" si="10"/>
        <v>6.3749861527019451</v>
      </c>
      <c r="R96" s="276">
        <f t="shared" ca="1" si="11"/>
        <v>21.254441237156289</v>
      </c>
      <c r="S96" s="276">
        <f t="shared" ca="1" si="12"/>
        <v>0.13549676857028853</v>
      </c>
    </row>
    <row r="97" spans="1:19">
      <c r="A97" s="183"/>
      <c r="B97" s="124">
        <f t="shared" si="4"/>
        <v>77</v>
      </c>
      <c r="C97" s="120">
        <f t="shared" ca="1" si="5"/>
        <v>1164646597</v>
      </c>
      <c r="D97" s="48">
        <f t="shared" ca="1" si="0"/>
        <v>0.36222701784832867</v>
      </c>
      <c r="E97" s="120">
        <f t="shared" ca="1" si="6"/>
        <v>46598639</v>
      </c>
      <c r="F97" s="116">
        <f t="shared" ca="1" si="1"/>
        <v>46.598638999999999</v>
      </c>
      <c r="G97" s="118">
        <f ca="1">C97/Summary!C$58</f>
        <v>0.18460082374385797</v>
      </c>
      <c r="H97" s="119">
        <f ca="1">H96+M97*Summary!$C$26/1000000</f>
        <v>9704.0503376344823</v>
      </c>
      <c r="I97" s="119">
        <f t="shared" si="7"/>
        <v>26789.968333333305</v>
      </c>
      <c r="J97" s="122">
        <f ca="1">C96*Summary!C$49*Summary!C$62*24*365*1000*C$11</f>
        <v>3035705891.0841317</v>
      </c>
      <c r="K97" s="122">
        <f t="shared" ca="1" si="2"/>
        <v>18639455891.084133</v>
      </c>
      <c r="L97" s="120">
        <f t="shared" ca="1" si="3"/>
        <v>46554921</v>
      </c>
      <c r="M97" s="278">
        <f ca="1">C96*Summary!$C$49*Summary!$C$61</f>
        <v>24752.983456328533</v>
      </c>
      <c r="N97" s="277">
        <f ca="1">M97/'Alberta Electricity Profile'!$D$49</f>
        <v>0.18961555545933934</v>
      </c>
      <c r="O97" s="278">
        <f t="shared" si="8"/>
        <v>347.92166666666526</v>
      </c>
      <c r="P97" s="278">
        <f t="shared" ca="1" si="9"/>
        <v>157.79992677215523</v>
      </c>
      <c r="Q97" s="276">
        <f t="shared" ca="1" si="10"/>
        <v>6.3749861527019656</v>
      </c>
      <c r="R97" s="276">
        <f t="shared" ca="1" si="11"/>
        <v>21.254441237156286</v>
      </c>
      <c r="S97" s="276">
        <f t="shared" ca="1" si="12"/>
        <v>0.13549676857028894</v>
      </c>
    </row>
    <row r="98" spans="1:19">
      <c r="A98" s="183"/>
      <c r="B98" s="124">
        <f t="shared" si="4"/>
        <v>78</v>
      </c>
      <c r="C98" s="120">
        <f t="shared" ca="1" si="5"/>
        <v>1164686541</v>
      </c>
      <c r="D98" s="48">
        <f t="shared" ca="1" si="0"/>
        <v>0.36339804561277156</v>
      </c>
      <c r="E98" s="120">
        <f t="shared" ca="1" si="6"/>
        <v>46598924</v>
      </c>
      <c r="F98" s="116">
        <f t="shared" ca="1" si="1"/>
        <v>46.598923999999997</v>
      </c>
      <c r="G98" s="118">
        <f ca="1">C98/Summary!C$58</f>
        <v>0.1846071550166429</v>
      </c>
      <c r="H98" s="119">
        <f ca="1">H97+M98*Summary!$C$26/1000000</f>
        <v>9861.8561880543657</v>
      </c>
      <c r="I98" s="119">
        <f t="shared" si="7"/>
        <v>27137.88999999997</v>
      </c>
      <c r="J98" s="122">
        <f ca="1">C97*Summary!C$49*Summary!C$62*24*365*1000*C$11</f>
        <v>3035819848.3759608</v>
      </c>
      <c r="K98" s="122">
        <f t="shared" ca="1" si="2"/>
        <v>18639569848.375961</v>
      </c>
      <c r="L98" s="120">
        <f t="shared" ca="1" si="3"/>
        <v>46558980</v>
      </c>
      <c r="M98" s="278">
        <f ca="1">C97*Summary!$C$49*Summary!$C$61</f>
        <v>24753.912657990546</v>
      </c>
      <c r="N98" s="277">
        <f ca="1">M98/'Alberta Electricity Profile'!$D$49</f>
        <v>0.18962267343320244</v>
      </c>
      <c r="O98" s="278">
        <f t="shared" si="8"/>
        <v>347.92166666666526</v>
      </c>
      <c r="P98" s="278">
        <f t="shared" ca="1" si="9"/>
        <v>157.80585041988343</v>
      </c>
      <c r="Q98" s="276">
        <f t="shared" ca="1" si="10"/>
        <v>6.3749861527019567</v>
      </c>
      <c r="R98" s="276">
        <f t="shared" ca="1" si="11"/>
        <v>21.254441237156293</v>
      </c>
      <c r="S98" s="276">
        <f t="shared" ca="1" si="12"/>
        <v>0.13549676857028883</v>
      </c>
    </row>
    <row r="99" spans="1:19">
      <c r="A99" s="183"/>
      <c r="B99" s="124">
        <f t="shared" si="4"/>
        <v>79</v>
      </c>
      <c r="C99" s="120">
        <f t="shared" ca="1" si="5"/>
        <v>1164722944</v>
      </c>
      <c r="D99" s="48">
        <f t="shared" ca="1" si="0"/>
        <v>0.36453962401657958</v>
      </c>
      <c r="E99" s="120">
        <f t="shared" ca="1" si="6"/>
        <v>46599184</v>
      </c>
      <c r="F99" s="116">
        <f t="shared" ca="1" si="1"/>
        <v>46.599184000000001</v>
      </c>
      <c r="G99" s="118">
        <f ca="1">C99/Summary!C$58</f>
        <v>0.18461292502773816</v>
      </c>
      <c r="H99" s="119">
        <f ca="1">H98+M99*Summary!$C$26/1000000</f>
        <v>10019.667450757172</v>
      </c>
      <c r="I99" s="119">
        <f t="shared" si="7"/>
        <v>27485.811666666636</v>
      </c>
      <c r="J99" s="122">
        <f ca="1">C98*Summary!C$49*Summary!C$62*24*365*1000*C$11</f>
        <v>3035923968.1907916</v>
      </c>
      <c r="K99" s="122">
        <f t="shared" ca="1" si="2"/>
        <v>18639673968.190792</v>
      </c>
      <c r="L99" s="120">
        <f t="shared" ca="1" si="3"/>
        <v>46562781</v>
      </c>
      <c r="M99" s="278">
        <f ca="1">C98*Summary!$C$49*Summary!$C$61</f>
        <v>24754.761645391318</v>
      </c>
      <c r="N99" s="277">
        <f ca="1">M99/'Alberta Electricity Profile'!$D$49</f>
        <v>0.18962917694086484</v>
      </c>
      <c r="O99" s="278">
        <f t="shared" si="8"/>
        <v>347.92166666666526</v>
      </c>
      <c r="P99" s="278">
        <f t="shared" ca="1" si="9"/>
        <v>157.81126270280583</v>
      </c>
      <c r="Q99" s="276">
        <f t="shared" ca="1" si="10"/>
        <v>6.3749861527019034</v>
      </c>
      <c r="R99" s="276">
        <f t="shared" ca="1" si="11"/>
        <v>21.254441237156289</v>
      </c>
      <c r="S99" s="276">
        <f t="shared" ca="1" si="12"/>
        <v>0.13549676857028764</v>
      </c>
    </row>
    <row r="100" spans="1:19">
      <c r="A100" s="183"/>
      <c r="B100" s="124">
        <f t="shared" si="4"/>
        <v>80</v>
      </c>
      <c r="C100" s="120">
        <f t="shared" ca="1" si="5"/>
        <v>1164756032</v>
      </c>
      <c r="D100" s="48">
        <f t="shared" ca="1" si="0"/>
        <v>0.36565284017291455</v>
      </c>
      <c r="E100" s="120">
        <f t="shared" ca="1" si="6"/>
        <v>46599422</v>
      </c>
      <c r="F100" s="116">
        <f t="shared" ca="1" si="1"/>
        <v>46.599421999999997</v>
      </c>
      <c r="G100" s="118">
        <f ca="1">C100/Summary!C$58</f>
        <v>0.18461816959898558</v>
      </c>
      <c r="H100" s="119">
        <f ca="1">H99+M100*Summary!$C$26/1000000</f>
        <v>10177.483645948845</v>
      </c>
      <c r="I100" s="119">
        <f t="shared" si="7"/>
        <v>27833.733333333301</v>
      </c>
      <c r="J100" s="122">
        <f ca="1">C99*Summary!C$49*Summary!C$62*24*365*1000*C$11</f>
        <v>3036018857.8768349</v>
      </c>
      <c r="K100" s="122">
        <f t="shared" ca="1" si="2"/>
        <v>18639768857.876835</v>
      </c>
      <c r="L100" s="120">
        <f t="shared" ca="1" si="3"/>
        <v>46566334</v>
      </c>
      <c r="M100" s="278">
        <f ca="1">C99*Summary!$C$49*Summary!$C$61</f>
        <v>24755.535370815676</v>
      </c>
      <c r="N100" s="277">
        <f ca="1">M100/'Alberta Electricity Profile'!$D$49</f>
        <v>0.18963510391836924</v>
      </c>
      <c r="O100" s="278">
        <f t="shared" si="8"/>
        <v>347.92166666666526</v>
      </c>
      <c r="P100" s="278">
        <f t="shared" ca="1" si="9"/>
        <v>157.81619519167361</v>
      </c>
      <c r="Q100" s="276">
        <f t="shared" ca="1" si="10"/>
        <v>6.3749861527019638</v>
      </c>
      <c r="R100" s="276">
        <f t="shared" ca="1" si="11"/>
        <v>21.254441237156293</v>
      </c>
      <c r="S100" s="276">
        <f t="shared" ca="1" si="12"/>
        <v>0.13549676857028894</v>
      </c>
    </row>
    <row r="101" spans="1:19">
      <c r="A101" s="183"/>
      <c r="B101" s="124">
        <f t="shared" si="4"/>
        <v>81</v>
      </c>
      <c r="C101" s="120">
        <f t="shared" ca="1" si="5"/>
        <v>1164786025</v>
      </c>
      <c r="D101" s="48">
        <f t="shared" ca="1" si="0"/>
        <v>0.3667387285969404</v>
      </c>
      <c r="E101" s="120">
        <f t="shared" ca="1" si="6"/>
        <v>46599637</v>
      </c>
      <c r="F101" s="116">
        <f t="shared" ca="1" si="1"/>
        <v>46.599637000000001</v>
      </c>
      <c r="G101" s="118">
        <f ca="1">C101/Summary!C$58</f>
        <v>0.18462292360120464</v>
      </c>
      <c r="H101" s="119">
        <f ca="1">H100+M101*Summary!$C$26/1000000</f>
        <v>10335.304324457597</v>
      </c>
      <c r="I101" s="119">
        <f t="shared" si="7"/>
        <v>28181.654999999966</v>
      </c>
      <c r="J101" s="122">
        <f ca="1">C100*Summary!C$49*Summary!C$62*24*365*1000*C$11</f>
        <v>3036105106.5357862</v>
      </c>
      <c r="K101" s="122">
        <f t="shared" ca="1" si="2"/>
        <v>18639855106.535786</v>
      </c>
      <c r="L101" s="120">
        <f t="shared" ca="1" si="3"/>
        <v>46569644</v>
      </c>
      <c r="M101" s="278">
        <f ca="1">C100*Summary!$C$49*Summary!$C$61</f>
        <v>24756.238637767332</v>
      </c>
      <c r="N101" s="277">
        <f ca="1">M101/'Alberta Electricity Profile'!$D$49</f>
        <v>0.18964049116204876</v>
      </c>
      <c r="O101" s="278">
        <f t="shared" si="8"/>
        <v>347.92166666666526</v>
      </c>
      <c r="P101" s="278">
        <f t="shared" ca="1" si="9"/>
        <v>157.82067850875137</v>
      </c>
      <c r="Q101" s="276">
        <f t="shared" ca="1" si="10"/>
        <v>6.3749861527019354</v>
      </c>
      <c r="R101" s="276">
        <f t="shared" ca="1" si="11"/>
        <v>21.254441237156289</v>
      </c>
      <c r="S101" s="276">
        <f t="shared" ca="1" si="12"/>
        <v>0.13549676857028836</v>
      </c>
    </row>
    <row r="102" spans="1:19">
      <c r="A102" s="183"/>
      <c r="B102" s="124">
        <f t="shared" si="4"/>
        <v>82</v>
      </c>
      <c r="C102" s="120">
        <f t="shared" ca="1" si="5"/>
        <v>1164813138</v>
      </c>
      <c r="D102" s="48">
        <f t="shared" ca="1" si="0"/>
        <v>0.36779827438452256</v>
      </c>
      <c r="E102" s="120">
        <f t="shared" ca="1" si="6"/>
        <v>46599833</v>
      </c>
      <c r="F102" s="116">
        <f t="shared" ca="1" si="1"/>
        <v>46.599832999999997</v>
      </c>
      <c r="G102" s="118">
        <f ca="1">C102/Summary!C$58</f>
        <v>0.18462722111269614</v>
      </c>
      <c r="H102" s="119">
        <f ca="1">H101+M102*Summary!$C$26/1000000</f>
        <v>10493.129066920927</v>
      </c>
      <c r="I102" s="119">
        <f t="shared" si="7"/>
        <v>28529.576666666631</v>
      </c>
      <c r="J102" s="122">
        <f ca="1">C101*Summary!C$49*Summary!C$62*24*365*1000*C$11</f>
        <v>3036183287.6294727</v>
      </c>
      <c r="K102" s="122">
        <f t="shared" ca="1" si="2"/>
        <v>18639933287.629471</v>
      </c>
      <c r="L102" s="120">
        <f t="shared" ca="1" si="3"/>
        <v>46572720</v>
      </c>
      <c r="M102" s="278">
        <f ca="1">C101*Summary!$C$49*Summary!$C$61</f>
        <v>24756.876122223355</v>
      </c>
      <c r="N102" s="277">
        <f ca="1">M102/'Alberta Electricity Profile'!$D$49</f>
        <v>0.18964537449134275</v>
      </c>
      <c r="O102" s="278">
        <f t="shared" si="8"/>
        <v>347.92166666666526</v>
      </c>
      <c r="P102" s="278">
        <f t="shared" ca="1" si="9"/>
        <v>157.82474246333004</v>
      </c>
      <c r="Q102" s="276">
        <f t="shared" ca="1" si="10"/>
        <v>6.3749861527018936</v>
      </c>
      <c r="R102" s="276">
        <f t="shared" ca="1" si="11"/>
        <v>21.254441237156289</v>
      </c>
      <c r="S102" s="276">
        <f t="shared" ca="1" si="12"/>
        <v>0.13549676857028745</v>
      </c>
    </row>
    <row r="103" spans="1:19">
      <c r="A103" s="183"/>
      <c r="B103" s="124">
        <f t="shared" si="4"/>
        <v>83</v>
      </c>
      <c r="C103" s="120">
        <f t="shared" ca="1" si="5"/>
        <v>1164837577</v>
      </c>
      <c r="D103" s="48">
        <f t="shared" ca="1" si="0"/>
        <v>0.36883241616583334</v>
      </c>
      <c r="E103" s="120">
        <f t="shared" ca="1" si="6"/>
        <v>46600009</v>
      </c>
      <c r="F103" s="116">
        <f t="shared" ca="1" si="1"/>
        <v>46.600009</v>
      </c>
      <c r="G103" s="118">
        <f ca="1">C103/Summary!C$58</f>
        <v>0.18463109478522746</v>
      </c>
      <c r="H103" s="119">
        <f ca="1">H102+M103*Summary!$C$26/1000000</f>
        <v>10650.957483108145</v>
      </c>
      <c r="I103" s="119">
        <f t="shared" si="7"/>
        <v>28877.498333333297</v>
      </c>
      <c r="J103" s="122">
        <f ca="1">C102*Summary!C$49*Summary!C$62*24*365*1000*C$11</f>
        <v>3036253961.5865006</v>
      </c>
      <c r="K103" s="122">
        <f t="shared" ca="1" si="2"/>
        <v>18640003961.586502</v>
      </c>
      <c r="L103" s="120">
        <f t="shared" ca="1" si="3"/>
        <v>46575570</v>
      </c>
      <c r="M103" s="278">
        <f ca="1">C102*Summary!$C$49*Summary!$C$61</f>
        <v>24757.45239388862</v>
      </c>
      <c r="N103" s="277">
        <f ca="1">M103/'Alberta Electricity Profile'!$D$49</f>
        <v>0.18964978891161241</v>
      </c>
      <c r="O103" s="278">
        <f t="shared" si="8"/>
        <v>347.92166666666526</v>
      </c>
      <c r="P103" s="278">
        <f t="shared" ca="1" si="9"/>
        <v>157.82841618721795</v>
      </c>
      <c r="Q103" s="276">
        <f t="shared" ca="1" si="10"/>
        <v>6.3749861527019602</v>
      </c>
      <c r="R103" s="276">
        <f t="shared" ca="1" si="11"/>
        <v>21.254441237156289</v>
      </c>
      <c r="S103" s="276">
        <f t="shared" ca="1" si="12"/>
        <v>0.13549676857028889</v>
      </c>
    </row>
    <row r="104" spans="1:19">
      <c r="A104" s="183"/>
      <c r="B104" s="124">
        <f t="shared" si="4"/>
        <v>84</v>
      </c>
      <c r="C104" s="120">
        <f t="shared" ca="1" si="5"/>
        <v>1164859544</v>
      </c>
      <c r="D104" s="48">
        <f t="shared" ca="1" si="0"/>
        <v>0.36984204882944033</v>
      </c>
      <c r="E104" s="120">
        <f t="shared" ca="1" si="6"/>
        <v>46600169</v>
      </c>
      <c r="F104" s="116">
        <f t="shared" ca="1" si="1"/>
        <v>46.600169000000001</v>
      </c>
      <c r="G104" s="118">
        <f ca="1">C104/Summary!C$58</f>
        <v>0.18463457663655095</v>
      </c>
      <c r="H104" s="119">
        <f ca="1">H103+M104*Summary!$C$26/1000000</f>
        <v>10808.789210700888</v>
      </c>
      <c r="I104" s="119">
        <f t="shared" si="7"/>
        <v>29225.419999999962</v>
      </c>
      <c r="J104" s="122">
        <f ca="1">C103*Summary!C$49*Summary!C$62*24*365*1000*C$11</f>
        <v>3036317665.3756719</v>
      </c>
      <c r="K104" s="122">
        <f t="shared" ca="1" si="2"/>
        <v>18640067665.375671</v>
      </c>
      <c r="L104" s="120">
        <f t="shared" ca="1" si="3"/>
        <v>46578202</v>
      </c>
      <c r="M104" s="278">
        <f ca="1">C103*Summary!$C$49*Summary!$C$61</f>
        <v>24757.971831178016</v>
      </c>
      <c r="N104" s="277">
        <f ca="1">M104/'Alberta Electricity Profile'!$D$49</f>
        <v>0.18965376796287825</v>
      </c>
      <c r="O104" s="278">
        <f t="shared" si="8"/>
        <v>347.92166666666526</v>
      </c>
      <c r="P104" s="278">
        <f t="shared" ca="1" si="9"/>
        <v>157.83172759274385</v>
      </c>
      <c r="Q104" s="276">
        <f t="shared" ca="1" si="10"/>
        <v>6.3749861527019123</v>
      </c>
      <c r="R104" s="276">
        <f t="shared" ca="1" si="11"/>
        <v>21.254441237156293</v>
      </c>
      <c r="S104" s="276">
        <f t="shared" ca="1" si="12"/>
        <v>0.13549676857028783</v>
      </c>
    </row>
    <row r="105" spans="1:19">
      <c r="A105" s="183"/>
      <c r="B105" s="124">
        <f t="shared" si="4"/>
        <v>85</v>
      </c>
      <c r="C105" s="120">
        <f t="shared" ca="1" si="5"/>
        <v>1164879232</v>
      </c>
      <c r="D105" s="48">
        <f t="shared" ca="1" si="0"/>
        <v>0.3708280260770157</v>
      </c>
      <c r="E105" s="120">
        <f t="shared" ca="1" si="6"/>
        <v>46600312</v>
      </c>
      <c r="F105" s="116">
        <f t="shared" ca="1" si="1"/>
        <v>46.600312000000002</v>
      </c>
      <c r="G105" s="118">
        <f ca="1">C105/Summary!C$58</f>
        <v>0.18463769725788556</v>
      </c>
      <c r="H105" s="119">
        <f ca="1">H104+M105*Summary!$C$26/1000000</f>
        <v>10966.623914751148</v>
      </c>
      <c r="I105" s="119">
        <f t="shared" si="7"/>
        <v>29573.341666666627</v>
      </c>
      <c r="J105" s="122">
        <f ca="1">C104*Summary!C$49*Summary!C$62*24*365*1000*C$11</f>
        <v>3036374925.5392108</v>
      </c>
      <c r="K105" s="122">
        <f t="shared" ca="1" si="2"/>
        <v>18640124925.539211</v>
      </c>
      <c r="L105" s="120">
        <f t="shared" ca="1" si="3"/>
        <v>46580624</v>
      </c>
      <c r="M105" s="278">
        <f ca="1">C104*Summary!$C$49*Summary!$C$61</f>
        <v>24758.438727488669</v>
      </c>
      <c r="N105" s="277">
        <f ca="1">M105/'Alberta Electricity Profile'!$D$49</f>
        <v>0.18965734453389818</v>
      </c>
      <c r="O105" s="278">
        <f t="shared" si="8"/>
        <v>347.92166666666526</v>
      </c>
      <c r="P105" s="278">
        <f t="shared" ca="1" si="9"/>
        <v>157.83470405025946</v>
      </c>
      <c r="Q105" s="276">
        <f t="shared" ca="1" si="10"/>
        <v>6.37498615270193</v>
      </c>
      <c r="R105" s="276">
        <f t="shared" ca="1" si="11"/>
        <v>21.254441237156289</v>
      </c>
      <c r="S105" s="276">
        <f t="shared" ca="1" si="12"/>
        <v>0.13549676857028822</v>
      </c>
    </row>
    <row r="106" spans="1:19">
      <c r="A106" s="183"/>
      <c r="B106" s="124">
        <f t="shared" si="4"/>
        <v>86</v>
      </c>
      <c r="C106" s="120">
        <f t="shared" ca="1" si="5"/>
        <v>1164896828</v>
      </c>
      <c r="D106" s="48">
        <f t="shared" ca="1" si="0"/>
        <v>0.37179116277716667</v>
      </c>
      <c r="E106" s="120">
        <f t="shared" ca="1" si="6"/>
        <v>46600440</v>
      </c>
      <c r="F106" s="116">
        <f t="shared" ca="1" si="1"/>
        <v>46.600439999999999</v>
      </c>
      <c r="G106" s="118">
        <f ca="1">C106/Summary!C$58</f>
        <v>0.18464048628942781</v>
      </c>
      <c r="H106" s="119">
        <f ca="1">H105+M106*Summary!$C$26/1000000</f>
        <v>11124.461286461787</v>
      </c>
      <c r="I106" s="119">
        <f t="shared" si="7"/>
        <v>29921.263333333292</v>
      </c>
      <c r="J106" s="122">
        <f ca="1">C105*Summary!C$49*Summary!C$62*24*365*1000*C$11</f>
        <v>3036426245.1595392</v>
      </c>
      <c r="K106" s="122">
        <f t="shared" ca="1" si="2"/>
        <v>18640176245.159538</v>
      </c>
      <c r="L106" s="120">
        <f t="shared" ca="1" si="3"/>
        <v>46582844</v>
      </c>
      <c r="M106" s="278">
        <f ca="1">C105*Summary!$C$49*Summary!$C$61</f>
        <v>24758.857184927747</v>
      </c>
      <c r="N106" s="277">
        <f ca="1">M106/'Alberta Electricity Profile'!$D$49</f>
        <v>0.18966055004808949</v>
      </c>
      <c r="O106" s="278">
        <f t="shared" si="8"/>
        <v>347.92166666666526</v>
      </c>
      <c r="P106" s="278">
        <f t="shared" ca="1" si="9"/>
        <v>157.83737171063876</v>
      </c>
      <c r="Q106" s="276">
        <f t="shared" ca="1" si="10"/>
        <v>6.3749861527019167</v>
      </c>
      <c r="R106" s="276">
        <f t="shared" ca="1" si="11"/>
        <v>21.254441237156286</v>
      </c>
      <c r="S106" s="276">
        <f t="shared" ca="1" si="12"/>
        <v>0.13549676857028795</v>
      </c>
    </row>
    <row r="107" spans="1:19">
      <c r="A107" s="183"/>
      <c r="B107" s="124">
        <f t="shared" si="4"/>
        <v>87</v>
      </c>
      <c r="C107" s="120">
        <f t="shared" ca="1" si="5"/>
        <v>1164912511</v>
      </c>
      <c r="D107" s="48">
        <f t="shared" ca="1" si="0"/>
        <v>0.37273223717036258</v>
      </c>
      <c r="E107" s="120">
        <f t="shared" ca="1" si="6"/>
        <v>46600555</v>
      </c>
      <c r="F107" s="116">
        <f t="shared" ca="1" si="1"/>
        <v>46.600555</v>
      </c>
      <c r="G107" s="118">
        <f ca="1">C107/Summary!C$58</f>
        <v>0.18464297210334443</v>
      </c>
      <c r="H107" s="119">
        <f ca="1">H106+M107*Summary!$C$26/1000000</f>
        <v>11282.301042373565</v>
      </c>
      <c r="I107" s="119">
        <f t="shared" si="7"/>
        <v>30269.184999999958</v>
      </c>
      <c r="J107" s="122">
        <f ca="1">C106*Summary!C$49*Summary!C$62*24*365*1000*C$11</f>
        <v>3036472111.6792116</v>
      </c>
      <c r="K107" s="122">
        <f t="shared" ca="1" si="2"/>
        <v>18640222111.679211</v>
      </c>
      <c r="L107" s="120">
        <f t="shared" ca="1" si="3"/>
        <v>46584872</v>
      </c>
      <c r="M107" s="278">
        <f ca="1">C106*Summary!$C$49*Summary!$C$61</f>
        <v>24759.231178075755</v>
      </c>
      <c r="N107" s="277">
        <f ca="1">M107/'Alberta Electricity Profile'!$D$49</f>
        <v>0.18966341495197564</v>
      </c>
      <c r="O107" s="278">
        <f t="shared" si="8"/>
        <v>347.92166666666526</v>
      </c>
      <c r="P107" s="278">
        <f t="shared" ca="1" si="9"/>
        <v>157.83975591177841</v>
      </c>
      <c r="Q107" s="276">
        <f t="shared" ca="1" si="10"/>
        <v>6.3749861527019132</v>
      </c>
      <c r="R107" s="276">
        <f t="shared" ca="1" si="11"/>
        <v>21.254441237156289</v>
      </c>
      <c r="S107" s="276">
        <f t="shared" ca="1" si="12"/>
        <v>0.13549676857028783</v>
      </c>
    </row>
    <row r="108" spans="1:19">
      <c r="A108" s="183"/>
      <c r="B108" s="124">
        <f t="shared" si="4"/>
        <v>88</v>
      </c>
      <c r="C108" s="120">
        <f t="shared" ca="1" si="5"/>
        <v>1164926453</v>
      </c>
      <c r="D108" s="48">
        <f t="shared" ca="1" si="0"/>
        <v>0.37365199291467499</v>
      </c>
      <c r="E108" s="120">
        <f t="shared" ca="1" si="6"/>
        <v>46600657</v>
      </c>
      <c r="F108" s="116">
        <f t="shared" ca="1" si="1"/>
        <v>46.600656999999998</v>
      </c>
      <c r="G108" s="118">
        <f ca="1">C108/Summary!C$58</f>
        <v>0.18464518196227611</v>
      </c>
      <c r="H108" s="119">
        <f ca="1">H107+M108*Summary!$C$26/1000000</f>
        <v>11440.142923281166</v>
      </c>
      <c r="I108" s="119">
        <f t="shared" si="7"/>
        <v>30617.106666666623</v>
      </c>
      <c r="J108" s="122">
        <f ca="1">C107*Summary!C$49*Summary!C$62*24*365*1000*C$11</f>
        <v>3036512991.6876235</v>
      </c>
      <c r="K108" s="122">
        <f t="shared" ca="1" si="2"/>
        <v>18640262991.687622</v>
      </c>
      <c r="L108" s="120">
        <f t="shared" ca="1" si="3"/>
        <v>46586715</v>
      </c>
      <c r="M108" s="278">
        <f ca="1">C107*Summary!$C$49*Summary!$C$61</f>
        <v>24759.564511477682</v>
      </c>
      <c r="N108" s="277">
        <f ca="1">M108/'Alberta Electricity Profile'!$D$49</f>
        <v>0.18966596838955502</v>
      </c>
      <c r="O108" s="278">
        <f t="shared" si="8"/>
        <v>347.92166666666526</v>
      </c>
      <c r="P108" s="278">
        <f t="shared" ca="1" si="9"/>
        <v>157.84188090760108</v>
      </c>
      <c r="Q108" s="276">
        <f t="shared" ca="1" si="10"/>
        <v>6.3749861527019593</v>
      </c>
      <c r="R108" s="276">
        <f t="shared" ca="1" si="11"/>
        <v>21.254441237156289</v>
      </c>
      <c r="S108" s="276">
        <f t="shared" ca="1" si="12"/>
        <v>0.13549676857028886</v>
      </c>
    </row>
    <row r="109" spans="1:19">
      <c r="A109" s="183"/>
      <c r="B109" s="124">
        <f t="shared" si="4"/>
        <v>89</v>
      </c>
      <c r="C109" s="120">
        <f t="shared" ca="1" si="5"/>
        <v>1164938817</v>
      </c>
      <c r="D109" s="48">
        <f t="shared" ca="1" si="0"/>
        <v>0.37455114099797848</v>
      </c>
      <c r="E109" s="120">
        <f t="shared" ca="1" si="6"/>
        <v>46600748</v>
      </c>
      <c r="F109" s="116">
        <f t="shared" ca="1" si="1"/>
        <v>46.600748000000003</v>
      </c>
      <c r="G109" s="118">
        <f ca="1">C109/Summary!C$58</f>
        <v>0.18464714170233001</v>
      </c>
      <c r="H109" s="119">
        <f ca="1">H108+M109*Summary!$C$26/1000000</f>
        <v>11597.986693284714</v>
      </c>
      <c r="I109" s="119">
        <f t="shared" si="7"/>
        <v>30965.028333333288</v>
      </c>
      <c r="J109" s="122">
        <f ca="1">C108*Summary!C$49*Summary!C$62*24*365*1000*C$11</f>
        <v>3036549333.5276585</v>
      </c>
      <c r="K109" s="122">
        <f t="shared" ca="1" si="2"/>
        <v>18640299333.527657</v>
      </c>
      <c r="L109" s="120">
        <f t="shared" ca="1" si="3"/>
        <v>46588384</v>
      </c>
      <c r="M109" s="278">
        <f ca="1">C108*Summary!$C$49*Summary!$C$61</f>
        <v>24759.860840897407</v>
      </c>
      <c r="N109" s="277">
        <f ca="1">M109/'Alberta Electricity Profile'!$D$49</f>
        <v>0.18966823836511654</v>
      </c>
      <c r="O109" s="278">
        <f t="shared" si="8"/>
        <v>347.92166666666526</v>
      </c>
      <c r="P109" s="278">
        <f t="shared" ca="1" si="9"/>
        <v>157.84377000354834</v>
      </c>
      <c r="Q109" s="276">
        <f t="shared" ca="1" si="10"/>
        <v>6.374986152701954</v>
      </c>
      <c r="R109" s="276">
        <f t="shared" ca="1" si="11"/>
        <v>21.254441237156289</v>
      </c>
      <c r="S109" s="276">
        <f t="shared" ca="1" si="12"/>
        <v>0.13549676857028875</v>
      </c>
    </row>
    <row r="110" spans="1:19">
      <c r="A110" s="183"/>
      <c r="B110" s="124">
        <f t="shared" si="4"/>
        <v>90</v>
      </c>
      <c r="C110" s="120">
        <f t="shared" ca="1" si="5"/>
        <v>1164949758</v>
      </c>
      <c r="D110" s="48">
        <f t="shared" ca="1" si="0"/>
        <v>0.3754303615140166</v>
      </c>
      <c r="E110" s="120">
        <f t="shared" ca="1" si="6"/>
        <v>46600828</v>
      </c>
      <c r="F110" s="116">
        <f t="shared" ca="1" si="1"/>
        <v>46.600828</v>
      </c>
      <c r="G110" s="118">
        <f ca="1">C110/Summary!C$58</f>
        <v>0.18464887589158346</v>
      </c>
      <c r="H110" s="119">
        <f ca="1">H109+M110*Summary!$C$26/1000000</f>
        <v>11755.832138570309</v>
      </c>
      <c r="I110" s="119">
        <f t="shared" si="7"/>
        <v>31312.949999999953</v>
      </c>
      <c r="J110" s="122">
        <f ca="1">C109*Summary!C$49*Summary!C$62*24*365*1000*C$11</f>
        <v>3036581562.0823989</v>
      </c>
      <c r="K110" s="122">
        <f t="shared" ca="1" si="2"/>
        <v>18640331562.082397</v>
      </c>
      <c r="L110" s="120">
        <f t="shared" ca="1" si="3"/>
        <v>46589887</v>
      </c>
      <c r="M110" s="278">
        <f ca="1">C109*Summary!$C$49*Summary!$C$61</f>
        <v>24760.123630808863</v>
      </c>
      <c r="N110" s="277">
        <f ca="1">M110/'Alberta Electricity Profile'!$D$49</f>
        <v>0.18967025141760846</v>
      </c>
      <c r="O110" s="278">
        <f t="shared" si="8"/>
        <v>347.92166666666526</v>
      </c>
      <c r="P110" s="278">
        <f t="shared" ca="1" si="9"/>
        <v>157.84544528559491</v>
      </c>
      <c r="Q110" s="276">
        <f t="shared" ca="1" si="10"/>
        <v>6.3749861527019522</v>
      </c>
      <c r="R110" s="276">
        <f t="shared" ca="1" si="11"/>
        <v>21.254441237156289</v>
      </c>
      <c r="S110" s="276">
        <f t="shared" ca="1" si="12"/>
        <v>0.13549676857028869</v>
      </c>
    </row>
    <row r="111" spans="1:19">
      <c r="A111" s="183"/>
      <c r="B111" s="124">
        <f t="shared" si="4"/>
        <v>91</v>
      </c>
      <c r="C111" s="120">
        <f t="shared" ca="1" si="5"/>
        <v>1164959425</v>
      </c>
      <c r="D111" s="48">
        <f t="shared" ca="1" si="0"/>
        <v>0.37629030532564511</v>
      </c>
      <c r="E111" s="120">
        <f t="shared" ca="1" si="6"/>
        <v>46600900</v>
      </c>
      <c r="F111" s="116">
        <f t="shared" ca="1" si="1"/>
        <v>46.600900000000003</v>
      </c>
      <c r="G111" s="118">
        <f ca="1">C111/Summary!C$58</f>
        <v>0.18465040814709147</v>
      </c>
      <c r="H111" s="119">
        <f ca="1">H110+M111*Summary!$C$26/1000000</f>
        <v>11913.679066326049</v>
      </c>
      <c r="I111" s="119">
        <f t="shared" si="7"/>
        <v>31660.871666666619</v>
      </c>
      <c r="J111" s="122">
        <f ca="1">C110*Summary!C$49*Summary!C$62*24*365*1000*C$11</f>
        <v>3036610081.3817706</v>
      </c>
      <c r="K111" s="122">
        <f t="shared" ca="1" si="2"/>
        <v>18640360081.381771</v>
      </c>
      <c r="L111" s="120">
        <f t="shared" ca="1" si="3"/>
        <v>46591233</v>
      </c>
      <c r="M111" s="278">
        <f ca="1">C110*Summary!$C$49*Summary!$C$61</f>
        <v>24760.356175650442</v>
      </c>
      <c r="N111" s="277">
        <f ca="1">M111/'Alberta Electricity Profile'!$D$49</f>
        <v>0.18967203278345404</v>
      </c>
      <c r="O111" s="278">
        <f t="shared" si="8"/>
        <v>347.92166666666526</v>
      </c>
      <c r="P111" s="278">
        <f t="shared" ca="1" si="9"/>
        <v>157.84692775573967</v>
      </c>
      <c r="Q111" s="276">
        <f t="shared" ca="1" si="10"/>
        <v>6.374986152701946</v>
      </c>
      <c r="R111" s="276">
        <f t="shared" ca="1" si="11"/>
        <v>21.254441237156293</v>
      </c>
      <c r="S111" s="276">
        <f t="shared" ca="1" si="12"/>
        <v>0.13549676857028856</v>
      </c>
    </row>
    <row r="112" spans="1:19">
      <c r="A112" s="183"/>
      <c r="B112" s="124">
        <f t="shared" si="4"/>
        <v>92</v>
      </c>
      <c r="C112" s="120">
        <f t="shared" ca="1" si="5"/>
        <v>1164967955</v>
      </c>
      <c r="D112" s="48">
        <f t="shared" ca="1" si="0"/>
        <v>0.37713159562806808</v>
      </c>
      <c r="E112" s="120">
        <f t="shared" ca="1" si="6"/>
        <v>46600963</v>
      </c>
      <c r="F112" s="116">
        <f t="shared" ca="1" si="1"/>
        <v>46.600963</v>
      </c>
      <c r="G112" s="118">
        <f ca="1">C112/Summary!C$58</f>
        <v>0.18465176018386431</v>
      </c>
      <c r="H112" s="119">
        <f ca="1">H111+M112*Summary!$C$26/1000000</f>
        <v>12071.52730392905</v>
      </c>
      <c r="I112" s="119">
        <f t="shared" si="7"/>
        <v>32008.793333333284</v>
      </c>
      <c r="J112" s="122">
        <f ca="1">C111*Summary!C$49*Summary!C$62*24*365*1000*C$11</f>
        <v>3036635279.8158278</v>
      </c>
      <c r="K112" s="122">
        <f t="shared" ca="1" si="2"/>
        <v>18640385279.815826</v>
      </c>
      <c r="L112" s="120">
        <f t="shared" ca="1" si="3"/>
        <v>46592433</v>
      </c>
      <c r="M112" s="278">
        <f ca="1">C111*Summary!$C$49*Summary!$C$61</f>
        <v>24760.56164233388</v>
      </c>
      <c r="N112" s="277">
        <f ca="1">M112/'Alberta Electricity Profile'!$D$49</f>
        <v>0.18967360672218259</v>
      </c>
      <c r="O112" s="278">
        <f t="shared" si="8"/>
        <v>347.92166666666526</v>
      </c>
      <c r="P112" s="278">
        <f t="shared" ca="1" si="9"/>
        <v>157.8482376030006</v>
      </c>
      <c r="Q112" s="276">
        <f t="shared" ca="1" si="10"/>
        <v>6.3749861527019123</v>
      </c>
      <c r="R112" s="276">
        <f t="shared" ca="1" si="11"/>
        <v>21.254441237156293</v>
      </c>
      <c r="S112" s="276">
        <f t="shared" ca="1" si="12"/>
        <v>0.13549676857028783</v>
      </c>
    </row>
    <row r="113" spans="1:19">
      <c r="A113" s="183"/>
      <c r="B113" s="124">
        <f t="shared" si="4"/>
        <v>93</v>
      </c>
      <c r="C113" s="120">
        <f t="shared" ca="1" si="5"/>
        <v>1164975477</v>
      </c>
      <c r="D113" s="48">
        <f t="shared" ca="1" si="0"/>
        <v>0.37795482938609515</v>
      </c>
      <c r="E113" s="120">
        <f t="shared" ca="1" si="6"/>
        <v>46601018</v>
      </c>
      <c r="F113" s="116">
        <f t="shared" ca="1" si="1"/>
        <v>46.601018000000003</v>
      </c>
      <c r="G113" s="118">
        <f ca="1">C113/Summary!C$58</f>
        <v>0.18465295244888255</v>
      </c>
      <c r="H113" s="119">
        <f ca="1">H112+M113*Summary!$C$26/1000000</f>
        <v>12229.376697319487</v>
      </c>
      <c r="I113" s="119">
        <f t="shared" si="7"/>
        <v>32356.714999999949</v>
      </c>
      <c r="J113" s="122">
        <f ca="1">C112*Summary!C$49*Summary!C$62*24*365*1000*C$11</f>
        <v>3036657514.4948907</v>
      </c>
      <c r="K113" s="122">
        <f t="shared" ca="1" si="2"/>
        <v>18640407514.494892</v>
      </c>
      <c r="L113" s="120">
        <f t="shared" ca="1" si="3"/>
        <v>46593496</v>
      </c>
      <c r="M113" s="278">
        <f ca="1">C112*Summary!$C$49*Summary!$C$61</f>
        <v>24760.742942717628</v>
      </c>
      <c r="N113" s="277">
        <f ca="1">M113/'Alberta Electricity Profile'!$D$49</f>
        <v>0.18967499553953585</v>
      </c>
      <c r="O113" s="278">
        <f t="shared" si="8"/>
        <v>347.92166666666526</v>
      </c>
      <c r="P113" s="278">
        <f t="shared" ca="1" si="9"/>
        <v>157.8493933904374</v>
      </c>
      <c r="Q113" s="276">
        <f t="shared" ca="1" si="10"/>
        <v>6.3749861527019496</v>
      </c>
      <c r="R113" s="276">
        <f t="shared" ca="1" si="11"/>
        <v>21.254441237156286</v>
      </c>
      <c r="S113" s="276">
        <f t="shared" ca="1" si="12"/>
        <v>0.13549676857028861</v>
      </c>
    </row>
    <row r="114" spans="1:19">
      <c r="A114" s="183"/>
      <c r="B114" s="124">
        <f t="shared" si="4"/>
        <v>94</v>
      </c>
      <c r="C114" s="120">
        <f t="shared" ca="1" si="5"/>
        <v>1164982112</v>
      </c>
      <c r="D114" s="48">
        <f t="shared" ca="1" si="0"/>
        <v>0.37876057869623087</v>
      </c>
      <c r="E114" s="120">
        <f t="shared" ca="1" si="6"/>
        <v>46601067</v>
      </c>
      <c r="F114" s="116">
        <f t="shared" ca="1" si="1"/>
        <v>46.601067</v>
      </c>
      <c r="G114" s="118">
        <f ca="1">C114/Summary!C$58</f>
        <v>0.18465400412109684</v>
      </c>
      <c r="H114" s="119">
        <f ca="1">H113+M114*Summary!$C$26/1000000</f>
        <v>12387.227109916617</v>
      </c>
      <c r="I114" s="119">
        <f t="shared" si="7"/>
        <v>32704.636666666614</v>
      </c>
      <c r="J114" s="122">
        <f ca="1">C113*Summary!C$49*Summary!C$62*24*365*1000*C$11</f>
        <v>3036677121.6761241</v>
      </c>
      <c r="K114" s="122">
        <f t="shared" ca="1" si="2"/>
        <v>18640427121.676125</v>
      </c>
      <c r="L114" s="120">
        <f t="shared" ca="1" si="3"/>
        <v>46594432</v>
      </c>
      <c r="M114" s="278">
        <f ca="1">C113*Summary!$C$49*Summary!$C$61</f>
        <v>24760.902818624618</v>
      </c>
      <c r="N114" s="277">
        <f ca="1">M114/'Alberta Electricity Profile'!$D$49</f>
        <v>0.18967622023873068</v>
      </c>
      <c r="O114" s="278">
        <f t="shared" si="8"/>
        <v>347.92166666666526</v>
      </c>
      <c r="P114" s="278">
        <f t="shared" ca="1" si="9"/>
        <v>157.85041259713034</v>
      </c>
      <c r="Q114" s="276">
        <f t="shared" ca="1" si="10"/>
        <v>6.3749861527019389</v>
      </c>
      <c r="R114" s="276">
        <f t="shared" ca="1" si="11"/>
        <v>21.254441237156289</v>
      </c>
      <c r="S114" s="276">
        <f t="shared" ca="1" si="12"/>
        <v>0.13549676857028839</v>
      </c>
    </row>
    <row r="115" spans="1:19">
      <c r="A115" s="183"/>
      <c r="B115" s="124">
        <f t="shared" si="4"/>
        <v>95</v>
      </c>
      <c r="C115" s="120">
        <f t="shared" ca="1" si="5"/>
        <v>1164987971</v>
      </c>
      <c r="D115" s="48">
        <f t="shared" ca="1" si="0"/>
        <v>0.37954939206273725</v>
      </c>
      <c r="E115" s="120">
        <f t="shared" ca="1" si="6"/>
        <v>46601111</v>
      </c>
      <c r="F115" s="116">
        <f t="shared" ca="1" si="1"/>
        <v>46.601111000000003</v>
      </c>
      <c r="G115" s="118">
        <f ca="1">C115/Summary!C$58</f>
        <v>0.18465493279442066</v>
      </c>
      <c r="H115" s="119">
        <f ca="1">H114+M115*Summary!$C$26/1000000</f>
        <v>12545.078421534807</v>
      </c>
      <c r="I115" s="119">
        <f t="shared" si="7"/>
        <v>33052.558333333283</v>
      </c>
      <c r="J115" s="122">
        <f ca="1">C114*Summary!C$49*Summary!C$62*24*365*1000*C$11</f>
        <v>3036694416.7635312</v>
      </c>
      <c r="K115" s="122">
        <f t="shared" ca="1" si="2"/>
        <v>18640444416.763531</v>
      </c>
      <c r="L115" s="120">
        <f t="shared" ca="1" si="3"/>
        <v>46595252</v>
      </c>
      <c r="M115" s="278">
        <f ca="1">C114*Summary!$C$49*Summary!$C$61</f>
        <v>24761.043841842227</v>
      </c>
      <c r="N115" s="277">
        <f ca="1">M115/'Alberta Electricity Profile'!$D$49</f>
        <v>0.18967730052045861</v>
      </c>
      <c r="O115" s="278">
        <f t="shared" si="8"/>
        <v>347.9216666666689</v>
      </c>
      <c r="P115" s="278">
        <f t="shared" ca="1" si="9"/>
        <v>157.85131161818936</v>
      </c>
      <c r="Q115" s="276">
        <f t="shared" ca="1" si="10"/>
        <v>6.3749861527019203</v>
      </c>
      <c r="R115" s="276">
        <f t="shared" ca="1" si="11"/>
        <v>21.254441237156289</v>
      </c>
      <c r="S115" s="276">
        <f t="shared" ca="1" si="12"/>
        <v>0.13549676857028803</v>
      </c>
    </row>
    <row r="116" spans="1:19">
      <c r="A116" s="183"/>
      <c r="B116" s="124">
        <f t="shared" si="4"/>
        <v>96</v>
      </c>
      <c r="C116" s="120">
        <f t="shared" ca="1" si="5"/>
        <v>1164993154</v>
      </c>
      <c r="D116" s="48">
        <f t="shared" ca="1" si="0"/>
        <v>0.38032179558582935</v>
      </c>
      <c r="E116" s="120">
        <f t="shared" ca="1" si="6"/>
        <v>46601149</v>
      </c>
      <c r="F116" s="116">
        <f t="shared" ca="1" si="1"/>
        <v>46.601148999999999</v>
      </c>
      <c r="G116" s="118">
        <f ca="1">C116/Summary!C$58</f>
        <v>0.18465575431922651</v>
      </c>
      <c r="H116" s="119">
        <f ca="1">H115+M116*Summary!$C$26/1000000</f>
        <v>12702.930527028564</v>
      </c>
      <c r="I116" s="119">
        <f t="shared" si="7"/>
        <v>33400.479999999952</v>
      </c>
      <c r="J116" s="122">
        <f ca="1">C115*Summary!C$49*Summary!C$62*24*365*1000*C$11</f>
        <v>3036709689.0946722</v>
      </c>
      <c r="K116" s="122">
        <f t="shared" ca="1" si="2"/>
        <v>18640459689.094673</v>
      </c>
      <c r="L116" s="120">
        <f t="shared" ca="1" si="3"/>
        <v>46595966</v>
      </c>
      <c r="M116" s="278">
        <f ca="1">C115*Summary!$C$49*Summary!$C$61</f>
        <v>24761.168371613436</v>
      </c>
      <c r="N116" s="277">
        <f ca="1">M116/'Alberta Electricity Profile'!$D$49</f>
        <v>0.18967825445725497</v>
      </c>
      <c r="O116" s="278">
        <f t="shared" si="8"/>
        <v>347.9216666666689</v>
      </c>
      <c r="P116" s="278">
        <f t="shared" ca="1" si="9"/>
        <v>157.85210549375734</v>
      </c>
      <c r="Q116" s="276">
        <f t="shared" ca="1" si="10"/>
        <v>6.3749861527019576</v>
      </c>
      <c r="R116" s="276">
        <f t="shared" ca="1" si="11"/>
        <v>21.254441237156289</v>
      </c>
      <c r="S116" s="276">
        <f t="shared" ca="1" si="12"/>
        <v>0.13549676857028883</v>
      </c>
    </row>
    <row r="117" spans="1:19">
      <c r="A117" s="183"/>
      <c r="B117" s="124">
        <f t="shared" si="4"/>
        <v>97</v>
      </c>
      <c r="C117" s="120">
        <f t="shared" ca="1" si="5"/>
        <v>1164997752</v>
      </c>
      <c r="D117" s="48">
        <f t="shared" ca="1" si="0"/>
        <v>0.38107829407235899</v>
      </c>
      <c r="E117" s="120">
        <f t="shared" ca="1" si="6"/>
        <v>46601182</v>
      </c>
      <c r="F117" s="116">
        <f t="shared" ca="1" si="1"/>
        <v>46.601182000000001</v>
      </c>
      <c r="G117" s="118">
        <f ca="1">C117/Summary!C$58</f>
        <v>0.18465648311935332</v>
      </c>
      <c r="H117" s="119">
        <f ca="1">H116+M117*Summary!$C$26/1000000</f>
        <v>12860.783334802072</v>
      </c>
      <c r="I117" s="119">
        <f t="shared" si="7"/>
        <v>33748.401666666621</v>
      </c>
      <c r="J117" s="122">
        <f ca="1">C116*Summary!C$49*Summary!C$62*24*365*1000*C$11</f>
        <v>3036723199.3340139</v>
      </c>
      <c r="K117" s="122">
        <f t="shared" ca="1" si="2"/>
        <v>18640473199.334015</v>
      </c>
      <c r="L117" s="120">
        <f t="shared" ca="1" si="3"/>
        <v>46596584</v>
      </c>
      <c r="M117" s="278">
        <f ca="1">C116*Summary!$C$49*Summary!$C$61</f>
        <v>24761.278533382367</v>
      </c>
      <c r="N117" s="277">
        <f ca="1">M117/'Alberta Electricity Profile'!$D$49</f>
        <v>0.18967909833068311</v>
      </c>
      <c r="O117" s="278">
        <f t="shared" si="8"/>
        <v>347.9216666666689</v>
      </c>
      <c r="P117" s="278">
        <f t="shared" ca="1" si="9"/>
        <v>157.85280777350818</v>
      </c>
      <c r="Q117" s="276">
        <f t="shared" ca="1" si="10"/>
        <v>6.3749861527019309</v>
      </c>
      <c r="R117" s="276">
        <f t="shared" ca="1" si="11"/>
        <v>21.254441237156289</v>
      </c>
      <c r="S117" s="276">
        <f t="shared" ca="1" si="12"/>
        <v>0.13549676857028825</v>
      </c>
    </row>
    <row r="118" spans="1:19">
      <c r="A118" s="183"/>
      <c r="B118" s="124">
        <f t="shared" si="4"/>
        <v>98</v>
      </c>
      <c r="C118" s="120">
        <f t="shared" ca="1" si="5"/>
        <v>1165001846</v>
      </c>
      <c r="D118" s="48">
        <f t="shared" ca="1" si="0"/>
        <v>0.38181937208644506</v>
      </c>
      <c r="E118" s="120">
        <f t="shared" ca="1" si="6"/>
        <v>46601212</v>
      </c>
      <c r="F118" s="116">
        <f t="shared" ca="1" si="1"/>
        <v>46.601211999999997</v>
      </c>
      <c r="G118" s="118">
        <f ca="1">C118/Summary!C$58</f>
        <v>0.18465713203360279</v>
      </c>
      <c r="H118" s="119">
        <f ca="1">H117+M118*Summary!$C$26/1000000</f>
        <v>13018.636765589723</v>
      </c>
      <c r="I118" s="119">
        <f t="shared" si="7"/>
        <v>34096.32333333329</v>
      </c>
      <c r="J118" s="122">
        <f ca="1">C117*Summary!C$49*Summary!C$62*24*365*1000*C$11</f>
        <v>3036735184.6862216</v>
      </c>
      <c r="K118" s="122">
        <f t="shared" ca="1" si="2"/>
        <v>18640485184.686222</v>
      </c>
      <c r="L118" s="120">
        <f t="shared" ca="1" si="3"/>
        <v>46597118</v>
      </c>
      <c r="M118" s="278">
        <f ca="1">C117*Summary!$C$49*Summary!$C$61</f>
        <v>24761.376261303176</v>
      </c>
      <c r="N118" s="277">
        <f ca="1">M118/'Alberta Electricity Profile'!$D$49</f>
        <v>0.18967984695696571</v>
      </c>
      <c r="O118" s="278">
        <f t="shared" si="8"/>
        <v>347.9216666666689</v>
      </c>
      <c r="P118" s="278">
        <f t="shared" ca="1" si="9"/>
        <v>157.85343078765072</v>
      </c>
      <c r="Q118" s="276">
        <f t="shared" ca="1" si="10"/>
        <v>6.3749861527019576</v>
      </c>
      <c r="R118" s="276">
        <f t="shared" ca="1" si="11"/>
        <v>21.254441237156289</v>
      </c>
      <c r="S118" s="276">
        <f t="shared" ca="1" si="12"/>
        <v>0.13549676857028883</v>
      </c>
    </row>
    <row r="119" spans="1:19">
      <c r="A119" s="183"/>
      <c r="B119" s="124">
        <f t="shared" si="4"/>
        <v>99</v>
      </c>
      <c r="C119" s="120">
        <f t="shared" ca="1" si="5"/>
        <v>1165005505</v>
      </c>
      <c r="D119" s="48">
        <f t="shared" ca="1" si="0"/>
        <v>0.38254549493249629</v>
      </c>
      <c r="E119" s="120">
        <f t="shared" ca="1" si="6"/>
        <v>46601239</v>
      </c>
      <c r="F119" s="116">
        <f t="shared" ca="1" si="1"/>
        <v>46.601239</v>
      </c>
      <c r="G119" s="118">
        <f ca="1">C119/Summary!C$58</f>
        <v>0.18465771199873196</v>
      </c>
      <c r="H119" s="119">
        <f ca="1">H118+M119*Summary!$C$26/1000000</f>
        <v>13176.490751101144</v>
      </c>
      <c r="I119" s="119">
        <f t="shared" si="7"/>
        <v>34444.244999999959</v>
      </c>
      <c r="J119" s="122">
        <f ca="1">C118*Summary!C$49*Summary!C$62*24*365*1000*C$11</f>
        <v>3036745856.2895145</v>
      </c>
      <c r="K119" s="122">
        <f t="shared" ca="1" si="2"/>
        <v>18640495856.289513</v>
      </c>
      <c r="L119" s="120">
        <f t="shared" ca="1" si="3"/>
        <v>46597580</v>
      </c>
      <c r="M119" s="278">
        <f ca="1">C118*Summary!$C$49*Summary!$C$61</f>
        <v>24761.4632769856</v>
      </c>
      <c r="N119" s="277">
        <f ca="1">M119/'Alberta Electricity Profile'!$D$49</f>
        <v>0.18968051352416904</v>
      </c>
      <c r="O119" s="278">
        <f t="shared" si="8"/>
        <v>347.9216666666689</v>
      </c>
      <c r="P119" s="278">
        <f t="shared" ca="1" si="9"/>
        <v>157.85398551142134</v>
      </c>
      <c r="Q119" s="276">
        <f t="shared" ca="1" si="10"/>
        <v>6.374986152701962</v>
      </c>
      <c r="R119" s="276">
        <f t="shared" ca="1" si="11"/>
        <v>21.254441237156289</v>
      </c>
      <c r="S119" s="276">
        <f t="shared" ca="1" si="12"/>
        <v>0.13549676857028892</v>
      </c>
    </row>
    <row r="120" spans="1:19" ht="15.75" customHeight="1">
      <c r="A120" s="183"/>
      <c r="B120" s="165">
        <f t="shared" si="4"/>
        <v>100</v>
      </c>
      <c r="C120" s="167">
        <f t="shared" ca="1" si="5"/>
        <v>1165008789</v>
      </c>
      <c r="D120" s="56">
        <f t="shared" ca="1" si="0"/>
        <v>0.38325710957146258</v>
      </c>
      <c r="E120" s="167">
        <f t="shared" ca="1" si="6"/>
        <v>46601263</v>
      </c>
      <c r="F120" s="168">
        <f t="shared" ca="1" si="1"/>
        <v>46.601263000000003</v>
      </c>
      <c r="G120" s="169">
        <f ca="1">C120/Summary!C$58</f>
        <v>0.18465823252496433</v>
      </c>
      <c r="H120" s="170">
        <f ca="1">H119+M120*Summary!$C$26/1000000</f>
        <v>13334.345232395241</v>
      </c>
      <c r="I120" s="170">
        <f t="shared" si="7"/>
        <v>34792.166666666628</v>
      </c>
      <c r="J120" s="171">
        <f ca="1">C119*Summary!C$49*Summary!C$62*24*365*1000*C$11</f>
        <v>3036755394.0023737</v>
      </c>
      <c r="K120" s="171">
        <f t="shared" ca="1" si="2"/>
        <v>18640505394.002373</v>
      </c>
      <c r="L120" s="167">
        <f t="shared" ca="1" si="3"/>
        <v>46597979</v>
      </c>
      <c r="M120" s="279">
        <f ca="1">C119*Summary!$C$49*Summary!$C$61</f>
        <v>24761.541046986084</v>
      </c>
      <c r="N120" s="72">
        <f ca="1">M120/'Alberta Electricity Profile'!$D$49</f>
        <v>0.18968110926657181</v>
      </c>
      <c r="O120" s="279">
        <f t="shared" si="8"/>
        <v>347.9216666666689</v>
      </c>
      <c r="P120" s="279">
        <f t="shared" ca="1" si="9"/>
        <v>157.85448129409633</v>
      </c>
      <c r="Q120" s="280">
        <f t="shared" ca="1" si="10"/>
        <v>6.374986152701914</v>
      </c>
      <c r="R120" s="280">
        <f t="shared" ca="1" si="11"/>
        <v>21.254441237156286</v>
      </c>
      <c r="S120" s="280">
        <f t="shared" ca="1" si="12"/>
        <v>0.13549676857028783</v>
      </c>
    </row>
    <row r="121" spans="1:19">
      <c r="A121" s="183"/>
      <c r="B121" s="172"/>
      <c r="C121" s="173"/>
      <c r="D121" s="174"/>
      <c r="E121" s="173"/>
      <c r="F121" s="175"/>
      <c r="G121" s="176"/>
      <c r="H121" s="177"/>
      <c r="I121" s="177"/>
      <c r="J121" s="178"/>
      <c r="K121" s="178"/>
      <c r="L121" s="173"/>
      <c r="M121" s="281"/>
      <c r="N121" s="281"/>
      <c r="O121" s="281"/>
      <c r="P121" s="281"/>
      <c r="Q121" s="281"/>
      <c r="R121" s="281"/>
      <c r="S121" s="281"/>
    </row>
    <row r="122" spans="1:19" s="184" customFormat="1">
      <c r="A122" s="183"/>
      <c r="B122" s="245"/>
      <c r="C122" s="260"/>
      <c r="D122" s="282"/>
      <c r="E122" s="283"/>
      <c r="F122" s="284"/>
      <c r="G122" s="285"/>
      <c r="H122" s="286"/>
      <c r="I122" s="286"/>
      <c r="J122" s="287"/>
      <c r="K122" s="287"/>
      <c r="L122" s="283"/>
      <c r="M122" s="245"/>
      <c r="N122" s="245"/>
      <c r="O122" s="245"/>
      <c r="P122" s="245"/>
      <c r="Q122" s="245"/>
      <c r="R122" s="245"/>
      <c r="S122" s="245"/>
    </row>
  </sheetData>
  <mergeCells count="2">
    <mergeCell ref="B1:M1"/>
    <mergeCell ref="B6:C6"/>
  </mergeCells>
  <hyperlinks>
    <hyperlink ref="D7"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Summary</vt:lpstr>
      <vt:lpstr>Forests</vt:lpstr>
      <vt:lpstr>Wind Speed</vt:lpstr>
      <vt:lpstr>CO2 Values</vt:lpstr>
      <vt:lpstr>Solar Info</vt:lpstr>
      <vt:lpstr>development plan (Wind)</vt:lpstr>
      <vt:lpstr>Dev Plan (Wind)</vt:lpstr>
      <vt:lpstr>Wind Graphs</vt:lpstr>
      <vt:lpstr>Development Plan (Solar)</vt:lpstr>
      <vt:lpstr>Solar Graphs</vt:lpstr>
      <vt:lpstr>CarbonFootprint</vt:lpstr>
      <vt:lpstr>Alberta Electricity Profile</vt:lpstr>
      <vt:lpstr>PV Output</vt:lpstr>
      <vt:lpstr>Edit 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reator>
  <cp:lastModifiedBy>s</cp:lastModifiedBy>
  <dcterms:created xsi:type="dcterms:W3CDTF">2015-03-22T01:37:53Z</dcterms:created>
  <dcterms:modified xsi:type="dcterms:W3CDTF">2015-08-06T16:20:20Z</dcterms:modified>
</cp:coreProperties>
</file>