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2\Dropbox (MIT)\Tar Sands Stuff\"/>
    </mc:Choice>
  </mc:AlternateContent>
  <bookViews>
    <workbookView xWindow="0" yWindow="0" windowWidth="28800" windowHeight="12135" tabRatio="670"/>
  </bookViews>
  <sheets>
    <sheet name="Main Variables" sheetId="1" r:id="rId1"/>
    <sheet name="Grid Sizes, Locations, and GHGs" sheetId="2" r:id="rId2"/>
    <sheet name="GHG by Electricity Source" sheetId="6" r:id="rId3"/>
    <sheet name="Instantatneous Model" sheetId="3" r:id="rId4"/>
    <sheet name="Cumulative 40yr Model" sheetId="4" r:id="rId5"/>
    <sheet name="References" sheetId="7" r:id="rId6"/>
    <sheet name="Allowable Values" sheetId="5" r:id="rId7"/>
  </sheets>
  <definedNames>
    <definedName name="AESO2008">References!$B$2</definedName>
    <definedName name="Delucchi">References!$B$3</definedName>
    <definedName name="GovAB2013">References!$B$4</definedName>
    <definedName name="IHS_CERA_2012">References!$B$5</definedName>
    <definedName name="Raadal2011">References!$B$6</definedName>
    <definedName name="solver_adj" localSheetId="3" hidden="1">'Instantatneous Model'!$H$3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'Instantatneous Model'!$I$7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'Instantatneous Model'!$H$12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hs1" localSheetId="3" hidden="1">SUM('Instantatneous Model'!$C$17:$C$23)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1</definedName>
    <definedName name="solver_ver" localSheetId="3" hidden="1">3</definedName>
    <definedName name="Weisser2007">References!$B$7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5" i="4" s="1"/>
  <c r="C6" i="4"/>
  <c r="C5" i="4"/>
  <c r="C4" i="4"/>
  <c r="C7" i="4"/>
  <c r="D4" i="4" l="1"/>
  <c r="D6" i="4"/>
  <c r="E3" i="4"/>
  <c r="D7" i="4"/>
  <c r="F4" i="3"/>
  <c r="G4" i="3"/>
  <c r="H4" i="3"/>
  <c r="I4" i="3"/>
  <c r="J4" i="3"/>
  <c r="E4" i="3"/>
  <c r="C20" i="4"/>
  <c r="C19" i="4"/>
  <c r="C11" i="4"/>
  <c r="D13" i="4"/>
  <c r="D16" i="4"/>
  <c r="D19" i="4" s="1"/>
  <c r="K3" i="3"/>
  <c r="K6" i="3" s="1"/>
  <c r="K7" i="3" s="1"/>
  <c r="E4" i="4" l="1"/>
  <c r="F3" i="4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E7" i="4"/>
  <c r="E5" i="4"/>
  <c r="E6" i="4"/>
  <c r="K4" i="3"/>
  <c r="G14" i="2"/>
  <c r="H14" i="2" s="1"/>
  <c r="G13" i="2"/>
  <c r="H13" i="2" s="1"/>
  <c r="G12" i="2"/>
  <c r="G10" i="2"/>
  <c r="G11" i="2"/>
  <c r="G9" i="2"/>
  <c r="G8" i="2"/>
  <c r="G7" i="2"/>
  <c r="G5" i="2"/>
  <c r="E2" i="4"/>
  <c r="E16" i="4" s="1"/>
  <c r="E19" i="4" s="1"/>
  <c r="A57" i="4"/>
  <c r="A58" i="4"/>
  <c r="A59" i="4"/>
  <c r="A60" i="4"/>
  <c r="A61" i="4"/>
  <c r="A62" i="4"/>
  <c r="A63" i="4"/>
  <c r="A64" i="4"/>
  <c r="A65" i="4"/>
  <c r="A56" i="4"/>
  <c r="B57" i="4"/>
  <c r="B58" i="4"/>
  <c r="B59" i="4"/>
  <c r="B60" i="4"/>
  <c r="B61" i="4"/>
  <c r="B62" i="4"/>
  <c r="B63" i="4"/>
  <c r="B64" i="4"/>
  <c r="B65" i="4"/>
  <c r="B56" i="4"/>
  <c r="B44" i="4"/>
  <c r="B45" i="4"/>
  <c r="B46" i="4"/>
  <c r="B47" i="4"/>
  <c r="B48" i="4"/>
  <c r="B49" i="4"/>
  <c r="B50" i="4"/>
  <c r="B51" i="4"/>
  <c r="B52" i="4"/>
  <c r="B43" i="4"/>
  <c r="A44" i="4"/>
  <c r="A45" i="4"/>
  <c r="A46" i="4"/>
  <c r="A47" i="4"/>
  <c r="A48" i="4"/>
  <c r="A49" i="4"/>
  <c r="A50" i="4"/>
  <c r="A51" i="4"/>
  <c r="A52" i="4"/>
  <c r="A43" i="4"/>
  <c r="B31" i="4"/>
  <c r="B32" i="4"/>
  <c r="B33" i="4"/>
  <c r="B34" i="4"/>
  <c r="B35" i="4"/>
  <c r="B36" i="4"/>
  <c r="B37" i="4"/>
  <c r="B38" i="4"/>
  <c r="B39" i="4"/>
  <c r="B30" i="4"/>
  <c r="C9" i="4"/>
  <c r="C10" i="4" s="1"/>
  <c r="C3" i="4"/>
  <c r="J6" i="3"/>
  <c r="J7" i="3" s="1"/>
  <c r="I6" i="3"/>
  <c r="I7" i="3" s="1"/>
  <c r="H6" i="3"/>
  <c r="H7" i="3" s="1"/>
  <c r="G6" i="3"/>
  <c r="G7" i="3" s="1"/>
  <c r="F6" i="3"/>
  <c r="F7" i="3" s="1"/>
  <c r="K14" i="2"/>
  <c r="D24" i="3"/>
  <c r="B24" i="3"/>
  <c r="D25" i="3"/>
  <c r="B25" i="3"/>
  <c r="D26" i="3"/>
  <c r="B26" i="3"/>
  <c r="E6" i="3"/>
  <c r="E7" i="3" s="1"/>
  <c r="B18" i="3"/>
  <c r="B19" i="3"/>
  <c r="B20" i="3"/>
  <c r="B21" i="3"/>
  <c r="B22" i="3"/>
  <c r="B23" i="3"/>
  <c r="B17" i="3"/>
  <c r="B14" i="1"/>
  <c r="B15" i="1"/>
  <c r="D18" i="3"/>
  <c r="D19" i="3"/>
  <c r="D20" i="3"/>
  <c r="D21" i="3"/>
  <c r="D22" i="3"/>
  <c r="D23" i="3"/>
  <c r="D17" i="3"/>
  <c r="B28" i="1"/>
  <c r="K8" i="3" s="1"/>
  <c r="E7" i="2"/>
  <c r="E6" i="2"/>
  <c r="B7" i="1"/>
  <c r="F5" i="4" l="1"/>
  <c r="F4" i="4"/>
  <c r="F7" i="4"/>
  <c r="F6" i="4"/>
  <c r="F2" i="4"/>
  <c r="F16" i="4" s="1"/>
  <c r="F19" i="4" s="1"/>
  <c r="E8" i="3"/>
  <c r="B16" i="1"/>
  <c r="C12" i="4"/>
  <c r="J8" i="3"/>
  <c r="I8" i="3"/>
  <c r="H8" i="3"/>
  <c r="G8" i="3"/>
  <c r="F8" i="3"/>
  <c r="K13" i="2"/>
  <c r="K12" i="2"/>
  <c r="C4" i="6"/>
  <c r="D4" i="6"/>
  <c r="E4" i="6"/>
  <c r="L5" i="2" s="1"/>
  <c r="K5" i="2" s="1"/>
  <c r="A39" i="4" s="1"/>
  <c r="F4" i="6"/>
  <c r="G4" i="6"/>
  <c r="H4" i="6"/>
  <c r="I4" i="6"/>
  <c r="J4" i="6"/>
  <c r="B4" i="6"/>
  <c r="H8" i="2"/>
  <c r="H9" i="2"/>
  <c r="C34" i="4" s="1"/>
  <c r="H11" i="2"/>
  <c r="H10" i="2"/>
  <c r="H6" i="2"/>
  <c r="H7" i="2"/>
  <c r="H12" i="2"/>
  <c r="B3" i="1"/>
  <c r="E5" i="2" s="1"/>
  <c r="H5" i="2" s="1"/>
  <c r="G6" i="4" l="1"/>
  <c r="G5" i="4"/>
  <c r="G4" i="4"/>
  <c r="G7" i="4"/>
  <c r="K9" i="2"/>
  <c r="A34" i="4" s="1"/>
  <c r="K10" i="2"/>
  <c r="A22" i="3" s="1"/>
  <c r="K11" i="2"/>
  <c r="A36" i="4" s="1"/>
  <c r="K7" i="2"/>
  <c r="A32" i="4" s="1"/>
  <c r="K6" i="2"/>
  <c r="A31" i="4" s="1"/>
  <c r="K8" i="2"/>
  <c r="A33" i="4" s="1"/>
  <c r="G2" i="4"/>
  <c r="G16" i="4" s="1"/>
  <c r="G19" i="4" s="1"/>
  <c r="C37" i="4"/>
  <c r="A37" i="4"/>
  <c r="C39" i="4"/>
  <c r="C30" i="4"/>
  <c r="A38" i="4"/>
  <c r="C38" i="4"/>
  <c r="C31" i="4"/>
  <c r="C33" i="4"/>
  <c r="C35" i="4"/>
  <c r="A30" i="4"/>
  <c r="A24" i="3"/>
  <c r="C26" i="3"/>
  <c r="C25" i="3"/>
  <c r="C20" i="3"/>
  <c r="C36" i="4"/>
  <c r="C24" i="3"/>
  <c r="C32" i="4"/>
  <c r="A26" i="3"/>
  <c r="A25" i="3"/>
  <c r="C23" i="3"/>
  <c r="C21" i="3"/>
  <c r="C22" i="3"/>
  <c r="C17" i="3"/>
  <c r="F17" i="3" s="1"/>
  <c r="A17" i="3"/>
  <c r="C19" i="3"/>
  <c r="C18" i="3"/>
  <c r="H7" i="4" l="1"/>
  <c r="H6" i="4"/>
  <c r="H5" i="4"/>
  <c r="H4" i="4"/>
  <c r="A18" i="3"/>
  <c r="A35" i="4"/>
  <c r="A21" i="3"/>
  <c r="A20" i="3"/>
  <c r="A23" i="3"/>
  <c r="A19" i="3"/>
  <c r="C17" i="4"/>
  <c r="C18" i="4" s="1"/>
  <c r="C21" i="4" s="1"/>
  <c r="H2" i="4"/>
  <c r="H16" i="4" s="1"/>
  <c r="H19" i="4" s="1"/>
  <c r="G17" i="3"/>
  <c r="H17" i="3"/>
  <c r="I17" i="3"/>
  <c r="J17" i="3"/>
  <c r="K17" i="3"/>
  <c r="E17" i="3"/>
  <c r="I7" i="4" l="1"/>
  <c r="I6" i="4"/>
  <c r="I5" i="4"/>
  <c r="I4" i="4"/>
  <c r="I2" i="4"/>
  <c r="I16" i="4" s="1"/>
  <c r="I19" i="4" s="1"/>
  <c r="E18" i="3"/>
  <c r="E19" i="3" s="1"/>
  <c r="H18" i="3"/>
  <c r="H19" i="3" s="1"/>
  <c r="H20" i="3" s="1"/>
  <c r="K18" i="3"/>
  <c r="J18" i="3"/>
  <c r="J19" i="3" s="1"/>
  <c r="I18" i="3"/>
  <c r="I19" i="3" s="1"/>
  <c r="G18" i="3"/>
  <c r="G19" i="3" s="1"/>
  <c r="F18" i="3"/>
  <c r="D8" i="4"/>
  <c r="J7" i="4" l="1"/>
  <c r="J6" i="4"/>
  <c r="J5" i="4"/>
  <c r="J4" i="4"/>
  <c r="J2" i="4"/>
  <c r="J16" i="4" s="1"/>
  <c r="J19" i="4" s="1"/>
  <c r="E20" i="3"/>
  <c r="E21" i="3" s="1"/>
  <c r="H21" i="3"/>
  <c r="H22" i="3" s="1"/>
  <c r="I20" i="3"/>
  <c r="I21" i="3" s="1"/>
  <c r="G20" i="3"/>
  <c r="G21" i="3" s="1"/>
  <c r="G22" i="3" s="1"/>
  <c r="J20" i="3"/>
  <c r="J21" i="3" s="1"/>
  <c r="J22" i="3" s="1"/>
  <c r="J23" i="3" s="1"/>
  <c r="K19" i="3"/>
  <c r="F19" i="3"/>
  <c r="D9" i="4"/>
  <c r="D11" i="4"/>
  <c r="K5" i="4" l="1"/>
  <c r="K7" i="4"/>
  <c r="K6" i="4"/>
  <c r="K4" i="4"/>
  <c r="D30" i="4"/>
  <c r="D31" i="4" s="1"/>
  <c r="K2" i="4"/>
  <c r="K16" i="4" s="1"/>
  <c r="K19" i="4" s="1"/>
  <c r="H23" i="3"/>
  <c r="G23" i="3"/>
  <c r="G24" i="3" s="1"/>
  <c r="I22" i="3"/>
  <c r="J24" i="3"/>
  <c r="K20" i="3"/>
  <c r="K21" i="3" s="1"/>
  <c r="E22" i="3"/>
  <c r="F20" i="3"/>
  <c r="D10" i="4"/>
  <c r="D12" i="4" s="1"/>
  <c r="L6" i="4" l="1"/>
  <c r="L5" i="4"/>
  <c r="L4" i="4"/>
  <c r="L7" i="4"/>
  <c r="L2" i="4"/>
  <c r="L16" i="4" s="1"/>
  <c r="L19" i="4" s="1"/>
  <c r="G25" i="3"/>
  <c r="G26" i="3" s="1"/>
  <c r="G5" i="3" s="1"/>
  <c r="H24" i="3"/>
  <c r="H25" i="3" s="1"/>
  <c r="H26" i="3" s="1"/>
  <c r="H5" i="3" s="1"/>
  <c r="I23" i="3"/>
  <c r="I24" i="3" s="1"/>
  <c r="I25" i="3" s="1"/>
  <c r="I26" i="3" s="1"/>
  <c r="J25" i="3"/>
  <c r="J26" i="3" s="1"/>
  <c r="K22" i="3"/>
  <c r="E23" i="3"/>
  <c r="E24" i="3" s="1"/>
  <c r="E25" i="3" s="1"/>
  <c r="E26" i="3" s="1"/>
  <c r="F21" i="3"/>
  <c r="D56" i="4"/>
  <c r="D32" i="4"/>
  <c r="D57" i="4"/>
  <c r="E44" i="4" s="1"/>
  <c r="M4" i="4" l="1"/>
  <c r="M6" i="4"/>
  <c r="M5" i="4"/>
  <c r="M7" i="4"/>
  <c r="I5" i="3"/>
  <c r="E5" i="3"/>
  <c r="J5" i="3"/>
  <c r="E43" i="4"/>
  <c r="M2" i="4"/>
  <c r="M16" i="4" s="1"/>
  <c r="M19" i="4" s="1"/>
  <c r="K23" i="3"/>
  <c r="K24" i="3" s="1"/>
  <c r="K25" i="3" s="1"/>
  <c r="K26" i="3" s="1"/>
  <c r="F22" i="3"/>
  <c r="F23" i="3" s="1"/>
  <c r="D58" i="4"/>
  <c r="E45" i="4" s="1"/>
  <c r="D33" i="4"/>
  <c r="N5" i="4" l="1"/>
  <c r="N4" i="4"/>
  <c r="N6" i="4"/>
  <c r="N7" i="4"/>
  <c r="K5" i="3"/>
  <c r="N2" i="4"/>
  <c r="N16" i="4" s="1"/>
  <c r="N19" i="4" s="1"/>
  <c r="F24" i="3"/>
  <c r="F25" i="3" s="1"/>
  <c r="F26" i="3" s="1"/>
  <c r="F5" i="3" s="1"/>
  <c r="D34" i="4"/>
  <c r="D59" i="4"/>
  <c r="O6" i="4" l="1"/>
  <c r="O5" i="4"/>
  <c r="O4" i="4"/>
  <c r="O7" i="4"/>
  <c r="E46" i="4"/>
  <c r="O2" i="4"/>
  <c r="O16" i="4" s="1"/>
  <c r="O19" i="4" s="1"/>
  <c r="D60" i="4"/>
  <c r="E47" i="4" s="1"/>
  <c r="D35" i="4"/>
  <c r="D36" i="4" s="1"/>
  <c r="P7" i="4" l="1"/>
  <c r="P6" i="4"/>
  <c r="P5" i="4"/>
  <c r="P4" i="4"/>
  <c r="P2" i="4"/>
  <c r="P16" i="4" s="1"/>
  <c r="P19" i="4" s="1"/>
  <c r="D61" i="4"/>
  <c r="D37" i="4"/>
  <c r="D63" i="4" s="1"/>
  <c r="E50" i="4" s="1"/>
  <c r="D62" i="4"/>
  <c r="E49" i="4" s="1"/>
  <c r="Q7" i="4" l="1"/>
  <c r="Q6" i="4"/>
  <c r="Q5" i="4"/>
  <c r="Q4" i="4"/>
  <c r="E48" i="4"/>
  <c r="Q2" i="4"/>
  <c r="Q16" i="4" s="1"/>
  <c r="Q19" i="4" s="1"/>
  <c r="D38" i="4"/>
  <c r="F9" i="3"/>
  <c r="F13" i="3"/>
  <c r="R7" i="4" l="1"/>
  <c r="R4" i="4"/>
  <c r="R6" i="4"/>
  <c r="R5" i="4"/>
  <c r="R2" i="4"/>
  <c r="R16" i="4" s="1"/>
  <c r="R19" i="4" s="1"/>
  <c r="D39" i="4"/>
  <c r="D64" i="4"/>
  <c r="E9" i="3"/>
  <c r="E13" i="3"/>
  <c r="I13" i="3"/>
  <c r="I9" i="3"/>
  <c r="F12" i="3"/>
  <c r="F11" i="3"/>
  <c r="F10" i="3"/>
  <c r="S4" i="4" l="1"/>
  <c r="S7" i="4"/>
  <c r="S6" i="4"/>
  <c r="S5" i="4"/>
  <c r="E51" i="4"/>
  <c r="S2" i="4"/>
  <c r="S16" i="4" s="1"/>
  <c r="S19" i="4" s="1"/>
  <c r="K13" i="3"/>
  <c r="K9" i="3"/>
  <c r="D65" i="4"/>
  <c r="E10" i="3"/>
  <c r="E11" i="3"/>
  <c r="E12" i="3"/>
  <c r="J13" i="3"/>
  <c r="J9" i="3"/>
  <c r="I12" i="3"/>
  <c r="I11" i="3"/>
  <c r="I10" i="3"/>
  <c r="G13" i="3"/>
  <c r="G9" i="3"/>
  <c r="T4" i="4" l="1"/>
  <c r="T7" i="4"/>
  <c r="T6" i="4"/>
  <c r="T5" i="4"/>
  <c r="E52" i="4"/>
  <c r="E13" i="4" s="1"/>
  <c r="D15" i="4"/>
  <c r="D20" i="4" s="1"/>
  <c r="D14" i="4"/>
  <c r="T2" i="4"/>
  <c r="T16" i="4" s="1"/>
  <c r="T19" i="4" s="1"/>
  <c r="K12" i="3"/>
  <c r="K10" i="3"/>
  <c r="K11" i="3"/>
  <c r="D22" i="4"/>
  <c r="J12" i="3"/>
  <c r="J11" i="3"/>
  <c r="J10" i="3"/>
  <c r="G12" i="3"/>
  <c r="G11" i="3"/>
  <c r="G10" i="3"/>
  <c r="U4" i="4" l="1"/>
  <c r="U7" i="4"/>
  <c r="U5" i="4"/>
  <c r="U6" i="4"/>
  <c r="U2" i="4"/>
  <c r="U16" i="4" s="1"/>
  <c r="U19" i="4" s="1"/>
  <c r="D17" i="4"/>
  <c r="D18" i="4" s="1"/>
  <c r="D21" i="4" s="1"/>
  <c r="D25" i="4"/>
  <c r="D24" i="4"/>
  <c r="D23" i="4"/>
  <c r="V5" i="4" l="1"/>
  <c r="V4" i="4"/>
  <c r="V7" i="4"/>
  <c r="V6" i="4"/>
  <c r="E8" i="4"/>
  <c r="V2" i="4"/>
  <c r="V16" i="4" s="1"/>
  <c r="V19" i="4" s="1"/>
  <c r="H13" i="3"/>
  <c r="H9" i="3"/>
  <c r="W6" i="4" l="1"/>
  <c r="W5" i="4"/>
  <c r="W4" i="4"/>
  <c r="W7" i="4"/>
  <c r="E11" i="4"/>
  <c r="E9" i="4"/>
  <c r="E10" i="4" s="1"/>
  <c r="W2" i="4"/>
  <c r="W16" i="4" s="1"/>
  <c r="W19" i="4" s="1"/>
  <c r="H10" i="3"/>
  <c r="H12" i="3"/>
  <c r="H11" i="3"/>
  <c r="X6" i="4" l="1"/>
  <c r="X5" i="4"/>
  <c r="X4" i="4"/>
  <c r="X7" i="4"/>
  <c r="E12" i="4"/>
  <c r="X2" i="4"/>
  <c r="X16" i="4" s="1"/>
  <c r="X19" i="4" s="1"/>
  <c r="E30" i="4"/>
  <c r="Y7" i="4" l="1"/>
  <c r="Y6" i="4"/>
  <c r="Y5" i="4"/>
  <c r="Y4" i="4"/>
  <c r="E56" i="4"/>
  <c r="F43" i="4" s="1"/>
  <c r="Y2" i="4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E31" i="4"/>
  <c r="E32" i="4" s="1"/>
  <c r="Z7" i="4" l="1"/>
  <c r="Z6" i="4"/>
  <c r="Z5" i="4"/>
  <c r="Z4" i="4"/>
  <c r="E57" i="4"/>
  <c r="F44" i="4" s="1"/>
  <c r="E58" i="4"/>
  <c r="F45" i="4" s="1"/>
  <c r="E33" i="4"/>
  <c r="AA5" i="4" l="1"/>
  <c r="AA7" i="4"/>
  <c r="AA6" i="4"/>
  <c r="AA4" i="4"/>
  <c r="E59" i="4"/>
  <c r="F46" i="4" s="1"/>
  <c r="E34" i="4"/>
  <c r="AB6" i="4" l="1"/>
  <c r="AB5" i="4"/>
  <c r="AB4" i="4"/>
  <c r="AB7" i="4"/>
  <c r="E60" i="4"/>
  <c r="F47" i="4" s="1"/>
  <c r="E35" i="4"/>
  <c r="AC4" i="4" l="1"/>
  <c r="AC6" i="4"/>
  <c r="AC5" i="4"/>
  <c r="AC7" i="4"/>
  <c r="E61" i="4"/>
  <c r="F48" i="4" s="1"/>
  <c r="E36" i="4"/>
  <c r="AD5" i="4" l="1"/>
  <c r="AD4" i="4"/>
  <c r="AD7" i="4"/>
  <c r="AD6" i="4"/>
  <c r="E62" i="4"/>
  <c r="F49" i="4" s="1"/>
  <c r="E37" i="4"/>
  <c r="AE6" i="4" l="1"/>
  <c r="AE5" i="4"/>
  <c r="AE4" i="4"/>
  <c r="AE7" i="4"/>
  <c r="E63" i="4"/>
  <c r="F50" i="4" s="1"/>
  <c r="E38" i="4"/>
  <c r="AF7" i="4" l="1"/>
  <c r="AF6" i="4"/>
  <c r="AF5" i="4"/>
  <c r="AF4" i="4"/>
  <c r="E64" i="4"/>
  <c r="F51" i="4" s="1"/>
  <c r="E39" i="4"/>
  <c r="AG7" i="4" l="1"/>
  <c r="AG6" i="4"/>
  <c r="AG5" i="4"/>
  <c r="AG4" i="4"/>
  <c r="E65" i="4"/>
  <c r="F52" i="4" s="1"/>
  <c r="AH7" i="4" l="1"/>
  <c r="AH4" i="4"/>
  <c r="AH6" i="4"/>
  <c r="AH5" i="4"/>
  <c r="F13" i="4"/>
  <c r="E14" i="4"/>
  <c r="E15" i="4"/>
  <c r="E22" i="4"/>
  <c r="AI4" i="4" l="1"/>
  <c r="AI7" i="4"/>
  <c r="AI6" i="4"/>
  <c r="AI5" i="4"/>
  <c r="E17" i="4"/>
  <c r="E18" i="4" s="1"/>
  <c r="E20" i="4"/>
  <c r="E24" i="4"/>
  <c r="E23" i="4"/>
  <c r="E25" i="4"/>
  <c r="AJ5" i="4" l="1"/>
  <c r="AJ4" i="4"/>
  <c r="AJ7" i="4"/>
  <c r="AJ6" i="4"/>
  <c r="E21" i="4"/>
  <c r="F8" i="4"/>
  <c r="F11" i="4" s="1"/>
  <c r="Y16" i="4"/>
  <c r="Y19" i="4" s="1"/>
  <c r="AK4" i="4" l="1"/>
  <c r="AK7" i="4"/>
  <c r="AK5" i="4"/>
  <c r="AK6" i="4"/>
  <c r="F9" i="4"/>
  <c r="F10" i="4" s="1"/>
  <c r="F12" i="4" s="1"/>
  <c r="AL5" i="4" l="1"/>
  <c r="AL4" i="4"/>
  <c r="AL6" i="4"/>
  <c r="AL7" i="4"/>
  <c r="F30" i="4"/>
  <c r="F56" i="4" s="1"/>
  <c r="G43" i="4" s="1"/>
  <c r="AM6" i="4" l="1"/>
  <c r="AM5" i="4"/>
  <c r="AM4" i="4"/>
  <c r="AM7" i="4"/>
  <c r="F31" i="4"/>
  <c r="F32" i="4" s="1"/>
  <c r="F33" i="4" s="1"/>
  <c r="AN6" i="4" l="1"/>
  <c r="AN5" i="4"/>
  <c r="AN7" i="4"/>
  <c r="AN4" i="4"/>
  <c r="F57" i="4"/>
  <c r="G44" i="4" s="1"/>
  <c r="F59" i="4"/>
  <c r="G46" i="4" s="1"/>
  <c r="F58" i="4"/>
  <c r="G45" i="4" s="1"/>
  <c r="F34" i="4"/>
  <c r="F60" i="4" s="1"/>
  <c r="G47" i="4" s="1"/>
  <c r="AO7" i="4" l="1"/>
  <c r="AO6" i="4"/>
  <c r="AO5" i="4"/>
  <c r="AO4" i="4"/>
  <c r="F35" i="4"/>
  <c r="AP7" i="4" l="1"/>
  <c r="AP6" i="4"/>
  <c r="AP5" i="4"/>
  <c r="AP4" i="4"/>
  <c r="F36" i="4"/>
  <c r="F62" i="4" s="1"/>
  <c r="G49" i="4" s="1"/>
  <c r="F61" i="4"/>
  <c r="G48" i="4" s="1"/>
  <c r="AQ7" i="4" l="1"/>
  <c r="AQ6" i="4"/>
  <c r="AQ5" i="4"/>
  <c r="AQ4" i="4"/>
  <c r="F37" i="4"/>
  <c r="F63" i="4" s="1"/>
  <c r="G50" i="4" s="1"/>
  <c r="F38" i="4" l="1"/>
  <c r="F64" i="4" s="1"/>
  <c r="G51" i="4" s="1"/>
  <c r="F39" i="4" l="1"/>
  <c r="F65" i="4" s="1"/>
  <c r="G52" i="4" s="1"/>
  <c r="F15" i="4" l="1"/>
  <c r="F22" i="4"/>
  <c r="F14" i="4"/>
  <c r="F17" i="4" l="1"/>
  <c r="F20" i="4"/>
  <c r="G13" i="4"/>
  <c r="F23" i="4"/>
  <c r="F24" i="4"/>
  <c r="F25" i="4"/>
  <c r="Z16" i="4" l="1"/>
  <c r="Z19" i="4" s="1"/>
  <c r="F18" i="4"/>
  <c r="F21" i="4" s="1"/>
  <c r="G8" i="4"/>
  <c r="G9" i="4" s="1"/>
  <c r="G10" i="4" s="1"/>
  <c r="G30" i="4" l="1"/>
  <c r="G56" i="4" s="1"/>
  <c r="H43" i="4" s="1"/>
  <c r="G11" i="4"/>
  <c r="G12" i="4" s="1"/>
  <c r="G31" i="4" l="1"/>
  <c r="G57" i="4" s="1"/>
  <c r="H44" i="4" s="1"/>
  <c r="G32" i="4" l="1"/>
  <c r="G33" i="4" s="1"/>
  <c r="G59" i="4" s="1"/>
  <c r="H46" i="4" s="1"/>
  <c r="G58" i="4" l="1"/>
  <c r="H45" i="4" s="1"/>
  <c r="G34" i="4"/>
  <c r="G60" i="4" s="1"/>
  <c r="H47" i="4" s="1"/>
  <c r="G35" i="4" l="1"/>
  <c r="G61" i="4" s="1"/>
  <c r="H48" i="4" s="1"/>
  <c r="G36" i="4" l="1"/>
  <c r="G62" i="4" s="1"/>
  <c r="H49" i="4" s="1"/>
  <c r="G37" i="4" l="1"/>
  <c r="G63" i="4" s="1"/>
  <c r="H50" i="4" s="1"/>
  <c r="G38" i="4" l="1"/>
  <c r="G39" i="4" s="1"/>
  <c r="G65" i="4" s="1"/>
  <c r="H52" i="4" s="1"/>
  <c r="G64" i="4" l="1"/>
  <c r="H51" i="4" s="1"/>
  <c r="H13" i="4" s="1"/>
  <c r="G22" i="4"/>
  <c r="G14" i="4" l="1"/>
  <c r="G15" i="4"/>
  <c r="G17" i="4" s="1"/>
  <c r="H8" i="4" s="1"/>
  <c r="H11" i="4" s="1"/>
  <c r="G23" i="4"/>
  <c r="G24" i="4"/>
  <c r="G25" i="4"/>
  <c r="G20" i="4" l="1"/>
  <c r="AA16" i="4"/>
  <c r="AA19" i="4" s="1"/>
  <c r="G18" i="4"/>
  <c r="H9" i="4"/>
  <c r="H10" i="4" s="1"/>
  <c r="H12" i="4" s="1"/>
  <c r="G21" i="4" l="1"/>
  <c r="H30" i="4"/>
  <c r="H31" i="4" s="1"/>
  <c r="H57" i="4" s="1"/>
  <c r="I44" i="4" s="1"/>
  <c r="H56" i="4" l="1"/>
  <c r="I43" i="4" s="1"/>
  <c r="H32" i="4"/>
  <c r="H58" i="4" s="1"/>
  <c r="I45" i="4" s="1"/>
  <c r="H33" i="4" l="1"/>
  <c r="H59" i="4" s="1"/>
  <c r="I46" i="4" s="1"/>
  <c r="H34" i="4" l="1"/>
  <c r="H35" i="4" s="1"/>
  <c r="H61" i="4" s="1"/>
  <c r="I48" i="4" s="1"/>
  <c r="H36" i="4" l="1"/>
  <c r="H62" i="4" s="1"/>
  <c r="I49" i="4" s="1"/>
  <c r="H60" i="4"/>
  <c r="I47" i="4" s="1"/>
  <c r="H37" i="4" l="1"/>
  <c r="H63" i="4" s="1"/>
  <c r="I50" i="4" s="1"/>
  <c r="H38" i="4" l="1"/>
  <c r="H64" i="4" s="1"/>
  <c r="I51" i="4" s="1"/>
  <c r="H39" i="4" l="1"/>
  <c r="H65" i="4" s="1"/>
  <c r="I52" i="4" s="1"/>
  <c r="H22" i="4" l="1"/>
  <c r="H25" i="4" s="1"/>
  <c r="H15" i="4"/>
  <c r="H14" i="4"/>
  <c r="H17" i="4" l="1"/>
  <c r="H18" i="4" s="1"/>
  <c r="H20" i="4"/>
  <c r="I13" i="4"/>
  <c r="H24" i="4"/>
  <c r="H23" i="4"/>
  <c r="AB16" i="4" l="1"/>
  <c r="AB19" i="4" s="1"/>
  <c r="I8" i="4"/>
  <c r="I11" i="4" s="1"/>
  <c r="H21" i="4"/>
  <c r="I9" i="4" l="1"/>
  <c r="I10" i="4" s="1"/>
  <c r="I12" i="4" s="1"/>
  <c r="I30" i="4" l="1"/>
  <c r="I56" i="4" s="1"/>
  <c r="J43" i="4" s="1"/>
  <c r="I31" i="4" l="1"/>
  <c r="I57" i="4" s="1"/>
  <c r="J44" i="4" s="1"/>
  <c r="I32" i="4" l="1"/>
  <c r="I33" i="4" s="1"/>
  <c r="I34" i="4" s="1"/>
  <c r="I60" i="4" s="1"/>
  <c r="J47" i="4" s="1"/>
  <c r="I35" i="4" l="1"/>
  <c r="I61" i="4" s="1"/>
  <c r="J48" i="4" s="1"/>
  <c r="I58" i="4"/>
  <c r="J45" i="4" s="1"/>
  <c r="I59" i="4"/>
  <c r="J46" i="4" s="1"/>
  <c r="I36" i="4" l="1"/>
  <c r="I62" i="4" s="1"/>
  <c r="J49" i="4" s="1"/>
  <c r="I37" i="4" l="1"/>
  <c r="I63" i="4" s="1"/>
  <c r="J50" i="4" s="1"/>
  <c r="I38" i="4" l="1"/>
  <c r="I39" i="4" s="1"/>
  <c r="I65" i="4" s="1"/>
  <c r="J52" i="4" s="1"/>
  <c r="I64" i="4" l="1"/>
  <c r="J51" i="4" s="1"/>
  <c r="J13" i="4" s="1"/>
  <c r="I22" i="4"/>
  <c r="I14" i="4" l="1"/>
  <c r="I15" i="4"/>
  <c r="I17" i="4" s="1"/>
  <c r="I18" i="4" s="1"/>
  <c r="I23" i="4"/>
  <c r="I24" i="4"/>
  <c r="I25" i="4"/>
  <c r="I20" i="4" l="1"/>
  <c r="I21" i="4" s="1"/>
  <c r="AC16" i="4"/>
  <c r="AC19" i="4" s="1"/>
  <c r="J8" i="4"/>
  <c r="J9" i="4" s="1"/>
  <c r="J10" i="4" s="1"/>
  <c r="J30" i="4" l="1"/>
  <c r="J31" i="4" s="1"/>
  <c r="J57" i="4" s="1"/>
  <c r="K44" i="4" s="1"/>
  <c r="J11" i="4"/>
  <c r="J12" i="4" s="1"/>
  <c r="J32" i="4" l="1"/>
  <c r="J58" i="4" s="1"/>
  <c r="K45" i="4" s="1"/>
  <c r="J56" i="4"/>
  <c r="K43" i="4" s="1"/>
  <c r="J33" i="4" l="1"/>
  <c r="J59" i="4" s="1"/>
  <c r="K46" i="4" s="1"/>
  <c r="J34" i="4" l="1"/>
  <c r="J60" i="4" s="1"/>
  <c r="K47" i="4" s="1"/>
  <c r="J35" i="4" l="1"/>
  <c r="J36" i="4" s="1"/>
  <c r="J62" i="4" s="1"/>
  <c r="K49" i="4" s="1"/>
  <c r="J37" i="4" l="1"/>
  <c r="J63" i="4" s="1"/>
  <c r="K50" i="4" s="1"/>
  <c r="J61" i="4"/>
  <c r="K48" i="4" s="1"/>
  <c r="J38" i="4" l="1"/>
  <c r="J39" i="4" s="1"/>
  <c r="J65" i="4" s="1"/>
  <c r="K52" i="4" s="1"/>
  <c r="J64" i="4" l="1"/>
  <c r="K51" i="4" s="1"/>
  <c r="J15" i="4" l="1"/>
  <c r="J17" i="4" s="1"/>
  <c r="J18" i="4" s="1"/>
  <c r="J14" i="4"/>
  <c r="K13" i="4"/>
  <c r="J22" i="4"/>
  <c r="J20" i="4" l="1"/>
  <c r="J21" i="4" s="1"/>
  <c r="K8" i="4"/>
  <c r="K11" i="4" s="1"/>
  <c r="AD16" i="4"/>
  <c r="AD19" i="4" s="1"/>
  <c r="J25" i="4"/>
  <c r="J24" i="4"/>
  <c r="J23" i="4"/>
  <c r="K9" i="4"/>
  <c r="K10" i="4" s="1"/>
  <c r="K30" i="4" l="1"/>
  <c r="K31" i="4" s="1"/>
  <c r="K57" i="4" s="1"/>
  <c r="L44" i="4" s="1"/>
  <c r="K12" i="4"/>
  <c r="K56" i="4" l="1"/>
  <c r="L43" i="4" s="1"/>
  <c r="K32" i="4"/>
  <c r="K58" i="4" l="1"/>
  <c r="L45" i="4" s="1"/>
  <c r="K33" i="4"/>
  <c r="K59" i="4" s="1"/>
  <c r="L46" i="4" s="1"/>
  <c r="K34" i="4" l="1"/>
  <c r="K60" i="4" l="1"/>
  <c r="L47" i="4" s="1"/>
  <c r="K35" i="4"/>
  <c r="K61" i="4" s="1"/>
  <c r="L48" i="4" s="1"/>
  <c r="K36" i="4" l="1"/>
  <c r="K62" i="4" l="1"/>
  <c r="L49" i="4" s="1"/>
  <c r="K37" i="4"/>
  <c r="K63" i="4" s="1"/>
  <c r="L50" i="4" s="1"/>
  <c r="K38" i="4" l="1"/>
  <c r="K39" i="4" s="1"/>
  <c r="K65" i="4" s="1"/>
  <c r="L52" i="4" s="1"/>
  <c r="K64" i="4" l="1"/>
  <c r="L51" i="4" s="1"/>
  <c r="K22" i="4" l="1"/>
  <c r="L13" i="4"/>
  <c r="K14" i="4"/>
  <c r="K15" i="4"/>
  <c r="K17" i="4" l="1"/>
  <c r="K18" i="4" s="1"/>
  <c r="K20" i="4"/>
  <c r="K23" i="4"/>
  <c r="K25" i="4"/>
  <c r="K24" i="4"/>
  <c r="AE16" i="4" l="1"/>
  <c r="AE19" i="4" s="1"/>
  <c r="L8" i="4"/>
  <c r="L9" i="4" s="1"/>
  <c r="K21" i="4"/>
  <c r="L11" i="4" l="1"/>
  <c r="L10" i="4"/>
  <c r="L30" i="4"/>
  <c r="L12" i="4" l="1"/>
  <c r="L31" i="4"/>
  <c r="L57" i="4" s="1"/>
  <c r="M44" i="4" s="1"/>
  <c r="L56" i="4"/>
  <c r="M43" i="4" s="1"/>
  <c r="L32" i="4" l="1"/>
  <c r="L33" i="4" l="1"/>
  <c r="L34" i="4" s="1"/>
  <c r="L60" i="4" s="1"/>
  <c r="M47" i="4" s="1"/>
  <c r="L58" i="4"/>
  <c r="M45" i="4" s="1"/>
  <c r="L59" i="4" l="1"/>
  <c r="M46" i="4" s="1"/>
  <c r="L35" i="4"/>
  <c r="L61" i="4" s="1"/>
  <c r="M48" i="4" s="1"/>
  <c r="L36" i="4" l="1"/>
  <c r="L37" i="4" l="1"/>
  <c r="L63" i="4" s="1"/>
  <c r="M50" i="4" s="1"/>
  <c r="L62" i="4"/>
  <c r="M49" i="4" s="1"/>
  <c r="L38" i="4" l="1"/>
  <c r="L64" i="4" l="1"/>
  <c r="M51" i="4" s="1"/>
  <c r="L39" i="4"/>
  <c r="L65" i="4" s="1"/>
  <c r="M52" i="4" s="1"/>
  <c r="L22" i="4" l="1"/>
  <c r="L25" i="4" s="1"/>
  <c r="M13" i="4"/>
  <c r="L15" i="4"/>
  <c r="L14" i="4"/>
  <c r="L17" i="4" l="1"/>
  <c r="L18" i="4" s="1"/>
  <c r="L20" i="4"/>
  <c r="L23" i="4"/>
  <c r="L24" i="4"/>
  <c r="AF16" i="4" l="1"/>
  <c r="AF19" i="4" s="1"/>
  <c r="L21" i="4"/>
  <c r="M8" i="4"/>
  <c r="M9" i="4" s="1"/>
  <c r="M11" i="4" l="1"/>
  <c r="M10" i="4"/>
  <c r="M30" i="4"/>
  <c r="M31" i="4" s="1"/>
  <c r="M57" i="4" s="1"/>
  <c r="N44" i="4" s="1"/>
  <c r="M12" i="4" l="1"/>
  <c r="M32" i="4"/>
  <c r="M58" i="4" s="1"/>
  <c r="N45" i="4" s="1"/>
  <c r="M56" i="4"/>
  <c r="N43" i="4" s="1"/>
  <c r="M33" i="4" l="1"/>
  <c r="M34" i="4" s="1"/>
  <c r="M60" i="4" s="1"/>
  <c r="N47" i="4" s="1"/>
  <c r="M35" i="4" l="1"/>
  <c r="M59" i="4"/>
  <c r="N46" i="4" s="1"/>
  <c r="M61" i="4" l="1"/>
  <c r="N48" i="4" s="1"/>
  <c r="M36" i="4"/>
  <c r="M62" i="4" l="1"/>
  <c r="N49" i="4" s="1"/>
  <c r="M37" i="4"/>
  <c r="M38" i="4" l="1"/>
  <c r="M64" i="4" s="1"/>
  <c r="N51" i="4" s="1"/>
  <c r="M63" i="4"/>
  <c r="N50" i="4" s="1"/>
  <c r="M39" i="4" l="1"/>
  <c r="M65" i="4" s="1"/>
  <c r="N52" i="4" s="1"/>
  <c r="N13" i="4" l="1"/>
  <c r="M14" i="4"/>
  <c r="M15" i="4"/>
  <c r="M22" i="4"/>
  <c r="M17" i="4" l="1"/>
  <c r="M18" i="4" s="1"/>
  <c r="M20" i="4"/>
  <c r="M23" i="4"/>
  <c r="M24" i="4"/>
  <c r="M25" i="4"/>
  <c r="AG16" i="4" l="1"/>
  <c r="AG19" i="4" s="1"/>
  <c r="N8" i="4"/>
  <c r="N11" i="4" s="1"/>
  <c r="M21" i="4"/>
  <c r="N9" i="4" l="1"/>
  <c r="N10" i="4" s="1"/>
  <c r="N12" i="4" s="1"/>
  <c r="N30" i="4" l="1"/>
  <c r="N31" i="4" s="1"/>
  <c r="N57" i="4" s="1"/>
  <c r="O44" i="4" s="1"/>
  <c r="N56" i="4" l="1"/>
  <c r="O43" i="4" s="1"/>
  <c r="N32" i="4"/>
  <c r="N58" i="4" s="1"/>
  <c r="O45" i="4" s="1"/>
  <c r="N33" i="4" l="1"/>
  <c r="N34" i="4" s="1"/>
  <c r="N60" i="4" s="1"/>
  <c r="O47" i="4" s="1"/>
  <c r="N35" i="4" l="1"/>
  <c r="N61" i="4" s="1"/>
  <c r="O48" i="4" s="1"/>
  <c r="N59" i="4"/>
  <c r="O46" i="4" s="1"/>
  <c r="N36" i="4" l="1"/>
  <c r="N37" i="4" s="1"/>
  <c r="N63" i="4" s="1"/>
  <c r="O50" i="4" s="1"/>
  <c r="N62" i="4" l="1"/>
  <c r="O49" i="4" s="1"/>
  <c r="N38" i="4"/>
  <c r="N64" i="4" s="1"/>
  <c r="O51" i="4" s="1"/>
  <c r="N39" i="4" l="1"/>
  <c r="N65" i="4" s="1"/>
  <c r="O52" i="4" s="1"/>
  <c r="N22" i="4" l="1"/>
  <c r="N23" i="4" s="1"/>
  <c r="N15" i="4"/>
  <c r="N20" i="4" s="1"/>
  <c r="N14" i="4"/>
  <c r="O13" i="4"/>
  <c r="N24" i="4" l="1"/>
  <c r="N25" i="4"/>
  <c r="N17" i="4"/>
  <c r="O8" i="4" s="1"/>
  <c r="O9" i="4" s="1"/>
  <c r="O10" i="4" s="1"/>
  <c r="AH16" i="4" l="1"/>
  <c r="AH19" i="4" s="1"/>
  <c r="O11" i="4"/>
  <c r="O12" i="4" s="1"/>
  <c r="O30" i="4"/>
  <c r="O31" i="4" s="1"/>
  <c r="O57" i="4" s="1"/>
  <c r="P44" i="4" s="1"/>
  <c r="N18" i="4"/>
  <c r="N21" i="4" s="1"/>
  <c r="O56" i="4" l="1"/>
  <c r="P43" i="4" s="1"/>
  <c r="O32" i="4"/>
  <c r="O58" i="4" s="1"/>
  <c r="P45" i="4" s="1"/>
  <c r="O33" i="4" l="1"/>
  <c r="O59" i="4" s="1"/>
  <c r="P46" i="4" s="1"/>
  <c r="O34" i="4" l="1"/>
  <c r="O35" i="4" s="1"/>
  <c r="O36" i="4" s="1"/>
  <c r="O62" i="4" s="1"/>
  <c r="P49" i="4" s="1"/>
  <c r="O61" i="4" l="1"/>
  <c r="P48" i="4" s="1"/>
  <c r="O60" i="4"/>
  <c r="P47" i="4" s="1"/>
  <c r="O37" i="4"/>
  <c r="O63" i="4" s="1"/>
  <c r="P50" i="4" s="1"/>
  <c r="O38" i="4" l="1"/>
  <c r="O64" i="4" s="1"/>
  <c r="P51" i="4" s="1"/>
  <c r="O39" i="4" l="1"/>
  <c r="O65" i="4" s="1"/>
  <c r="P52" i="4" s="1"/>
  <c r="P13" i="4" l="1"/>
  <c r="O14" i="4"/>
  <c r="O15" i="4"/>
  <c r="O17" i="4" l="1"/>
  <c r="O18" i="4" s="1"/>
  <c r="O20" i="4"/>
  <c r="O22" i="4"/>
  <c r="P8" i="4" l="1"/>
  <c r="P9" i="4" s="1"/>
  <c r="P10" i="4" s="1"/>
  <c r="AI16" i="4"/>
  <c r="AI19" i="4" s="1"/>
  <c r="O21" i="4"/>
  <c r="O24" i="4"/>
  <c r="O25" i="4"/>
  <c r="O23" i="4"/>
  <c r="P11" i="4" l="1"/>
  <c r="P12" i="4" s="1"/>
  <c r="P30" i="4"/>
  <c r="P31" i="4" s="1"/>
  <c r="P57" i="4" s="1"/>
  <c r="Q44" i="4" s="1"/>
  <c r="P56" i="4" l="1"/>
  <c r="Q43" i="4" s="1"/>
  <c r="P32" i="4"/>
  <c r="P58" i="4" s="1"/>
  <c r="Q45" i="4" s="1"/>
  <c r="P33" i="4" l="1"/>
  <c r="P59" i="4" s="1"/>
  <c r="Q46" i="4" s="1"/>
  <c r="P34" i="4" l="1"/>
  <c r="P35" i="4" s="1"/>
  <c r="P60" i="4" l="1"/>
  <c r="Q47" i="4" s="1"/>
  <c r="P61" i="4"/>
  <c r="Q48" i="4" s="1"/>
  <c r="P36" i="4"/>
  <c r="P62" i="4" s="1"/>
  <c r="Q49" i="4" s="1"/>
  <c r="P37" i="4" l="1"/>
  <c r="P63" i="4" s="1"/>
  <c r="Q50" i="4" s="1"/>
  <c r="P38" i="4" l="1"/>
  <c r="P39" i="4" l="1"/>
  <c r="P64" i="4"/>
  <c r="Q51" i="4" s="1"/>
  <c r="P65" i="4" l="1"/>
  <c r="Q52" i="4" s="1"/>
  <c r="P22" i="4" l="1"/>
  <c r="Q13" i="4"/>
  <c r="P15" i="4"/>
  <c r="P14" i="4"/>
  <c r="P17" i="4" l="1"/>
  <c r="P18" i="4" s="1"/>
  <c r="P20" i="4"/>
  <c r="P23" i="4"/>
  <c r="P25" i="4"/>
  <c r="P24" i="4"/>
  <c r="Q8" i="4" l="1"/>
  <c r="Q11" i="4" s="1"/>
  <c r="AJ16" i="4"/>
  <c r="AJ19" i="4" s="1"/>
  <c r="P21" i="4"/>
  <c r="Q9" i="4" l="1"/>
  <c r="Q10" i="4" s="1"/>
  <c r="Q12" i="4" s="1"/>
  <c r="Q30" i="4" l="1"/>
  <c r="Q56" i="4" s="1"/>
  <c r="R43" i="4" s="1"/>
  <c r="Q31" i="4" l="1"/>
  <c r="Q57" i="4" s="1"/>
  <c r="R44" i="4" s="1"/>
  <c r="Q32" i="4" l="1"/>
  <c r="Q58" i="4" s="1"/>
  <c r="R45" i="4" s="1"/>
  <c r="Q33" i="4" l="1"/>
  <c r="Q59" i="4" s="1"/>
  <c r="R46" i="4" s="1"/>
  <c r="Q34" i="4" l="1"/>
  <c r="Q35" i="4" s="1"/>
  <c r="Q61" i="4" s="1"/>
  <c r="R48" i="4" s="1"/>
  <c r="Q36" i="4" l="1"/>
  <c r="Q37" i="4" s="1"/>
  <c r="Q63" i="4" s="1"/>
  <c r="R50" i="4" s="1"/>
  <c r="Q60" i="4"/>
  <c r="R47" i="4" s="1"/>
  <c r="Q38" i="4" l="1"/>
  <c r="Q64" i="4" s="1"/>
  <c r="R51" i="4" s="1"/>
  <c r="Q62" i="4"/>
  <c r="R49" i="4" s="1"/>
  <c r="Q39" i="4" l="1"/>
  <c r="Q65" i="4" s="1"/>
  <c r="R52" i="4" s="1"/>
  <c r="Q22" i="4" l="1"/>
  <c r="R13" i="4"/>
  <c r="Q15" i="4"/>
  <c r="Q14" i="4"/>
  <c r="Q17" i="4" l="1"/>
  <c r="Q18" i="4" s="1"/>
  <c r="Q20" i="4"/>
  <c r="Q25" i="4"/>
  <c r="Q24" i="4"/>
  <c r="Q23" i="4"/>
  <c r="R8" i="4" l="1"/>
  <c r="AK16" i="4"/>
  <c r="AK19" i="4" s="1"/>
  <c r="Q21" i="4"/>
  <c r="R11" i="4"/>
  <c r="R9" i="4"/>
  <c r="R10" i="4" l="1"/>
  <c r="R12" i="4" s="1"/>
  <c r="R30" i="4"/>
  <c r="R31" i="4" l="1"/>
  <c r="R56" i="4"/>
  <c r="S43" i="4" s="1"/>
  <c r="R57" i="4" l="1"/>
  <c r="S44" i="4" s="1"/>
  <c r="R32" i="4"/>
  <c r="R33" i="4" l="1"/>
  <c r="R58" i="4"/>
  <c r="S45" i="4" s="1"/>
  <c r="R59" i="4" l="1"/>
  <c r="S46" i="4" s="1"/>
  <c r="R34" i="4"/>
  <c r="R35" i="4" l="1"/>
  <c r="R61" i="4" s="1"/>
  <c r="S48" i="4" s="1"/>
  <c r="R60" i="4"/>
  <c r="S47" i="4" s="1"/>
  <c r="R36" i="4" l="1"/>
  <c r="R62" i="4" s="1"/>
  <c r="S49" i="4" s="1"/>
  <c r="R37" i="4" l="1"/>
  <c r="R38" i="4" l="1"/>
  <c r="R64" i="4" s="1"/>
  <c r="S51" i="4" s="1"/>
  <c r="R63" i="4"/>
  <c r="S50" i="4" s="1"/>
  <c r="R39" i="4" l="1"/>
  <c r="R65" i="4" s="1"/>
  <c r="S52" i="4" s="1"/>
  <c r="R14" i="4" l="1"/>
  <c r="R15" i="4"/>
  <c r="S13" i="4"/>
  <c r="R22" i="4"/>
  <c r="R17" i="4" l="1"/>
  <c r="S8" i="4" s="1"/>
  <c r="S11" i="4" s="1"/>
  <c r="R20" i="4"/>
  <c r="R23" i="4"/>
  <c r="R25" i="4"/>
  <c r="R24" i="4"/>
  <c r="AL16" i="4" l="1"/>
  <c r="AL19" i="4" s="1"/>
  <c r="R18" i="4"/>
  <c r="R21" i="4" s="1"/>
  <c r="S9" i="4"/>
  <c r="S30" i="4" s="1"/>
  <c r="S31" i="4" s="1"/>
  <c r="S57" i="4" s="1"/>
  <c r="T44" i="4" s="1"/>
  <c r="S10" i="4" l="1"/>
  <c r="S12" i="4" s="1"/>
  <c r="S56" i="4"/>
  <c r="T43" i="4" s="1"/>
  <c r="S32" i="4"/>
  <c r="S33" i="4" l="1"/>
  <c r="S34" i="4" s="1"/>
  <c r="S58" i="4"/>
  <c r="T45" i="4" s="1"/>
  <c r="S60" i="4" l="1"/>
  <c r="T47" i="4" s="1"/>
  <c r="S59" i="4"/>
  <c r="T46" i="4" s="1"/>
  <c r="S35" i="4"/>
  <c r="S61" i="4" s="1"/>
  <c r="T48" i="4" s="1"/>
  <c r="S36" i="4" l="1"/>
  <c r="S37" i="4" s="1"/>
  <c r="S63" i="4" s="1"/>
  <c r="T50" i="4" s="1"/>
  <c r="S62" i="4" l="1"/>
  <c r="T49" i="4" s="1"/>
  <c r="S38" i="4"/>
  <c r="S64" i="4" l="1"/>
  <c r="T51" i="4" s="1"/>
  <c r="S39" i="4"/>
  <c r="S65" i="4" s="1"/>
  <c r="T52" i="4" s="1"/>
  <c r="S15" i="4" l="1"/>
  <c r="T13" i="4"/>
  <c r="S22" i="4"/>
  <c r="S14" i="4"/>
  <c r="S17" i="4" l="1"/>
  <c r="S18" i="4" s="1"/>
  <c r="S20" i="4"/>
  <c r="S24" i="4"/>
  <c r="S23" i="4"/>
  <c r="S25" i="4"/>
  <c r="AM16" i="4" l="1"/>
  <c r="AM19" i="4" s="1"/>
  <c r="T8" i="4"/>
  <c r="T9" i="4" s="1"/>
  <c r="S21" i="4"/>
  <c r="T11" i="4" l="1"/>
  <c r="T10" i="4"/>
  <c r="T30" i="4"/>
  <c r="T12" i="4" l="1"/>
  <c r="T56" i="4"/>
  <c r="U43" i="4" s="1"/>
  <c r="T31" i="4"/>
  <c r="T57" i="4" s="1"/>
  <c r="U44" i="4" s="1"/>
  <c r="T32" i="4" l="1"/>
  <c r="T33" i="4" l="1"/>
  <c r="T58" i="4"/>
  <c r="U45" i="4" s="1"/>
  <c r="T59" i="4" l="1"/>
  <c r="U46" i="4" s="1"/>
  <c r="T34" i="4"/>
  <c r="T35" i="4" l="1"/>
  <c r="T60" i="4"/>
  <c r="U47" i="4" s="1"/>
  <c r="T61" i="4" l="1"/>
  <c r="U48" i="4" s="1"/>
  <c r="T36" i="4"/>
  <c r="T62" i="4" l="1"/>
  <c r="U49" i="4" s="1"/>
  <c r="T37" i="4"/>
  <c r="T63" i="4" l="1"/>
  <c r="U50" i="4" s="1"/>
  <c r="T38" i="4"/>
  <c r="T64" i="4" s="1"/>
  <c r="U51" i="4" s="1"/>
  <c r="T39" i="4" l="1"/>
  <c r="T65" i="4" s="1"/>
  <c r="U52" i="4" s="1"/>
  <c r="U13" i="4" l="1"/>
  <c r="T15" i="4"/>
  <c r="T14" i="4"/>
  <c r="T22" i="4"/>
  <c r="T17" i="4" l="1"/>
  <c r="T18" i="4" s="1"/>
  <c r="T20" i="4"/>
  <c r="T25" i="4"/>
  <c r="T23" i="4"/>
  <c r="T24" i="4"/>
  <c r="U8" i="4" l="1"/>
  <c r="U11" i="4" s="1"/>
  <c r="AN16" i="4"/>
  <c r="AN19" i="4" s="1"/>
  <c r="T21" i="4"/>
  <c r="U9" i="4" l="1"/>
  <c r="U30" i="4" s="1"/>
  <c r="U31" i="4" s="1"/>
  <c r="U57" i="4" s="1"/>
  <c r="V44" i="4" s="1"/>
  <c r="U10" i="4" l="1"/>
  <c r="U12" i="4" s="1"/>
  <c r="U56" i="4"/>
  <c r="V43" i="4" s="1"/>
  <c r="U32" i="4"/>
  <c r="U58" i="4" s="1"/>
  <c r="V45" i="4" s="1"/>
  <c r="U33" i="4" l="1"/>
  <c r="U34" i="4" s="1"/>
  <c r="U35" i="4" s="1"/>
  <c r="U61" i="4" s="1"/>
  <c r="V48" i="4" s="1"/>
  <c r="U59" i="4" l="1"/>
  <c r="V46" i="4" s="1"/>
  <c r="U60" i="4"/>
  <c r="V47" i="4" s="1"/>
  <c r="U36" i="4"/>
  <c r="U62" i="4" s="1"/>
  <c r="V49" i="4" s="1"/>
  <c r="U37" i="4" l="1"/>
  <c r="U63" i="4" s="1"/>
  <c r="V50" i="4" s="1"/>
  <c r="U38" i="4" l="1"/>
  <c r="U64" i="4" s="1"/>
  <c r="V51" i="4" s="1"/>
  <c r="U39" i="4" l="1"/>
  <c r="U65" i="4" l="1"/>
  <c r="V52" i="4" s="1"/>
  <c r="U22" i="4"/>
  <c r="U24" i="4" l="1"/>
  <c r="U25" i="4"/>
  <c r="U23" i="4"/>
  <c r="V13" i="4"/>
  <c r="U14" i="4"/>
  <c r="U15" i="4"/>
  <c r="U17" i="4" l="1"/>
  <c r="U18" i="4" s="1"/>
  <c r="U20" i="4"/>
  <c r="U21" i="4" l="1"/>
  <c r="V8" i="4"/>
  <c r="V9" i="4" s="1"/>
  <c r="AO16" i="4"/>
  <c r="AO19" i="4" s="1"/>
  <c r="V11" i="4" l="1"/>
  <c r="V10" i="4"/>
  <c r="V30" i="4"/>
  <c r="V31" i="4" s="1"/>
  <c r="V57" i="4" s="1"/>
  <c r="W44" i="4" s="1"/>
  <c r="V12" i="4" l="1"/>
  <c r="V56" i="4"/>
  <c r="W43" i="4" s="1"/>
  <c r="V32" i="4"/>
  <c r="V58" i="4" l="1"/>
  <c r="W45" i="4" s="1"/>
  <c r="V33" i="4"/>
  <c r="V34" i="4" l="1"/>
  <c r="V60" i="4" s="1"/>
  <c r="W47" i="4" s="1"/>
  <c r="V59" i="4"/>
  <c r="W46" i="4" s="1"/>
  <c r="V35" i="4" l="1"/>
  <c r="V61" i="4" l="1"/>
  <c r="W48" i="4" s="1"/>
  <c r="V36" i="4"/>
  <c r="V37" i="4" l="1"/>
  <c r="V63" i="4" s="1"/>
  <c r="W50" i="4" s="1"/>
  <c r="V62" i="4"/>
  <c r="W49" i="4" s="1"/>
  <c r="V38" i="4" l="1"/>
  <c r="V64" i="4" l="1"/>
  <c r="W51" i="4" s="1"/>
  <c r="V39" i="4"/>
  <c r="V65" i="4" l="1"/>
  <c r="W52" i="4" s="1"/>
  <c r="V22" i="4"/>
  <c r="V15" i="4" l="1"/>
  <c r="V14" i="4"/>
  <c r="V24" i="4"/>
  <c r="V25" i="4"/>
  <c r="V23" i="4"/>
  <c r="V17" i="4" l="1"/>
  <c r="W8" i="4" s="1"/>
  <c r="W11" i="4" s="1"/>
  <c r="V20" i="4"/>
  <c r="AP16" i="4" l="1"/>
  <c r="AP19" i="4" s="1"/>
  <c r="V18" i="4"/>
  <c r="V21" i="4" s="1"/>
  <c r="W9" i="4"/>
  <c r="W30" i="4" s="1"/>
  <c r="W56" i="4" s="1"/>
  <c r="X43" i="4" s="1"/>
  <c r="W10" i="4" l="1"/>
  <c r="W12" i="4" s="1"/>
  <c r="W31" i="4"/>
  <c r="W57" i="4" s="1"/>
  <c r="X44" i="4" s="1"/>
  <c r="W32" i="4" l="1"/>
  <c r="W58" i="4" s="1"/>
  <c r="X45" i="4" s="1"/>
  <c r="W33" i="4" l="1"/>
  <c r="W34" i="4" s="1"/>
  <c r="W60" i="4" l="1"/>
  <c r="X47" i="4" s="1"/>
  <c r="W35" i="4"/>
  <c r="W36" i="4" s="1"/>
  <c r="W61" i="4" l="1"/>
  <c r="X48" i="4" s="1"/>
  <c r="W62" i="4"/>
  <c r="X49" i="4" s="1"/>
  <c r="W37" i="4"/>
  <c r="W63" i="4" l="1"/>
  <c r="X50" i="4" s="1"/>
  <c r="W38" i="4"/>
  <c r="W64" i="4" s="1"/>
  <c r="X51" i="4" s="1"/>
  <c r="W39" i="4" l="1"/>
  <c r="W65" i="4" l="1"/>
  <c r="X52" i="4" s="1"/>
  <c r="W22" i="4"/>
  <c r="W24" i="4" l="1"/>
  <c r="W25" i="4"/>
  <c r="W23" i="4"/>
  <c r="W13" i="4" l="1"/>
  <c r="W59" i="4"/>
  <c r="X46" i="4" s="1"/>
  <c r="W15" i="4" l="1"/>
  <c r="W14" i="4"/>
  <c r="X13" i="4"/>
  <c r="W17" i="4" l="1"/>
  <c r="AQ16" i="4" s="1"/>
  <c r="AQ19" i="4" s="1"/>
  <c r="W20" i="4"/>
  <c r="X8" i="4" l="1"/>
  <c r="W18" i="4"/>
  <c r="W21" i="4" s="1"/>
  <c r="X9" i="4" l="1"/>
  <c r="X11" i="4"/>
  <c r="X10" i="4" l="1"/>
  <c r="X12" i="4" s="1"/>
  <c r="X30" i="4"/>
  <c r="X31" i="4" l="1"/>
  <c r="X32" i="4" s="1"/>
  <c r="X58" i="4" s="1"/>
  <c r="Y45" i="4" s="1"/>
  <c r="X56" i="4"/>
  <c r="Y43" i="4" s="1"/>
  <c r="X57" i="4" l="1"/>
  <c r="Y44" i="4" s="1"/>
  <c r="X33" i="4"/>
  <c r="X59" i="4" l="1"/>
  <c r="Y46" i="4" s="1"/>
  <c r="X34" i="4"/>
  <c r="X35" i="4" l="1"/>
  <c r="X36" i="4" s="1"/>
  <c r="X62" i="4" s="1"/>
  <c r="Y49" i="4" s="1"/>
  <c r="X60" i="4"/>
  <c r="Y47" i="4" s="1"/>
  <c r="X61" i="4" l="1"/>
  <c r="Y48" i="4" s="1"/>
  <c r="X37" i="4"/>
  <c r="X63" i="4" l="1"/>
  <c r="Y50" i="4" s="1"/>
  <c r="X38" i="4"/>
  <c r="X64" i="4" l="1"/>
  <c r="X39" i="4"/>
  <c r="X65" i="4" l="1"/>
  <c r="Y52" i="4" s="1"/>
  <c r="X22" i="4"/>
  <c r="Y51" i="4"/>
  <c r="X15" i="4" l="1"/>
  <c r="X17" i="4" s="1"/>
  <c r="X14" i="4"/>
  <c r="Y13" i="4"/>
  <c r="X24" i="4"/>
  <c r="X23" i="4"/>
  <c r="X25" i="4"/>
  <c r="X20" i="4" l="1"/>
  <c r="X18" i="4"/>
  <c r="X21" i="4" s="1"/>
  <c r="Y8" i="4"/>
  <c r="Y9" i="4" l="1"/>
  <c r="Y11" i="4"/>
  <c r="Y10" i="4" l="1"/>
  <c r="Y12" i="4" s="1"/>
  <c r="Y30" i="4"/>
  <c r="Y31" i="4" l="1"/>
  <c r="Y56" i="4"/>
  <c r="Z43" i="4" s="1"/>
  <c r="Y57" i="4" l="1"/>
  <c r="Z44" i="4" s="1"/>
  <c r="Y32" i="4"/>
  <c r="Y58" i="4" l="1"/>
  <c r="Z45" i="4" s="1"/>
  <c r="Y33" i="4"/>
  <c r="Y59" i="4" l="1"/>
  <c r="Z46" i="4" s="1"/>
  <c r="Y34" i="4"/>
  <c r="Y60" i="4" l="1"/>
  <c r="Z47" i="4" s="1"/>
  <c r="Y35" i="4"/>
  <c r="Y61" i="4" s="1"/>
  <c r="Z48" i="4" s="1"/>
  <c r="Y36" i="4" l="1"/>
  <c r="Y62" i="4" l="1"/>
  <c r="Y37" i="4"/>
  <c r="Y63" i="4" s="1"/>
  <c r="Z50" i="4" s="1"/>
  <c r="Y38" i="4" l="1"/>
  <c r="Y64" i="4" s="1"/>
  <c r="Z51" i="4" s="1"/>
  <c r="Z49" i="4"/>
  <c r="Y39" i="4" l="1"/>
  <c r="Y65" i="4" s="1"/>
  <c r="Z52" i="4" s="1"/>
  <c r="Z13" i="4" s="1"/>
  <c r="Y15" i="4" l="1"/>
  <c r="Y20" i="4" s="1"/>
  <c r="Y14" i="4"/>
  <c r="Y22" i="4"/>
  <c r="Y23" i="4" s="1"/>
  <c r="Y17" i="4" l="1"/>
  <c r="Y18" i="4" s="1"/>
  <c r="Y21" i="4" s="1"/>
  <c r="Y24" i="4"/>
  <c r="Y25" i="4"/>
  <c r="Z8" i="4" l="1"/>
  <c r="Z11" i="4" s="1"/>
  <c r="Z9" i="4" l="1"/>
  <c r="Z10" i="4" s="1"/>
  <c r="Z12" i="4" s="1"/>
  <c r="Z30" i="4" l="1"/>
  <c r="Z31" i="4" s="1"/>
  <c r="Z56" i="4" l="1"/>
  <c r="AA43" i="4" s="1"/>
  <c r="Z57" i="4"/>
  <c r="AA44" i="4" s="1"/>
  <c r="Z32" i="4"/>
  <c r="Z33" i="4" s="1"/>
  <c r="Z59" i="4" s="1"/>
  <c r="AA46" i="4" s="1"/>
  <c r="Z58" i="4" l="1"/>
  <c r="AA45" i="4" s="1"/>
  <c r="Z34" i="4"/>
  <c r="Z60" i="4" s="1"/>
  <c r="AA47" i="4" s="1"/>
  <c r="Z35" i="4" l="1"/>
  <c r="Z36" i="4" s="1"/>
  <c r="Z62" i="4" s="1"/>
  <c r="AA49" i="4" s="1"/>
  <c r="Z37" i="4" l="1"/>
  <c r="Z63" i="4" s="1"/>
  <c r="AA50" i="4" s="1"/>
  <c r="Z61" i="4"/>
  <c r="AA48" i="4" s="1"/>
  <c r="Z38" i="4" l="1"/>
  <c r="Z64" i="4" s="1"/>
  <c r="Z39" i="4" l="1"/>
  <c r="Z65" i="4" s="1"/>
  <c r="AA52" i="4" s="1"/>
  <c r="AA51" i="4"/>
  <c r="Z15" i="4" l="1"/>
  <c r="Z20" i="4" s="1"/>
  <c r="Z14" i="4"/>
  <c r="AA13" i="4"/>
  <c r="Z22" i="4"/>
  <c r="Z24" i="4" s="1"/>
  <c r="Z17" i="4" l="1"/>
  <c r="AA8" i="4" s="1"/>
  <c r="Z25" i="4"/>
  <c r="Z23" i="4"/>
  <c r="Z18" i="4" l="1"/>
  <c r="Z21" i="4" s="1"/>
  <c r="AA11" i="4"/>
  <c r="AA9" i="4"/>
  <c r="AA10" i="4" l="1"/>
  <c r="AA12" i="4" s="1"/>
  <c r="AA30" i="4"/>
  <c r="AA56" i="4" s="1"/>
  <c r="AB43" i="4" s="1"/>
  <c r="AA31" i="4" l="1"/>
  <c r="AA57" i="4" s="1"/>
  <c r="AB44" i="4" s="1"/>
  <c r="AA32" i="4" l="1"/>
  <c r="AA58" i="4" s="1"/>
  <c r="AB45" i="4" s="1"/>
  <c r="AA33" i="4" l="1"/>
  <c r="AA59" i="4" s="1"/>
  <c r="AB46" i="4" s="1"/>
  <c r="AA34" i="4" l="1"/>
  <c r="AA60" i="4" s="1"/>
  <c r="AB47" i="4" s="1"/>
  <c r="AA35" i="4" l="1"/>
  <c r="AA61" i="4" s="1"/>
  <c r="AB48" i="4" s="1"/>
  <c r="AA36" i="4" l="1"/>
  <c r="AA62" i="4" s="1"/>
  <c r="AB49" i="4" s="1"/>
  <c r="AA37" i="4" l="1"/>
  <c r="AA38" i="4" s="1"/>
  <c r="AA63" i="4" l="1"/>
  <c r="AB50" i="4" s="1"/>
  <c r="AA39" i="4"/>
  <c r="AA64" i="4"/>
  <c r="AB51" i="4" s="1"/>
  <c r="AA22" i="4" l="1"/>
  <c r="AA65" i="4"/>
  <c r="AB52" i="4" l="1"/>
  <c r="AB13" i="4" s="1"/>
  <c r="AA15" i="4"/>
  <c r="AA14" i="4"/>
  <c r="AA25" i="4"/>
  <c r="AA24" i="4"/>
  <c r="AA23" i="4"/>
  <c r="AA17" i="4" l="1"/>
  <c r="AA20" i="4"/>
  <c r="AA18" i="4" l="1"/>
  <c r="AA21" i="4" s="1"/>
  <c r="AB8" i="4"/>
  <c r="AB11" i="4" l="1"/>
  <c r="AB9" i="4"/>
  <c r="AB10" i="4" l="1"/>
  <c r="AB12" i="4" s="1"/>
  <c r="AB30" i="4"/>
  <c r="AB31" i="4" s="1"/>
  <c r="AB57" i="4" s="1"/>
  <c r="AC44" i="4" s="1"/>
  <c r="AB56" i="4" l="1"/>
  <c r="AC43" i="4" s="1"/>
  <c r="AB32" i="4"/>
  <c r="AB58" i="4" s="1"/>
  <c r="AC45" i="4" s="1"/>
  <c r="AB33" i="4" l="1"/>
  <c r="AB59" i="4" l="1"/>
  <c r="AC46" i="4" s="1"/>
  <c r="AB34" i="4"/>
  <c r="AB60" i="4" l="1"/>
  <c r="AC47" i="4" s="1"/>
  <c r="AB35" i="4"/>
  <c r="AB61" i="4" s="1"/>
  <c r="AC48" i="4" s="1"/>
  <c r="AB36" i="4" l="1"/>
  <c r="AB62" i="4" l="1"/>
  <c r="AC49" i="4" s="1"/>
  <c r="AB37" i="4"/>
  <c r="AB63" i="4" s="1"/>
  <c r="AC50" i="4" s="1"/>
  <c r="AB38" i="4" l="1"/>
  <c r="AB64" i="4" l="1"/>
  <c r="AB39" i="4"/>
  <c r="AB65" i="4" l="1"/>
  <c r="AC52" i="4" s="1"/>
  <c r="AB22" i="4"/>
  <c r="AC51" i="4"/>
  <c r="AC13" i="4" s="1"/>
  <c r="AB15" i="4"/>
  <c r="AB14" i="4"/>
  <c r="AB17" i="4" l="1"/>
  <c r="AB20" i="4"/>
  <c r="AB23" i="4"/>
  <c r="AB25" i="4"/>
  <c r="AB24" i="4"/>
  <c r="AC8" i="4" l="1"/>
  <c r="AB18" i="4"/>
  <c r="AB21" i="4" s="1"/>
  <c r="AC11" i="4" l="1"/>
  <c r="AC9" i="4"/>
  <c r="AC30" i="4" l="1"/>
  <c r="AC31" i="4" s="1"/>
  <c r="AC57" i="4" s="1"/>
  <c r="AD44" i="4" s="1"/>
  <c r="AC10" i="4"/>
  <c r="AC12" i="4" s="1"/>
  <c r="AC32" i="4" l="1"/>
  <c r="AC58" i="4" s="1"/>
  <c r="AD45" i="4" s="1"/>
  <c r="AC56" i="4"/>
  <c r="AD43" i="4" s="1"/>
  <c r="AC33" i="4" l="1"/>
  <c r="AC59" i="4" s="1"/>
  <c r="AD46" i="4" s="1"/>
  <c r="AC34" i="4" l="1"/>
  <c r="AC60" i="4" s="1"/>
  <c r="AD47" i="4" s="1"/>
  <c r="AC35" i="4" l="1"/>
  <c r="AC61" i="4" s="1"/>
  <c r="AD48" i="4" s="1"/>
  <c r="AC36" i="4" l="1"/>
  <c r="AC62" i="4" s="1"/>
  <c r="AD49" i="4" s="1"/>
  <c r="AC37" i="4" l="1"/>
  <c r="AC63" i="4" s="1"/>
  <c r="AD50" i="4" s="1"/>
  <c r="AC38" i="4" l="1"/>
  <c r="AC64" i="4" s="1"/>
  <c r="AC39" i="4" l="1"/>
  <c r="AC65" i="4" s="1"/>
  <c r="AD51" i="4"/>
  <c r="AC22" i="4" l="1"/>
  <c r="AC24" i="4" s="1"/>
  <c r="AD52" i="4"/>
  <c r="AD13" i="4" s="1"/>
  <c r="AC14" i="4"/>
  <c r="AC15" i="4"/>
  <c r="AC17" i="4" s="1"/>
  <c r="AC25" i="4" l="1"/>
  <c r="AC23" i="4"/>
  <c r="AC20" i="4"/>
  <c r="AC18" i="4"/>
  <c r="AC21" i="4" s="1"/>
  <c r="AD8" i="4"/>
  <c r="AD9" i="4" l="1"/>
  <c r="AD11" i="4"/>
  <c r="AD10" i="4" l="1"/>
  <c r="AD12" i="4" s="1"/>
  <c r="AD30" i="4"/>
  <c r="AD31" i="4" s="1"/>
  <c r="AD57" i="4" s="1"/>
  <c r="AE44" i="4" s="1"/>
  <c r="AD56" i="4" l="1"/>
  <c r="AE43" i="4" s="1"/>
  <c r="AD32" i="4"/>
  <c r="AD58" i="4" l="1"/>
  <c r="AE45" i="4" s="1"/>
  <c r="AD33" i="4"/>
  <c r="AD59" i="4" l="1"/>
  <c r="AE46" i="4" s="1"/>
  <c r="AD34" i="4"/>
  <c r="AD60" i="4" l="1"/>
  <c r="AE47" i="4" s="1"/>
  <c r="AD35" i="4"/>
  <c r="AD36" i="4" l="1"/>
  <c r="AD61" i="4"/>
  <c r="AE48" i="4" s="1"/>
  <c r="AD62" i="4" l="1"/>
  <c r="AE49" i="4" s="1"/>
  <c r="AD37" i="4"/>
  <c r="AD63" i="4" l="1"/>
  <c r="AE50" i="4" s="1"/>
  <c r="AD38" i="4"/>
  <c r="AD64" i="4" l="1"/>
  <c r="AE51" i="4" s="1"/>
  <c r="AD39" i="4"/>
  <c r="AD65" i="4" l="1"/>
  <c r="AD22" i="4"/>
  <c r="AD25" i="4" l="1"/>
  <c r="AD24" i="4"/>
  <c r="AD23" i="4"/>
  <c r="AE52" i="4"/>
  <c r="AE13" i="4" s="1"/>
  <c r="AD15" i="4"/>
  <c r="AD14" i="4"/>
  <c r="AD17" i="4" l="1"/>
  <c r="AD20" i="4"/>
  <c r="AD18" i="4" l="1"/>
  <c r="AD21" i="4" s="1"/>
  <c r="AE8" i="4"/>
  <c r="AE11" i="4" l="1"/>
  <c r="AE9" i="4"/>
  <c r="AE10" i="4" l="1"/>
  <c r="AE12" i="4" s="1"/>
  <c r="AE30" i="4"/>
  <c r="AE31" i="4" l="1"/>
  <c r="AE56" i="4"/>
  <c r="AF43" i="4" s="1"/>
  <c r="AE57" i="4" l="1"/>
  <c r="AF44" i="4" s="1"/>
  <c r="AE32" i="4"/>
  <c r="AE58" i="4" l="1"/>
  <c r="AF45" i="4" s="1"/>
  <c r="AE33" i="4"/>
  <c r="AE59" i="4" s="1"/>
  <c r="AF46" i="4" s="1"/>
  <c r="AE34" i="4" l="1"/>
  <c r="AE35" i="4" s="1"/>
  <c r="AE36" i="4" l="1"/>
  <c r="AE62" i="4" s="1"/>
  <c r="AF49" i="4" s="1"/>
  <c r="AE61" i="4"/>
  <c r="AF48" i="4" s="1"/>
  <c r="AE60" i="4"/>
  <c r="AF47" i="4" s="1"/>
  <c r="AE37" i="4" l="1"/>
  <c r="AE63" i="4" s="1"/>
  <c r="AF50" i="4" s="1"/>
  <c r="AE38" i="4" l="1"/>
  <c r="AE39" i="4" s="1"/>
  <c r="AE65" i="4" s="1"/>
  <c r="AF52" i="4" s="1"/>
  <c r="AE22" i="4" l="1"/>
  <c r="AE23" i="4" s="1"/>
  <c r="AE64" i="4"/>
  <c r="AF51" i="4" s="1"/>
  <c r="AF13" i="4" s="1"/>
  <c r="AE15" i="4" l="1"/>
  <c r="AE20" i="4" s="1"/>
  <c r="AE14" i="4"/>
  <c r="AE25" i="4"/>
  <c r="AE24" i="4"/>
  <c r="AE17" i="4" l="1"/>
  <c r="AE18" i="4" s="1"/>
  <c r="AE21" i="4" s="1"/>
  <c r="AF8" i="4" l="1"/>
  <c r="AF9" i="4" s="1"/>
  <c r="AF11" i="4"/>
  <c r="AF10" i="4" l="1"/>
  <c r="AF12" i="4" s="1"/>
  <c r="AF30" i="4"/>
  <c r="AF56" i="4" s="1"/>
  <c r="AG43" i="4" s="1"/>
  <c r="AF31" i="4" l="1"/>
  <c r="AF57" i="4" s="1"/>
  <c r="AG44" i="4" s="1"/>
  <c r="AF32" i="4" l="1"/>
  <c r="AF58" i="4" s="1"/>
  <c r="AG45" i="4" s="1"/>
  <c r="AF33" i="4" l="1"/>
  <c r="AF34" i="4" s="1"/>
  <c r="AF60" i="4" s="1"/>
  <c r="AG47" i="4" s="1"/>
  <c r="AF59" i="4" l="1"/>
  <c r="AG46" i="4" s="1"/>
  <c r="AF35" i="4"/>
  <c r="AF61" i="4" l="1"/>
  <c r="AG48" i="4" s="1"/>
  <c r="AF36" i="4"/>
  <c r="AF62" i="4" l="1"/>
  <c r="AF37" i="4"/>
  <c r="AF38" i="4" l="1"/>
  <c r="AF64" i="4" s="1"/>
  <c r="AG51" i="4" s="1"/>
  <c r="AF63" i="4"/>
  <c r="AG50" i="4" s="1"/>
  <c r="AG49" i="4"/>
  <c r="AF39" i="4" l="1"/>
  <c r="AF65" i="4" l="1"/>
  <c r="AF22" i="4"/>
  <c r="AF23" i="4" l="1"/>
  <c r="AF25" i="4"/>
  <c r="AF24" i="4"/>
  <c r="AG52" i="4"/>
  <c r="AG13" i="4" s="1"/>
  <c r="AF14" i="4"/>
  <c r="AF15" i="4"/>
  <c r="AF17" i="4" l="1"/>
  <c r="AF20" i="4"/>
  <c r="AF18" i="4" l="1"/>
  <c r="AF21" i="4" s="1"/>
  <c r="AG8" i="4"/>
  <c r="AG11" i="4" l="1"/>
  <c r="AG9" i="4"/>
  <c r="AG30" i="4" l="1"/>
  <c r="AG10" i="4"/>
  <c r="AG12" i="4" s="1"/>
  <c r="AG31" i="4" l="1"/>
  <c r="AG56" i="4"/>
  <c r="AH43" i="4" s="1"/>
  <c r="AG57" i="4" l="1"/>
  <c r="AH44" i="4" s="1"/>
  <c r="AG32" i="4"/>
  <c r="AG33" i="4" s="1"/>
  <c r="AG59" i="4" s="1"/>
  <c r="AH46" i="4" s="1"/>
  <c r="AG58" i="4" l="1"/>
  <c r="AH45" i="4" s="1"/>
  <c r="AG34" i="4"/>
  <c r="AG60" i="4" l="1"/>
  <c r="AG35" i="4"/>
  <c r="AG36" i="4" s="1"/>
  <c r="AG62" i="4" s="1"/>
  <c r="AH49" i="4" s="1"/>
  <c r="AG37" i="4" l="1"/>
  <c r="AG61" i="4"/>
  <c r="AH48" i="4" s="1"/>
  <c r="AH47" i="4"/>
  <c r="AG63" i="4" l="1"/>
  <c r="AG38" i="4"/>
  <c r="AG39" i="4" s="1"/>
  <c r="AG65" i="4" s="1"/>
  <c r="AH52" i="4" s="1"/>
  <c r="AG64" i="4" l="1"/>
  <c r="AH51" i="4" s="1"/>
  <c r="AG22" i="4"/>
  <c r="AH50" i="4"/>
  <c r="AG15" i="4"/>
  <c r="AG14" i="4"/>
  <c r="AH13" i="4" l="1"/>
  <c r="AG17" i="4"/>
  <c r="AG20" i="4"/>
  <c r="AG25" i="4"/>
  <c r="AG24" i="4"/>
  <c r="AG23" i="4"/>
  <c r="AH8" i="4" l="1"/>
  <c r="AG18" i="4"/>
  <c r="AG21" i="4" s="1"/>
  <c r="AH11" i="4" l="1"/>
  <c r="AH9" i="4"/>
  <c r="AH10" i="4" l="1"/>
  <c r="AH12" i="4" s="1"/>
  <c r="AH30" i="4"/>
  <c r="AH31" i="4" l="1"/>
  <c r="AH56" i="4"/>
  <c r="AI43" i="4" s="1"/>
  <c r="AH57" i="4" l="1"/>
  <c r="AI44" i="4" s="1"/>
  <c r="AH32" i="4"/>
  <c r="AH33" i="4" s="1"/>
  <c r="AH59" i="4" l="1"/>
  <c r="AI46" i="4" s="1"/>
  <c r="AH34" i="4"/>
  <c r="AH60" i="4" s="1"/>
  <c r="AI47" i="4" s="1"/>
  <c r="AH58" i="4"/>
  <c r="AI45" i="4" s="1"/>
  <c r="AH35" i="4" l="1"/>
  <c r="AH61" i="4" s="1"/>
  <c r="AH36" i="4" l="1"/>
  <c r="AH37" i="4" s="1"/>
  <c r="AH63" i="4" s="1"/>
  <c r="AI50" i="4" s="1"/>
  <c r="AI48" i="4"/>
  <c r="AH38" i="4" l="1"/>
  <c r="AH39" i="4" s="1"/>
  <c r="AH62" i="4"/>
  <c r="AI49" i="4" s="1"/>
  <c r="AH64" i="4" l="1"/>
  <c r="AI51" i="4" s="1"/>
  <c r="AH65" i="4"/>
  <c r="AI52" i="4" s="1"/>
  <c r="AH22" i="4"/>
  <c r="AH25" i="4" s="1"/>
  <c r="AH15" i="4" l="1"/>
  <c r="AH20" i="4" s="1"/>
  <c r="AH14" i="4"/>
  <c r="AI13" i="4"/>
  <c r="AH23" i="4"/>
  <c r="AH24" i="4"/>
  <c r="AH17" i="4"/>
  <c r="AH18" i="4" l="1"/>
  <c r="AH21" i="4" s="1"/>
  <c r="AI8" i="4"/>
  <c r="AI9" i="4" l="1"/>
  <c r="AI11" i="4"/>
  <c r="AI30" i="4" l="1"/>
  <c r="AI10" i="4"/>
  <c r="AI12" i="4" s="1"/>
  <c r="AI31" i="4" l="1"/>
  <c r="AI56" i="4"/>
  <c r="AJ43" i="4" s="1"/>
  <c r="AI57" i="4" l="1"/>
  <c r="AJ44" i="4" s="1"/>
  <c r="AI32" i="4"/>
  <c r="AI33" i="4" s="1"/>
  <c r="AI59" i="4" s="1"/>
  <c r="AJ46" i="4" s="1"/>
  <c r="AI34" i="4" l="1"/>
  <c r="AI60" i="4" s="1"/>
  <c r="AJ47" i="4" s="1"/>
  <c r="AI58" i="4"/>
  <c r="AJ45" i="4" s="1"/>
  <c r="AI35" i="4" l="1"/>
  <c r="AI61" i="4" s="1"/>
  <c r="AJ48" i="4" s="1"/>
  <c r="AI36" i="4" l="1"/>
  <c r="AI62" i="4" s="1"/>
  <c r="AI37" i="4" l="1"/>
  <c r="AI63" i="4" s="1"/>
  <c r="AJ50" i="4" s="1"/>
  <c r="AJ49" i="4"/>
  <c r="AI38" i="4" l="1"/>
  <c r="AI64" i="4" s="1"/>
  <c r="AJ51" i="4" s="1"/>
  <c r="AI39" i="4" l="1"/>
  <c r="AI65" i="4" s="1"/>
  <c r="AJ52" i="4" s="1"/>
  <c r="AJ13" i="4" s="1"/>
  <c r="AI22" i="4" l="1"/>
  <c r="AI25" i="4" s="1"/>
  <c r="AI15" i="4"/>
  <c r="AI20" i="4" s="1"/>
  <c r="AI14" i="4"/>
  <c r="AI23" i="4" l="1"/>
  <c r="AI24" i="4"/>
  <c r="AI17" i="4"/>
  <c r="AI18" i="4" s="1"/>
  <c r="AI21" i="4" s="1"/>
  <c r="AJ8" i="4" l="1"/>
  <c r="AJ9" i="4" s="1"/>
  <c r="AJ11" i="4" l="1"/>
  <c r="AJ30" i="4"/>
  <c r="AJ31" i="4" s="1"/>
  <c r="AJ10" i="4"/>
  <c r="AJ12" i="4" l="1"/>
  <c r="AJ57" i="4"/>
  <c r="AK44" i="4" s="1"/>
  <c r="AJ32" i="4"/>
  <c r="AJ33" i="4" s="1"/>
  <c r="AJ56" i="4"/>
  <c r="AK43" i="4" s="1"/>
  <c r="AJ58" i="4" l="1"/>
  <c r="AK45" i="4" s="1"/>
  <c r="AJ59" i="4"/>
  <c r="AK46" i="4" s="1"/>
  <c r="AJ34" i="4"/>
  <c r="AJ35" i="4" s="1"/>
  <c r="AJ60" i="4" l="1"/>
  <c r="AJ36" i="4"/>
  <c r="AJ61" i="4"/>
  <c r="AK48" i="4" s="1"/>
  <c r="AJ62" i="4" l="1"/>
  <c r="AK49" i="4" s="1"/>
  <c r="AJ37" i="4"/>
  <c r="AJ63" i="4" s="1"/>
  <c r="AK50" i="4" s="1"/>
  <c r="AK47" i="4"/>
  <c r="AJ38" i="4" l="1"/>
  <c r="AJ64" i="4" s="1"/>
  <c r="AK51" i="4" l="1"/>
  <c r="AJ39" i="4"/>
  <c r="AJ65" i="4" s="1"/>
  <c r="AK52" i="4" s="1"/>
  <c r="AJ22" i="4" l="1"/>
  <c r="AJ24" i="4" s="1"/>
  <c r="AJ15" i="4"/>
  <c r="AJ14" i="4"/>
  <c r="AK13" i="4"/>
  <c r="AJ25" i="4" l="1"/>
  <c r="AJ23" i="4"/>
  <c r="AJ17" i="4"/>
  <c r="AJ20" i="4"/>
  <c r="AJ18" i="4" l="1"/>
  <c r="AJ21" i="4" s="1"/>
  <c r="AK8" i="4"/>
  <c r="AK11" i="4" l="1"/>
  <c r="AK9" i="4"/>
  <c r="AK10" i="4" l="1"/>
  <c r="AK12" i="4" s="1"/>
  <c r="AK30" i="4"/>
  <c r="AK56" i="4" s="1"/>
  <c r="AL43" i="4" s="1"/>
  <c r="AK31" i="4" l="1"/>
  <c r="AK57" i="4" s="1"/>
  <c r="AL44" i="4" s="1"/>
  <c r="AK32" i="4" l="1"/>
  <c r="AK58" i="4" s="1"/>
  <c r="AL45" i="4" s="1"/>
  <c r="AK33" i="4" l="1"/>
  <c r="AK34" i="4" s="1"/>
  <c r="AK60" i="4" s="1"/>
  <c r="AL47" i="4" s="1"/>
  <c r="AK35" i="4" l="1"/>
  <c r="AK61" i="4" s="1"/>
  <c r="AK59" i="4"/>
  <c r="AL46" i="4" s="1"/>
  <c r="AK36" i="4" l="1"/>
  <c r="AK37" i="4" s="1"/>
  <c r="AL48" i="4"/>
  <c r="AK62" i="4" l="1"/>
  <c r="AL49" i="4" s="1"/>
  <c r="AK38" i="4"/>
  <c r="AK39" i="4" s="1"/>
  <c r="AK65" i="4" s="1"/>
  <c r="AL52" i="4" s="1"/>
  <c r="AK63" i="4"/>
  <c r="AK64" i="4" l="1"/>
  <c r="AL51" i="4" s="1"/>
  <c r="AK22" i="4"/>
  <c r="AL50" i="4"/>
  <c r="AK14" i="4"/>
  <c r="AK15" i="4"/>
  <c r="AL13" i="4" l="1"/>
  <c r="AK25" i="4"/>
  <c r="AK23" i="4"/>
  <c r="AK24" i="4"/>
  <c r="AK17" i="4"/>
  <c r="AK20" i="4"/>
  <c r="AK18" i="4" l="1"/>
  <c r="AK21" i="4" s="1"/>
  <c r="AL8" i="4"/>
  <c r="AL9" i="4" l="1"/>
  <c r="AL11" i="4"/>
  <c r="AL30" i="4" l="1"/>
  <c r="AL31" i="4" s="1"/>
  <c r="AL57" i="4" s="1"/>
  <c r="AM44" i="4" s="1"/>
  <c r="AL10" i="4"/>
  <c r="AL12" i="4" s="1"/>
  <c r="AL32" i="4" l="1"/>
  <c r="AL58" i="4" s="1"/>
  <c r="AM45" i="4" s="1"/>
  <c r="AL56" i="4"/>
  <c r="AM43" i="4" s="1"/>
  <c r="AL33" i="4" l="1"/>
  <c r="AL34" i="4" s="1"/>
  <c r="AL59" i="4" l="1"/>
  <c r="AM46" i="4" s="1"/>
  <c r="AL60" i="4"/>
  <c r="AM47" i="4" s="1"/>
  <c r="AL35" i="4"/>
  <c r="AL36" i="4" s="1"/>
  <c r="AL62" i="4" s="1"/>
  <c r="AM49" i="4" s="1"/>
  <c r="AL61" i="4" l="1"/>
  <c r="AL37" i="4"/>
  <c r="AL38" i="4" l="1"/>
  <c r="AL64" i="4" s="1"/>
  <c r="AM51" i="4" s="1"/>
  <c r="AL63" i="4"/>
  <c r="AM50" i="4" s="1"/>
  <c r="AM48" i="4"/>
  <c r="AL39" i="4" l="1"/>
  <c r="AL65" i="4" l="1"/>
  <c r="AL22" i="4"/>
  <c r="AL23" i="4" l="1"/>
  <c r="AL25" i="4"/>
  <c r="AL24" i="4"/>
  <c r="AM52" i="4"/>
  <c r="AM13" i="4" s="1"/>
  <c r="AL14" i="4"/>
  <c r="AL15" i="4"/>
  <c r="AL17" i="4" l="1"/>
  <c r="AL20" i="4"/>
  <c r="AL18" i="4" l="1"/>
  <c r="AL21" i="4" s="1"/>
  <c r="AM8" i="4"/>
  <c r="AM11" i="4" l="1"/>
  <c r="AM9" i="4"/>
  <c r="AM10" i="4" l="1"/>
  <c r="AM12" i="4" s="1"/>
  <c r="AM30" i="4"/>
  <c r="AM56" i="4" s="1"/>
  <c r="AN43" i="4" s="1"/>
  <c r="AM31" i="4" l="1"/>
  <c r="AM32" i="4" s="1"/>
  <c r="AM57" i="4" l="1"/>
  <c r="AN44" i="4" s="1"/>
  <c r="AM58" i="4"/>
  <c r="AN45" i="4" s="1"/>
  <c r="AM33" i="4"/>
  <c r="AM34" i="4" s="1"/>
  <c r="AM60" i="4" s="1"/>
  <c r="AN47" i="4" s="1"/>
  <c r="AM35" i="4" l="1"/>
  <c r="AM61" i="4" s="1"/>
  <c r="AN48" i="4" s="1"/>
  <c r="AM59" i="4"/>
  <c r="AN46" i="4" s="1"/>
  <c r="AM36" i="4" l="1"/>
  <c r="AM37" i="4" s="1"/>
  <c r="AM63" i="4" s="1"/>
  <c r="AN50" i="4" s="1"/>
  <c r="AM62" i="4" l="1"/>
  <c r="AN49" i="4" s="1"/>
  <c r="AM38" i="4"/>
  <c r="AM39" i="4" s="1"/>
  <c r="AM65" i="4" s="1"/>
  <c r="AN52" i="4" s="1"/>
  <c r="AM64" i="4" l="1"/>
  <c r="AN51" i="4" s="1"/>
  <c r="AN13" i="4" s="1"/>
  <c r="AM22" i="4"/>
  <c r="AM23" i="4" s="1"/>
  <c r="AM14" i="4" l="1"/>
  <c r="AM15" i="4"/>
  <c r="AM17" i="4" s="1"/>
  <c r="AM25" i="4"/>
  <c r="AM24" i="4"/>
  <c r="AM20" i="4" l="1"/>
  <c r="AM18" i="4"/>
  <c r="AN8" i="4"/>
  <c r="AM21" i="4" l="1"/>
  <c r="AN11" i="4"/>
  <c r="AN9" i="4"/>
  <c r="AN30" i="4" l="1"/>
  <c r="AN56" i="4" s="1"/>
  <c r="AO43" i="4" s="1"/>
  <c r="AN10" i="4"/>
  <c r="AN12" i="4" s="1"/>
  <c r="AN31" i="4" l="1"/>
  <c r="AN57" i="4" l="1"/>
  <c r="AO44" i="4" s="1"/>
  <c r="AN32" i="4"/>
  <c r="AN58" i="4" s="1"/>
  <c r="AO45" i="4" s="1"/>
  <c r="AN33" i="4" l="1"/>
  <c r="AN59" i="4" l="1"/>
  <c r="AO46" i="4" s="1"/>
  <c r="AN34" i="4"/>
  <c r="AN35" i="4" l="1"/>
  <c r="AN60" i="4"/>
  <c r="AO47" i="4" l="1"/>
  <c r="AN61" i="4"/>
  <c r="AO48" i="4" s="1"/>
  <c r="AN36" i="4"/>
  <c r="AN62" i="4" l="1"/>
  <c r="AO49" i="4" s="1"/>
  <c r="AN37" i="4"/>
  <c r="AN38" i="4" l="1"/>
  <c r="AN64" i="4" s="1"/>
  <c r="AO51" i="4" s="1"/>
  <c r="AN63" i="4"/>
  <c r="AN39" i="4" l="1"/>
  <c r="AO50" i="4"/>
  <c r="AN65" i="4" l="1"/>
  <c r="AN22" i="4"/>
  <c r="AN24" i="4" l="1"/>
  <c r="AN25" i="4"/>
  <c r="AN23" i="4"/>
  <c r="AO52" i="4"/>
  <c r="AO13" i="4" s="1"/>
  <c r="AN14" i="4"/>
  <c r="AN15" i="4"/>
  <c r="AN17" i="4" l="1"/>
  <c r="AN20" i="4"/>
  <c r="AO8" i="4" l="1"/>
  <c r="AN18" i="4"/>
  <c r="AN21" i="4" s="1"/>
  <c r="AO9" i="4" l="1"/>
  <c r="AO11" i="4"/>
  <c r="AO10" i="4" l="1"/>
  <c r="AO12" i="4" s="1"/>
  <c r="AO30" i="4"/>
  <c r="AO31" i="4" l="1"/>
  <c r="AO57" i="4" s="1"/>
  <c r="AP44" i="4" s="1"/>
  <c r="AO56" i="4"/>
  <c r="AP43" i="4" s="1"/>
  <c r="AO32" i="4" l="1"/>
  <c r="AO58" i="4" s="1"/>
  <c r="AP45" i="4" s="1"/>
  <c r="AO33" i="4" l="1"/>
  <c r="AO59" i="4" s="1"/>
  <c r="AP46" i="4" s="1"/>
  <c r="AO34" i="4" l="1"/>
  <c r="AO60" i="4" s="1"/>
  <c r="AP47" i="4" s="1"/>
  <c r="AO35" i="4" l="1"/>
  <c r="AO61" i="4" s="1"/>
  <c r="AP48" i="4" s="1"/>
  <c r="AO36" i="4" l="1"/>
  <c r="AO62" i="4" s="1"/>
  <c r="AP49" i="4" s="1"/>
  <c r="AO37" i="4" l="1"/>
  <c r="AO63" i="4" s="1"/>
  <c r="AP50" i="4" s="1"/>
  <c r="AO38" i="4" l="1"/>
  <c r="AO39" i="4" s="1"/>
  <c r="AO65" i="4" s="1"/>
  <c r="AP52" i="4" s="1"/>
  <c r="AO64" i="4" l="1"/>
  <c r="AO14" i="4" s="1"/>
  <c r="AO22" i="4"/>
  <c r="AO25" i="4" s="1"/>
  <c r="AO15" i="4"/>
  <c r="AO17" i="4" s="1"/>
  <c r="AP8" i="4" s="1"/>
  <c r="AP51" i="4"/>
  <c r="AP13" i="4" s="1"/>
  <c r="AO24" i="4" l="1"/>
  <c r="AO23" i="4"/>
  <c r="AO20" i="4"/>
  <c r="AO18" i="4"/>
  <c r="AO21" i="4" s="1"/>
  <c r="AP9" i="4"/>
  <c r="AP11" i="4"/>
  <c r="AP10" i="4" l="1"/>
  <c r="AP12" i="4" s="1"/>
  <c r="AP30" i="4"/>
  <c r="AP31" i="4" s="1"/>
  <c r="AP57" i="4" l="1"/>
  <c r="AQ44" i="4" s="1"/>
  <c r="AP32" i="4"/>
  <c r="AP58" i="4" s="1"/>
  <c r="AQ45" i="4" s="1"/>
  <c r="AP56" i="4"/>
  <c r="AQ43" i="4" s="1"/>
  <c r="AP33" i="4" l="1"/>
  <c r="AP59" i="4" s="1"/>
  <c r="AQ46" i="4" s="1"/>
  <c r="AP34" i="4" l="1"/>
  <c r="AP60" i="4" s="1"/>
  <c r="AQ47" i="4" s="1"/>
  <c r="AP35" i="4" l="1"/>
  <c r="AP61" i="4" s="1"/>
  <c r="AQ48" i="4" s="1"/>
  <c r="AP36" i="4" l="1"/>
  <c r="AP62" i="4" s="1"/>
  <c r="AP37" i="4" l="1"/>
  <c r="AP63" i="4" s="1"/>
  <c r="AQ50" i="4" s="1"/>
  <c r="AQ49" i="4"/>
  <c r="AP38" i="4" l="1"/>
  <c r="AP64" i="4" s="1"/>
  <c r="AQ51" i="4" s="1"/>
  <c r="AP39" i="4" l="1"/>
  <c r="AP65" i="4" s="1"/>
  <c r="AP14" i="4" s="1"/>
  <c r="AP15" i="4" l="1"/>
  <c r="AP20" i="4" s="1"/>
  <c r="AQ52" i="4"/>
  <c r="AQ13" i="4" s="1"/>
  <c r="AP22" i="4"/>
  <c r="AP24" i="4" s="1"/>
  <c r="AP17" i="4" l="1"/>
  <c r="AQ8" i="4" s="1"/>
  <c r="AP23" i="4"/>
  <c r="AP25" i="4"/>
  <c r="AP18" i="4" l="1"/>
  <c r="AP21" i="4" s="1"/>
  <c r="AQ11" i="4"/>
  <c r="AQ9" i="4"/>
  <c r="AQ10" i="4" l="1"/>
  <c r="AQ12" i="4" s="1"/>
  <c r="AQ30" i="4"/>
  <c r="AQ56" i="4" s="1"/>
  <c r="AQ31" i="4" l="1"/>
  <c r="AQ57" i="4" s="1"/>
  <c r="AQ32" i="4" l="1"/>
  <c r="AQ58" i="4" s="1"/>
  <c r="AQ33" i="4" l="1"/>
  <c r="AQ59" i="4" s="1"/>
  <c r="AQ34" i="4" l="1"/>
  <c r="AQ60" i="4" s="1"/>
  <c r="AQ35" i="4" l="1"/>
  <c r="AQ36" i="4" s="1"/>
  <c r="AQ61" i="4" l="1"/>
  <c r="AQ62" i="4"/>
  <c r="AQ37" i="4"/>
  <c r="AQ63" i="4" s="1"/>
  <c r="AQ38" i="4" l="1"/>
  <c r="AQ39" i="4" s="1"/>
  <c r="AQ65" i="4" s="1"/>
  <c r="AQ64" i="4" l="1"/>
  <c r="AQ15" i="4" s="1"/>
  <c r="AQ22" i="4"/>
  <c r="AQ23" i="4" l="1"/>
  <c r="AQ24" i="4"/>
  <c r="AQ25" i="4"/>
  <c r="AQ20" i="4"/>
  <c r="AQ17" i="4"/>
  <c r="AQ18" i="4" s="1"/>
  <c r="AQ21" i="4" s="1"/>
  <c r="AQ14" i="4"/>
</calcChain>
</file>

<file path=xl/comments1.xml><?xml version="1.0" encoding="utf-8"?>
<comments xmlns="http://schemas.openxmlformats.org/spreadsheetml/2006/main">
  <authors>
    <author>David Taylor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Their paper accounts for Capacity factor and Peak Rating Required</t>
        </r>
      </text>
    </comment>
  </commentList>
</comments>
</file>

<file path=xl/comments2.xml><?xml version="1.0" encoding="utf-8"?>
<comments xmlns="http://schemas.openxmlformats.org/spreadsheetml/2006/main">
  <authors>
    <author>David Taylor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Sort Using this Column!!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Select either Direct Input and use the Optional Direct Input Column or Specify Source Breakdown. If Source Breakdown does not add to 100%, the figures are rescaled with the equivaled ratio.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60% of natural gas emissions taken to account for cogen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</commentList>
</comments>
</file>

<file path=xl/comments3.xml><?xml version="1.0" encoding="utf-8"?>
<comments xmlns="http://schemas.openxmlformats.org/spreadsheetml/2006/main">
  <authors>
    <author>David Taylor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Use Goal Seek to change the # of Turbines to meet different scenario objectives.</t>
        </r>
      </text>
    </comment>
  </commentList>
</comments>
</file>

<file path=xl/sharedStrings.xml><?xml version="1.0" encoding="utf-8"?>
<sst xmlns="http://schemas.openxmlformats.org/spreadsheetml/2006/main" count="366" uniqueCount="182">
  <si>
    <t>Region</t>
  </si>
  <si>
    <t>Current Wind Proportion</t>
  </si>
  <si>
    <t>Max Wind Proportion</t>
  </si>
  <si>
    <t>--</t>
  </si>
  <si>
    <t>kWh/bbl</t>
  </si>
  <si>
    <t>bbl/year</t>
  </si>
  <si>
    <t>Reference</t>
  </si>
  <si>
    <t>References:</t>
  </si>
  <si>
    <t>Grid Capacity (GW)</t>
  </si>
  <si>
    <t>Transmission Distance (km)</t>
  </si>
  <si>
    <t>Additional Wind Capacity (GW)</t>
  </si>
  <si>
    <t>Alberta</t>
  </si>
  <si>
    <t>Edmonton</t>
  </si>
  <si>
    <t>California</t>
  </si>
  <si>
    <t>San Franscico</t>
  </si>
  <si>
    <t>Canada (excluding Alberta)</t>
  </si>
  <si>
    <t>Montreal</t>
  </si>
  <si>
    <t>USA (excluding California)</t>
  </si>
  <si>
    <t>Method of Calculating GHG (choose one)</t>
  </si>
  <si>
    <t>Direct Input</t>
  </si>
  <si>
    <t>List Source Ratios</t>
  </si>
  <si>
    <t>GHG of Electricity Input Method</t>
  </si>
  <si>
    <t>Source</t>
  </si>
  <si>
    <t>Mean GHG (gCO2-eq/kWh)</t>
  </si>
  <si>
    <t>Lignite</t>
  </si>
  <si>
    <t>Coal</t>
  </si>
  <si>
    <t>Oil</t>
  </si>
  <si>
    <t>Natural Gas</t>
  </si>
  <si>
    <t>Hydro</t>
  </si>
  <si>
    <t>Nuclear</t>
  </si>
  <si>
    <t>Wind</t>
  </si>
  <si>
    <t>Solar PV</t>
  </si>
  <si>
    <t>Biomass</t>
  </si>
  <si>
    <t>Mean GHG (MT CO2-eq/GW)</t>
  </si>
  <si>
    <t>Optional Direct Input (MT CO2 eq/GW)</t>
  </si>
  <si>
    <t>Electricity Generation's GHG Emissions (MT CO2 eq/GW)</t>
  </si>
  <si>
    <t>Waste Heat</t>
  </si>
  <si>
    <t xml:space="preserve">Stats Can 2013 </t>
  </si>
  <si>
    <t>http://www5.statcan.gc.ca/cansim/a37</t>
  </si>
  <si>
    <t>http://www.eia.gov/electricity/monthly/epm_table_grapher.cfm?t=epmt_1_02</t>
  </si>
  <si>
    <t>http://energyalmanac.ca.gov/electricity/total_system_power.html</t>
  </si>
  <si>
    <t>Oil Sands Information</t>
  </si>
  <si>
    <t>Production</t>
  </si>
  <si>
    <t>Well-to-Tank Emissions</t>
  </si>
  <si>
    <t>Well-to-Wheel Emissions</t>
  </si>
  <si>
    <t>kg CO2-eq/bbl</t>
  </si>
  <si>
    <t>Conventional Oil 2005 US AVG</t>
  </si>
  <si>
    <t>Incremental Emissions</t>
  </si>
  <si>
    <t>Onsite Usage Via Cogen</t>
  </si>
  <si>
    <t>Yes/No</t>
  </si>
  <si>
    <t>Yes</t>
  </si>
  <si>
    <t>No</t>
  </si>
  <si>
    <t>Electricity Intensity (Steam Extraction)</t>
  </si>
  <si>
    <t>Electric Heat Intensity</t>
  </si>
  <si>
    <t>Electric Heat Extraction</t>
  </si>
  <si>
    <t>x multiplier of current</t>
  </si>
  <si>
    <t>Onsite Usage Electric Assist Direct</t>
  </si>
  <si>
    <t>Onsite Usage Electric Assist Indirect</t>
  </si>
  <si>
    <t>Wind Turbines</t>
  </si>
  <si>
    <t>Capital Costs</t>
  </si>
  <si>
    <t>Maintenance Percentage</t>
  </si>
  <si>
    <t>GHG Emissions</t>
  </si>
  <si>
    <t>annual maintenance</t>
  </si>
  <si>
    <t>g CO2-eq/kWh</t>
  </si>
  <si>
    <t>MT CO2-eq/GW</t>
  </si>
  <si>
    <t>Transmission Lines</t>
  </si>
  <si>
    <t>Cost</t>
  </si>
  <si>
    <t>Aggregated Life Expectancy</t>
  </si>
  <si>
    <t>Life Expectancy</t>
  </si>
  <si>
    <t>Years</t>
  </si>
  <si>
    <t>Size</t>
  </si>
  <si>
    <t>Capacity Factor</t>
  </si>
  <si>
    <t>??</t>
  </si>
  <si>
    <t>Redundancy Required</t>
  </si>
  <si>
    <t>$/MW/km</t>
  </si>
  <si>
    <t>years</t>
  </si>
  <si>
    <t xml:space="preserve">x </t>
  </si>
  <si>
    <t>Land Area</t>
  </si>
  <si>
    <t>(km)^2</t>
  </si>
  <si>
    <t>MW-peak</t>
  </si>
  <si>
    <t>Maximum Turbine Density</t>
  </si>
  <si>
    <t>turbine/km^2</t>
  </si>
  <si>
    <t>Area for Wind Farm</t>
  </si>
  <si>
    <t>of total Land Area</t>
  </si>
  <si>
    <t>Tubines Built</t>
  </si>
  <si>
    <t>Incremental Carbon Ratio</t>
  </si>
  <si>
    <t>Production Carbon Ratio</t>
  </si>
  <si>
    <t>Total Carbon Ratio</t>
  </si>
  <si>
    <t>$/W</t>
  </si>
  <si>
    <t>Generation (GW)</t>
  </si>
  <si>
    <t>Name Plate Capacity (GW)</t>
  </si>
  <si>
    <t>Destinations for Electricity</t>
  </si>
  <si>
    <t>Additional Capacity for Wind (GW)</t>
  </si>
  <si>
    <t>GHG Intensity (MT CO2-eq/GW)</t>
  </si>
  <si>
    <t>Split (GW)</t>
  </si>
  <si>
    <t>Annual Carbon Offset (MT CO2-eq)</t>
  </si>
  <si>
    <t>MT CO2-eq/yr</t>
  </si>
  <si>
    <t>Wind Turbine Emissions (MT CO2-eq)</t>
  </si>
  <si>
    <t>Distance (km)</t>
  </si>
  <si>
    <t>Can the Power Get Used (Y/N)</t>
  </si>
  <si>
    <t>Transmission Priority</t>
  </si>
  <si>
    <t xml:space="preserve"> </t>
  </si>
  <si>
    <t>Weblink</t>
  </si>
  <si>
    <t>TRANSMISSION SCHEDULING</t>
  </si>
  <si>
    <t>Year</t>
  </si>
  <si>
    <t>Tarrif Revenues</t>
  </si>
  <si>
    <t>Active Turbines</t>
  </si>
  <si>
    <t>Reinvestment Gathered</t>
  </si>
  <si>
    <t>Maintenance Due</t>
  </si>
  <si>
    <t>Turbines Decomissioned</t>
  </si>
  <si>
    <t>Production (bbl)</t>
  </si>
  <si>
    <t>Incremental Emissions (MT CO2-eq)</t>
  </si>
  <si>
    <t>Production Emissions (MT CO2-eq)</t>
  </si>
  <si>
    <t>Total Emissions (MT CO2-eq)</t>
  </si>
  <si>
    <t>Tarrif/bbl</t>
  </si>
  <si>
    <t>$/bbl</t>
  </si>
  <si>
    <t>Reinvestment</t>
  </si>
  <si>
    <t>$/kWh</t>
  </si>
  <si>
    <t>Power Generated (GW)</t>
  </si>
  <si>
    <t>Additaional Wind Capacity (GW)</t>
  </si>
  <si>
    <t>Carbon Offset (MT)</t>
  </si>
  <si>
    <t>Transmission Capacity (GW)</t>
  </si>
  <si>
    <t>Add. Transmission Costs</t>
  </si>
  <si>
    <t>New Turbines Installed</t>
  </si>
  <si>
    <t>Grid's Capacity for Wind</t>
  </si>
  <si>
    <t>Income - Maintenance</t>
  </si>
  <si>
    <t>Instantaneous Model</t>
  </si>
  <si>
    <t>Number of Turbines</t>
  </si>
  <si>
    <t>Jefferson City MO</t>
  </si>
  <si>
    <t>(Government of Alberta, 2013)</t>
  </si>
  <si>
    <t>(IHS CERA, 2012)</t>
  </si>
  <si>
    <r>
      <t xml:space="preserve">AESO. (2008). </t>
    </r>
    <r>
      <rPr>
        <i/>
        <sz val="11"/>
        <color theme="1"/>
        <rFont val="Calibri"/>
        <family val="2"/>
        <scheme val="minor"/>
      </rPr>
      <t>Future Demand Outlook</t>
    </r>
    <r>
      <rPr>
        <sz val="11"/>
        <color theme="1"/>
        <rFont val="Calibri"/>
        <family val="2"/>
        <scheme val="minor"/>
      </rPr>
      <t>. Alberta Electric System Operator.</t>
    </r>
  </si>
  <si>
    <r>
      <t xml:space="preserve">Delucchi, M. A., &amp; Jacobson, M. Z. (2011). Providing all global energy with wind, water, and solar power, Part II: Reliability, system and transmission costs, and policies. </t>
    </r>
    <r>
      <rPr>
        <i/>
        <sz val="11"/>
        <color theme="1"/>
        <rFont val="Calibri"/>
        <family val="2"/>
        <scheme val="minor"/>
      </rPr>
      <t>Energy Policy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(3), 1170–1190.</t>
    </r>
  </si>
  <si>
    <r>
      <t xml:space="preserve">Government of Alberta. (2013). </t>
    </r>
    <r>
      <rPr>
        <i/>
        <sz val="11"/>
        <color theme="1"/>
        <rFont val="Calibri"/>
        <family val="2"/>
        <scheme val="minor"/>
      </rPr>
      <t>Oil Sands: The Resource</t>
    </r>
    <r>
      <rPr>
        <sz val="11"/>
        <color theme="1"/>
        <rFont val="Calibri"/>
        <family val="2"/>
        <scheme val="minor"/>
      </rPr>
      <t>. Government of Alberta. Retrieved from http://oilsands.alberta.ca/FactSheets/Resource_FSht_Sep_2013_Online.pdf</t>
    </r>
  </si>
  <si>
    <r>
      <t xml:space="preserve">IHS CERA. (2012). </t>
    </r>
    <r>
      <rPr>
        <i/>
        <sz val="11"/>
        <color theme="1"/>
        <rFont val="Calibri"/>
        <family val="2"/>
        <scheme val="minor"/>
      </rPr>
      <t>Oil Sands, Greenhouse Gases, and US Oil Supply: Getting the Numbers Right - 2012 Update</t>
    </r>
    <r>
      <rPr>
        <sz val="11"/>
        <color theme="1"/>
        <rFont val="Calibri"/>
        <family val="2"/>
        <scheme val="minor"/>
      </rPr>
      <t>. IHS CERA.</t>
    </r>
  </si>
  <si>
    <r>
      <t xml:space="preserve">Raadal, H. L., Gagnon, L., Modahl, I. S., &amp; Hanssen, O. J. (2011). Life cycle greenhouse gas (GHG) emissions from the generation of wind and hydro power. </t>
    </r>
    <r>
      <rPr>
        <i/>
        <sz val="11"/>
        <color theme="1"/>
        <rFont val="Calibri"/>
        <family val="2"/>
        <scheme val="minor"/>
      </rPr>
      <t>Renewable and Sustainable Energy Reviews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(7), 3417–3422. http://doi.org/10.1016/j.rser.2011.05.001</t>
    </r>
  </si>
  <si>
    <t>(AESO, 2008)</t>
  </si>
  <si>
    <t>(Delucchi &amp; Jacobson, 2011)</t>
  </si>
  <si>
    <t>(Raadal, Gagnon, Modahl, &amp; Hanssen, 2011)</t>
  </si>
  <si>
    <t xml:space="preserve">Representative Destination of Transmission </t>
  </si>
  <si>
    <t>(Weisser, 2007)</t>
  </si>
  <si>
    <r>
      <t xml:space="preserve">Weisser, D. (2007). A guide to life-cycle greenhouse gas (GHG) emissions from electric supply technologies. </t>
    </r>
    <r>
      <rPr>
        <i/>
        <sz val="11"/>
        <color theme="1"/>
        <rFont val="Calibri"/>
        <family val="2"/>
        <scheme val="minor"/>
      </rPr>
      <t>Energy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(9), 1543–1559. http://doi.org/10.1016/j.energy.2007.01.008</t>
    </r>
  </si>
  <si>
    <t>[except waste heat]</t>
  </si>
  <si>
    <t>Select Transmission Priority and sort the list (DON'T COPY:PASTE) to use a different scheduling algorith. Use Column sort to refresh the order.</t>
  </si>
  <si>
    <t>Instantaneous Model of Wind Turbine Offsets and Costs</t>
  </si>
  <si>
    <t>User Input</t>
  </si>
  <si>
    <t>1000 Turbines</t>
  </si>
  <si>
    <t>Incremental Offset</t>
  </si>
  <si>
    <t>Production Offset</t>
  </si>
  <si>
    <t>Total Offset</t>
  </si>
  <si>
    <t>Max Grid</t>
  </si>
  <si>
    <t>Max Density</t>
  </si>
  <si>
    <t>Transmission Scheduling Destinations and Allocations</t>
  </si>
  <si>
    <t>Scenarios</t>
  </si>
  <si>
    <t>Progressively Installed and Maintained Model</t>
  </si>
  <si>
    <t>Transmission Modeling</t>
  </si>
  <si>
    <t>Destination</t>
  </si>
  <si>
    <t>Scheduling</t>
  </si>
  <si>
    <t>Dispatching (GW)</t>
  </si>
  <si>
    <t>Installed Capacity (GW)</t>
  </si>
  <si>
    <t>Capacity Built (GW)</t>
  </si>
  <si>
    <t>Transmission New Construction</t>
  </si>
  <si>
    <t>Transmission Infrastructure Totals</t>
  </si>
  <si>
    <t>Cumulative Incremental Carbon Offset</t>
  </si>
  <si>
    <t>Cumulative Production Carbon Offset</t>
  </si>
  <si>
    <t>Cumulative Total Carbon Offset</t>
  </si>
  <si>
    <t>unused</t>
  </si>
  <si>
    <t xml:space="preserve">v. 1.0 </t>
  </si>
  <si>
    <t>Total WTT Emissions</t>
  </si>
  <si>
    <t>Total WTW Emissions</t>
  </si>
  <si>
    <t>Total Incremental Emissions</t>
  </si>
  <si>
    <t>Transmission Needed (GW)</t>
  </si>
  <si>
    <t>Unused Income ($ Billions)</t>
  </si>
  <si>
    <t>Newly Built Turbines ($ Billions)</t>
  </si>
  <si>
    <t>Replaced Turbines ($ Billions)</t>
  </si>
  <si>
    <t>Transmission Line Construction ($ Billions)</t>
  </si>
  <si>
    <t>Tarrif Scheme and Cumulative Impact</t>
  </si>
  <si>
    <t>Wind Cost ($ Billions)</t>
  </si>
  <si>
    <t>Transmission Cost ($ Billions)</t>
  </si>
  <si>
    <t>GHG Instensity of Electricity Generation Sources</t>
  </si>
  <si>
    <t>Production Growth Rate</t>
  </si>
  <si>
    <t>Annual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</si>
</sst>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64">
    <xf numFmtId="0" fontId="0" fillId="0" borderId="0" xfId="0"/>
    <xf numFmtId="1" fontId="0" fillId="0" borderId="0" xfId="0" applyNumberFormat="1"/>
    <xf numFmtId="0" fontId="3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/>
    <xf numFmtId="1" fontId="2" fillId="0" borderId="0" xfId="0" applyNumberFormat="1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9" fontId="0" fillId="0" borderId="11" xfId="0" applyNumberFormat="1" applyBorder="1"/>
    <xf numFmtId="9" fontId="0" fillId="0" borderId="13" xfId="0" applyNumberFormat="1" applyBorder="1"/>
    <xf numFmtId="0" fontId="0" fillId="0" borderId="13" xfId="0" applyBorder="1"/>
    <xf numFmtId="0" fontId="0" fillId="5" borderId="0" xfId="0" applyFill="1"/>
    <xf numFmtId="164" fontId="2" fillId="0" borderId="3" xfId="0" applyNumberFormat="1" applyFont="1" applyBorder="1"/>
    <xf numFmtId="0" fontId="2" fillId="0" borderId="3" xfId="0" applyFont="1" applyBorder="1"/>
    <xf numFmtId="164" fontId="2" fillId="0" borderId="0" xfId="0" applyNumberFormat="1" applyFont="1" applyBorder="1"/>
    <xf numFmtId="1" fontId="0" fillId="0" borderId="0" xfId="0" applyNumberFormat="1" applyBorder="1"/>
    <xf numFmtId="0" fontId="6" fillId="0" borderId="0" xfId="0" applyFont="1" applyBorder="1"/>
    <xf numFmtId="0" fontId="6" fillId="0" borderId="3" xfId="0" applyFont="1" applyBorder="1"/>
    <xf numFmtId="0" fontId="6" fillId="0" borderId="3" xfId="0" quotePrefix="1" applyFont="1" applyBorder="1"/>
    <xf numFmtId="164" fontId="6" fillId="0" borderId="3" xfId="0" applyNumberFormat="1" applyFont="1" applyBorder="1"/>
    <xf numFmtId="165" fontId="6" fillId="0" borderId="3" xfId="0" applyNumberFormat="1" applyFont="1" applyBorder="1"/>
    <xf numFmtId="1" fontId="6" fillId="0" borderId="3" xfId="0" applyNumberFormat="1" applyFont="1" applyBorder="1"/>
    <xf numFmtId="10" fontId="6" fillId="0" borderId="3" xfId="1" applyNumberFormat="1" applyFont="1" applyBorder="1"/>
    <xf numFmtId="0" fontId="6" fillId="0" borderId="0" xfId="0" quotePrefix="1" applyFont="1" applyBorder="1"/>
    <xf numFmtId="164" fontId="6" fillId="0" borderId="0" xfId="0" applyNumberFormat="1" applyFont="1" applyBorder="1"/>
    <xf numFmtId="165" fontId="6" fillId="0" borderId="0" xfId="0" applyNumberFormat="1" applyFont="1" applyBorder="1"/>
    <xf numFmtId="1" fontId="6" fillId="0" borderId="0" xfId="0" applyNumberFormat="1" applyFont="1" applyBorder="1"/>
    <xf numFmtId="10" fontId="6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8" xfId="0" applyBorder="1"/>
    <xf numFmtId="164" fontId="2" fillId="0" borderId="8" xfId="0" applyNumberFormat="1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9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3" xfId="0" applyFont="1" applyBorder="1"/>
    <xf numFmtId="0" fontId="10" fillId="0" borderId="4" xfId="0" applyFont="1" applyBorder="1"/>
    <xf numFmtId="1" fontId="2" fillId="0" borderId="5" xfId="0" applyNumberFormat="1" applyFont="1" applyBorder="1"/>
    <xf numFmtId="164" fontId="2" fillId="0" borderId="6" xfId="0" applyNumberFormat="1" applyFont="1" applyBorder="1"/>
    <xf numFmtId="1" fontId="2" fillId="0" borderId="7" xfId="0" applyNumberFormat="1" applyFont="1" applyBorder="1"/>
    <xf numFmtId="164" fontId="2" fillId="0" borderId="9" xfId="0" applyNumberFormat="1" applyFont="1" applyBorder="1"/>
    <xf numFmtId="0" fontId="3" fillId="7" borderId="2" xfId="0" applyFont="1" applyFill="1" applyBorder="1"/>
    <xf numFmtId="0" fontId="3" fillId="0" borderId="5" xfId="0" applyFont="1" applyBorder="1"/>
    <xf numFmtId="3" fontId="0" fillId="0" borderId="6" xfId="0" applyNumberFormat="1" applyBorder="1"/>
    <xf numFmtId="166" fontId="2" fillId="0" borderId="0" xfId="2" applyNumberFormat="1" applyFont="1" applyBorder="1"/>
    <xf numFmtId="166" fontId="2" fillId="0" borderId="6" xfId="2" applyNumberFormat="1" applyFont="1" applyBorder="1"/>
    <xf numFmtId="166" fontId="2" fillId="0" borderId="0" xfId="0" applyNumberFormat="1" applyFont="1" applyBorder="1"/>
    <xf numFmtId="166" fontId="2" fillId="0" borderId="6" xfId="0" applyNumberFormat="1" applyFont="1" applyBorder="1"/>
    <xf numFmtId="0" fontId="2" fillId="0" borderId="6" xfId="0" applyFont="1" applyBorder="1"/>
    <xf numFmtId="1" fontId="2" fillId="0" borderId="6" xfId="0" applyNumberFormat="1" applyFont="1" applyBorder="1"/>
    <xf numFmtId="9" fontId="2" fillId="0" borderId="0" xfId="1" applyFont="1" applyBorder="1"/>
    <xf numFmtId="9" fontId="2" fillId="0" borderId="6" xfId="1" applyFont="1" applyBorder="1"/>
    <xf numFmtId="0" fontId="3" fillId="0" borderId="7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3" fillId="0" borderId="5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5" xfId="0" applyFont="1" applyBorder="1"/>
    <xf numFmtId="2" fontId="2" fillId="0" borderId="0" xfId="0" applyNumberFormat="1" applyFont="1" applyBorder="1"/>
    <xf numFmtId="2" fontId="2" fillId="0" borderId="6" xfId="0" applyNumberFormat="1" applyFont="1" applyBorder="1"/>
    <xf numFmtId="0" fontId="11" fillId="5" borderId="5" xfId="0" applyFont="1" applyFill="1" applyBorder="1"/>
    <xf numFmtId="0" fontId="11" fillId="5" borderId="0" xfId="0" applyFont="1" applyFill="1" applyBorder="1"/>
    <xf numFmtId="0" fontId="11" fillId="5" borderId="6" xfId="0" applyFont="1" applyFill="1" applyBorder="1"/>
    <xf numFmtId="0" fontId="0" fillId="5" borderId="0" xfId="0" applyFill="1" applyBorder="1"/>
    <xf numFmtId="0" fontId="0" fillId="5" borderId="6" xfId="0" applyFill="1" applyBorder="1"/>
    <xf numFmtId="2" fontId="2" fillId="0" borderId="8" xfId="0" applyNumberFormat="1" applyFont="1" applyBorder="1"/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2" fillId="0" borderId="26" xfId="0" applyFont="1" applyBorder="1"/>
    <xf numFmtId="2" fontId="2" fillId="0" borderId="27" xfId="0" applyNumberFormat="1" applyFont="1" applyBorder="1"/>
    <xf numFmtId="2" fontId="2" fillId="0" borderId="28" xfId="0" applyNumberFormat="1" applyFont="1" applyBorder="1"/>
    <xf numFmtId="0" fontId="2" fillId="0" borderId="27" xfId="0" applyFont="1" applyBorder="1"/>
    <xf numFmtId="0" fontId="2" fillId="0" borderId="23" xfId="0" applyFont="1" applyBorder="1"/>
    <xf numFmtId="0" fontId="2" fillId="0" borderId="24" xfId="0" applyFont="1" applyBorder="1"/>
    <xf numFmtId="2" fontId="2" fillId="0" borderId="24" xfId="0" applyNumberFormat="1" applyFont="1" applyBorder="1"/>
    <xf numFmtId="2" fontId="2" fillId="0" borderId="25" xfId="0" applyNumberFormat="1" applyFont="1" applyBorder="1"/>
    <xf numFmtId="9" fontId="0" fillId="0" borderId="11" xfId="1" applyFont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3" fillId="0" borderId="25" xfId="0" applyFont="1" applyBorder="1" applyAlignment="1">
      <alignment wrapText="1"/>
    </xf>
    <xf numFmtId="0" fontId="3" fillId="0" borderId="6" xfId="0" applyFont="1" applyBorder="1" applyAlignment="1">
      <alignment wrapText="1"/>
    </xf>
    <xf numFmtId="2" fontId="2" fillId="0" borderId="21" xfId="0" applyNumberFormat="1" applyFont="1" applyBorder="1"/>
    <xf numFmtId="0" fontId="0" fillId="0" borderId="11" xfId="0" applyBorder="1" applyAlignment="1">
      <alignment horizontal="center"/>
    </xf>
    <xf numFmtId="167" fontId="0" fillId="0" borderId="12" xfId="3" applyNumberFormat="1" applyFont="1" applyBorder="1"/>
    <xf numFmtId="167" fontId="2" fillId="0" borderId="11" xfId="3" applyNumberFormat="1" applyFont="1" applyBorder="1"/>
    <xf numFmtId="167" fontId="2" fillId="0" borderId="13" xfId="3" applyNumberFormat="1" applyFont="1" applyBorder="1"/>
    <xf numFmtId="164" fontId="2" fillId="0" borderId="11" xfId="0" applyNumberFormat="1" applyFont="1" applyBorder="1"/>
    <xf numFmtId="0" fontId="0" fillId="0" borderId="11" xfId="0" applyFill="1" applyBorder="1"/>
    <xf numFmtId="0" fontId="8" fillId="5" borderId="0" xfId="4" applyFill="1"/>
    <xf numFmtId="0" fontId="8" fillId="5" borderId="0" xfId="4" applyFill="1" applyAlignment="1">
      <alignment vertical="top" wrapText="1"/>
    </xf>
    <xf numFmtId="0" fontId="8" fillId="5" borderId="0" xfId="4" applyFill="1" applyAlignment="1">
      <alignment horizontal="left" vertical="top" wrapText="1"/>
    </xf>
    <xf numFmtId="2" fontId="2" fillId="0" borderId="0" xfId="2" applyNumberFormat="1" applyFont="1" applyBorder="1"/>
    <xf numFmtId="164" fontId="2" fillId="0" borderId="0" xfId="2" applyNumberFormat="1" applyFont="1" applyBorder="1"/>
    <xf numFmtId="164" fontId="2" fillId="0" borderId="6" xfId="2" applyNumberFormat="1" applyFont="1" applyBorder="1"/>
    <xf numFmtId="164" fontId="0" fillId="5" borderId="0" xfId="0" applyNumberFormat="1" applyFill="1"/>
    <xf numFmtId="1" fontId="0" fillId="5" borderId="0" xfId="0" applyNumberFormat="1" applyFill="1"/>
    <xf numFmtId="0" fontId="8" fillId="0" borderId="29" xfId="4" applyBorder="1" applyAlignment="1">
      <alignment horizontal="left" vertical="top"/>
    </xf>
    <xf numFmtId="0" fontId="3" fillId="0" borderId="1" xfId="0" applyFont="1" applyBorder="1"/>
    <xf numFmtId="0" fontId="0" fillId="3" borderId="22" xfId="0" applyFill="1" applyBorder="1"/>
    <xf numFmtId="166" fontId="0" fillId="5" borderId="0" xfId="2" applyNumberFormat="1" applyFont="1" applyFill="1"/>
    <xf numFmtId="2" fontId="0" fillId="5" borderId="0" xfId="0" applyNumberFormat="1" applyFill="1"/>
    <xf numFmtId="166" fontId="0" fillId="5" borderId="0" xfId="0" applyNumberFormat="1" applyFill="1"/>
    <xf numFmtId="165" fontId="0" fillId="5" borderId="0" xfId="1" applyNumberFormat="1" applyFont="1" applyFill="1"/>
    <xf numFmtId="2" fontId="2" fillId="0" borderId="6" xfId="2" applyNumberFormat="1" applyFont="1" applyBorder="1"/>
    <xf numFmtId="165" fontId="2" fillId="0" borderId="0" xfId="1" applyNumberFormat="1" applyFont="1" applyBorder="1"/>
    <xf numFmtId="165" fontId="2" fillId="0" borderId="6" xfId="1" applyNumberFormat="1" applyFont="1" applyBorder="1"/>
    <xf numFmtId="165" fontId="2" fillId="0" borderId="8" xfId="1" applyNumberFormat="1" applyFont="1" applyBorder="1"/>
    <xf numFmtId="165" fontId="2" fillId="0" borderId="9" xfId="1" applyNumberFormat="1" applyFont="1" applyBorder="1"/>
    <xf numFmtId="0" fontId="7" fillId="2" borderId="2" xfId="0" applyFont="1" applyFill="1" applyBorder="1" applyAlignment="1"/>
    <xf numFmtId="0" fontId="7" fillId="2" borderId="4" xfId="0" applyFont="1" applyFill="1" applyBorder="1" applyAlignment="1"/>
    <xf numFmtId="0" fontId="8" fillId="0" borderId="5" xfId="4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8" fillId="0" borderId="5" xfId="4" applyBorder="1" applyAlignment="1">
      <alignment horizontal="left" vertical="top"/>
    </xf>
    <xf numFmtId="0" fontId="8" fillId="0" borderId="5" xfId="4" applyBorder="1" applyAlignment="1">
      <alignment vertical="top" wrapText="1"/>
    </xf>
    <xf numFmtId="0" fontId="8" fillId="0" borderId="7" xfId="4" applyBorder="1" applyAlignment="1">
      <alignment horizontal="left" vertical="top"/>
    </xf>
    <xf numFmtId="0" fontId="0" fillId="0" borderId="9" xfId="0" applyBorder="1" applyAlignment="1">
      <alignment vertical="top" wrapText="1"/>
    </xf>
    <xf numFmtId="0" fontId="0" fillId="3" borderId="17" xfId="0" applyFill="1" applyBorder="1"/>
    <xf numFmtId="0" fontId="0" fillId="3" borderId="18" xfId="0" applyFill="1" applyBorder="1"/>
    <xf numFmtId="0" fontId="6" fillId="6" borderId="16" xfId="0" applyFont="1" applyFill="1" applyBorder="1" applyAlignment="1">
      <alignment wrapText="1"/>
    </xf>
    <xf numFmtId="0" fontId="6" fillId="7" borderId="11" xfId="0" applyFont="1" applyFill="1" applyBorder="1" applyAlignment="1">
      <alignment wrapText="1"/>
    </xf>
    <xf numFmtId="0" fontId="6" fillId="6" borderId="11" xfId="0" applyFont="1" applyFill="1" applyBorder="1" applyAlignment="1">
      <alignment wrapText="1"/>
    </xf>
    <xf numFmtId="0" fontId="6" fillId="6" borderId="11" xfId="0" applyFont="1" applyFill="1" applyBorder="1"/>
    <xf numFmtId="0" fontId="6" fillId="6" borderId="10" xfId="0" applyFont="1" applyFill="1" applyBorder="1"/>
    <xf numFmtId="0" fontId="12" fillId="0" borderId="0" xfId="0" applyFont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3" fontId="0" fillId="0" borderId="14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3" fontId="0" fillId="0" borderId="10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5" fontId="0" fillId="0" borderId="11" xfId="1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5">
    <cellStyle name="Comma" xfId="3" builtinId="3"/>
    <cellStyle name="Currency" xfId="2" builtinId="4"/>
    <cellStyle name="Hyperlink" xfId="4" builtinId="8"/>
    <cellStyle name="Normal" xfId="0" builtinId="0"/>
    <cellStyle name="Percent" xfId="1" builtinId="5"/>
  </cellStyles>
  <dxfs count="56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Tarrif</a:t>
            </a:r>
            <a:r>
              <a:rPr lang="en-US" baseline="0"/>
              <a:t> Scheme Cumulative Impact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8.3591046047841289E-2"/>
          <c:w val="0.71306014873140855"/>
          <c:h val="0.61074156441587346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40yr Model'!$B$8</c:f>
              <c:strCache>
                <c:ptCount val="1"/>
                <c:pt idx="0">
                  <c:v>Active Turbines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40yr Model'!$C$2:$AQ$2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Model'!$C$8:$AQ$8</c:f>
              <c:numCache>
                <c:formatCode>General</c:formatCode>
                <c:ptCount val="41"/>
                <c:pt idx="0">
                  <c:v>0</c:v>
                </c:pt>
                <c:pt idx="1">
                  <c:v>473.48</c:v>
                </c:pt>
                <c:pt idx="2">
                  <c:v>988.09636799999998</c:v>
                </c:pt>
                <c:pt idx="3">
                  <c:v>1478.8939876366398</c:v>
                </c:pt>
                <c:pt idx="4">
                  <c:v>2023.512576091523</c:v>
                </c:pt>
                <c:pt idx="5">
                  <c:v>2610.3953828757308</c:v>
                </c:pt>
                <c:pt idx="6">
                  <c:v>3248.1035287068812</c:v>
                </c:pt>
                <c:pt idx="7">
                  <c:v>3946.0093186462395</c:v>
                </c:pt>
                <c:pt idx="8">
                  <c:v>4707.6457018263227</c:v>
                </c:pt>
                <c:pt idx="9">
                  <c:v>5538.2599910491117</c:v>
                </c:pt>
                <c:pt idx="10">
                  <c:v>6443.1660103667709</c:v>
                </c:pt>
                <c:pt idx="11">
                  <c:v>7428.1426967870884</c:v>
                </c:pt>
                <c:pt idx="12">
                  <c:v>8499.3803934984589</c:v>
                </c:pt>
                <c:pt idx="13">
                  <c:v>9663.5301408201358</c:v>
                </c:pt>
                <c:pt idx="14">
                  <c:v>10927.732775451641</c:v>
                </c:pt>
                <c:pt idx="15">
                  <c:v>12299.655399613761</c:v>
                </c:pt>
                <c:pt idx="16">
                  <c:v>13787.52930390156</c:v>
                </c:pt>
                <c:pt idx="17">
                  <c:v>15400.190880109796</c:v>
                </c:pt>
                <c:pt idx="18">
                  <c:v>17147.12542052778</c:v>
                </c:pt>
                <c:pt idx="19">
                  <c:v>19038.514081548143</c:v>
                </c:pt>
                <c:pt idx="20">
                  <c:v>21085.2842229829</c:v>
                </c:pt>
                <c:pt idx="21">
                  <c:v>22825.683368823542</c:v>
                </c:pt>
                <c:pt idx="22">
                  <c:v>24775.913624935318</c:v>
                </c:pt>
                <c:pt idx="23">
                  <c:v>26897.173065814077</c:v>
                </c:pt>
                <c:pt idx="24">
                  <c:v>29067.577843997773</c:v>
                </c:pt>
                <c:pt idx="25">
                  <c:v>30192.524999999994</c:v>
                </c:pt>
                <c:pt idx="26">
                  <c:v>30192.524999999994</c:v>
                </c:pt>
                <c:pt idx="27">
                  <c:v>30192.524999999994</c:v>
                </c:pt>
                <c:pt idx="28">
                  <c:v>30192.524999999994</c:v>
                </c:pt>
                <c:pt idx="29">
                  <c:v>30192.524999999994</c:v>
                </c:pt>
                <c:pt idx="30">
                  <c:v>30192.524999999994</c:v>
                </c:pt>
                <c:pt idx="31">
                  <c:v>30192.524999999994</c:v>
                </c:pt>
                <c:pt idx="32">
                  <c:v>30192.524999999994</c:v>
                </c:pt>
                <c:pt idx="33">
                  <c:v>30192.524999999994</c:v>
                </c:pt>
                <c:pt idx="34">
                  <c:v>30192.524999999994</c:v>
                </c:pt>
                <c:pt idx="35">
                  <c:v>30192.524999999994</c:v>
                </c:pt>
                <c:pt idx="36">
                  <c:v>30192.524999999994</c:v>
                </c:pt>
                <c:pt idx="37">
                  <c:v>30192.524999999994</c:v>
                </c:pt>
                <c:pt idx="38">
                  <c:v>30192.524999999994</c:v>
                </c:pt>
                <c:pt idx="39">
                  <c:v>30192.524999999994</c:v>
                </c:pt>
                <c:pt idx="40">
                  <c:v>30192.524999999994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50952"/>
        <c:axId val="436002328"/>
      </c:lineChart>
      <c:lineChart>
        <c:grouping val="standard"/>
        <c:varyColors val="0"/>
        <c:ser>
          <c:idx val="1"/>
          <c:order val="1"/>
          <c:tx>
            <c:strRef>
              <c:f>'Cumulative 40yr Model'!$B$23</c:f>
              <c:strCache>
                <c:ptCount val="1"/>
                <c:pt idx="0">
                  <c:v>Cumulative Incremental Carbon Offset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Model'!$C$23:$AQ$23</c:f>
              <c:numCache>
                <c:formatCode>0.0%</c:formatCode>
                <c:ptCount val="41"/>
                <c:pt idx="1">
                  <c:v>5.9048725389909323E-2</c:v>
                </c:pt>
                <c:pt idx="2">
                  <c:v>0.10257118739218364</c:v>
                </c:pt>
                <c:pt idx="3">
                  <c:v>0.13872884564139204</c:v>
                </c:pt>
                <c:pt idx="4">
                  <c:v>0.17823927253115401</c:v>
                </c:pt>
                <c:pt idx="5">
                  <c:v>0.22318003434719971</c:v>
                </c:pt>
                <c:pt idx="6">
                  <c:v>0.27194144316063684</c:v>
                </c:pt>
                <c:pt idx="7">
                  <c:v>0.32389007668986536</c:v>
                </c:pt>
                <c:pt idx="8">
                  <c:v>0.37868349746257601</c:v>
                </c:pt>
                <c:pt idx="9">
                  <c:v>0.43615480831030101</c:v>
                </c:pt>
                <c:pt idx="10">
                  <c:v>0.49622869785522356</c:v>
                </c:pt>
                <c:pt idx="11">
                  <c:v>0.55888585691016934</c:v>
                </c:pt>
                <c:pt idx="12">
                  <c:v>0.62414260399960686</c:v>
                </c:pt>
                <c:pt idx="13">
                  <c:v>0.69203956443548764</c:v>
                </c:pt>
                <c:pt idx="14">
                  <c:v>0.76263488537730717</c:v>
                </c:pt>
                <c:pt idx="15">
                  <c:v>0.83600006560141438</c:v>
                </c:pt>
                <c:pt idx="16">
                  <c:v>0.91221731348630541</c:v>
                </c:pt>
                <c:pt idx="17">
                  <c:v>0.99137784406963025</c:v>
                </c:pt>
                <c:pt idx="18">
                  <c:v>1.0735807712324548</c:v>
                </c:pt>
                <c:pt idx="19">
                  <c:v>1.1589323893734396</c:v>
                </c:pt>
                <c:pt idx="20">
                  <c:v>1.2475457172560382</c:v>
                </c:pt>
                <c:pt idx="21">
                  <c:v>1.3360682409957343</c:v>
                </c:pt>
                <c:pt idx="22">
                  <c:v>1.4254486577555463</c:v>
                </c:pt>
                <c:pt idx="23">
                  <c:v>1.5094188598151657</c:v>
                </c:pt>
                <c:pt idx="24">
                  <c:v>1.5831878725953226</c:v>
                </c:pt>
                <c:pt idx="25">
                  <c:v>1.6472806880198136</c:v>
                </c:pt>
                <c:pt idx="26">
                  <c:v>1.7021400789596035</c:v>
                </c:pt>
                <c:pt idx="27">
                  <c:v>1.7488400258971719</c:v>
                </c:pt>
                <c:pt idx="28">
                  <c:v>1.7883058093839062</c:v>
                </c:pt>
                <c:pt idx="29">
                  <c:v>1.8213387748197223</c:v>
                </c:pt>
                <c:pt idx="30">
                  <c:v>1.8486363045025069</c:v>
                </c:pt>
                <c:pt idx="31">
                  <c:v>1.8708080453675866</c:v>
                </c:pt>
                <c:pt idx="32">
                  <c:v>1.8883891866743425</c:v>
                </c:pt>
                <c:pt idx="33">
                  <c:v>1.9018513950124452</c:v>
                </c:pt>
                <c:pt idx="34">
                  <c:v>1.9116118751716038</c:v>
                </c:pt>
                <c:pt idx="35">
                  <c:v>1.9180409212972642</c:v>
                </c:pt>
                <c:pt idx="36">
                  <c:v>1.9214682439600868</c:v>
                </c:pt>
                <c:pt idx="37">
                  <c:v>1.9221882986342962</c:v>
                </c:pt>
                <c:pt idx="38">
                  <c:v>1.9204647948240516</c:v>
                </c:pt>
                <c:pt idx="39">
                  <c:v>1.9165345292286176</c:v>
                </c:pt>
                <c:pt idx="40">
                  <c:v>1.9106106583579203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40yr Model'!$B$24</c:f>
              <c:strCache>
                <c:ptCount val="1"/>
                <c:pt idx="0">
                  <c:v>Cumulative Production Carbon Offset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Model'!$C$24:$AQ$24</c:f>
              <c:numCache>
                <c:formatCode>0.0%</c:formatCode>
                <c:ptCount val="41"/>
                <c:pt idx="1">
                  <c:v>2.426378269068822E-2</c:v>
                </c:pt>
                <c:pt idx="2">
                  <c:v>4.2147649839620445E-2</c:v>
                </c:pt>
                <c:pt idx="3">
                  <c:v>5.7005236630357274E-2</c:v>
                </c:pt>
                <c:pt idx="4">
                  <c:v>7.3240513611176464E-2</c:v>
                </c:pt>
                <c:pt idx="5">
                  <c:v>9.1707176040520852E-2</c:v>
                </c:pt>
                <c:pt idx="6">
                  <c:v>0.1117437851176616</c:v>
                </c:pt>
                <c:pt idx="7">
                  <c:v>0.13309006053187739</c:v>
                </c:pt>
                <c:pt idx="8">
                  <c:v>0.15560529089001965</c:v>
                </c:pt>
                <c:pt idx="9">
                  <c:v>0.17922089627608423</c:v>
                </c:pt>
                <c:pt idx="10">
                  <c:v>0.2039059304013339</c:v>
                </c:pt>
                <c:pt idx="11">
                  <c:v>0.22965245890446889</c:v>
                </c:pt>
                <c:pt idx="12">
                  <c:v>0.25646718724998357</c:v>
                </c:pt>
                <c:pt idx="13">
                  <c:v>0.28436680883361887</c:v>
                </c:pt>
                <c:pt idx="14">
                  <c:v>0.31337521697454068</c:v>
                </c:pt>
                <c:pt idx="15">
                  <c:v>0.3435217913208366</c:v>
                </c:pt>
                <c:pt idx="16">
                  <c:v>0.37484031221607911</c:v>
                </c:pt>
                <c:pt idx="17">
                  <c:v>0.40736826094097406</c:v>
                </c:pt>
                <c:pt idx="18">
                  <c:v>0.44114636449946493</c:v>
                </c:pt>
                <c:pt idx="19">
                  <c:v>0.4762183004506067</c:v>
                </c:pt>
                <c:pt idx="20">
                  <c:v>0.51263050947027</c:v>
                </c:pt>
                <c:pt idx="21">
                  <c:v>0.54900540605048176</c:v>
                </c:pt>
                <c:pt idx="22">
                  <c:v>0.58573282048225606</c:v>
                </c:pt>
                <c:pt idx="23">
                  <c:v>0.62023711709178031</c:v>
                </c:pt>
                <c:pt idx="24">
                  <c:v>0.65054963075884431</c:v>
                </c:pt>
                <c:pt idx="25">
                  <c:v>0.67688608654557658</c:v>
                </c:pt>
                <c:pt idx="26">
                  <c:v>0.69942842478432943</c:v>
                </c:pt>
                <c:pt idx="27">
                  <c:v>0.71861795608543133</c:v>
                </c:pt>
                <c:pt idx="28">
                  <c:v>0.73483488859187818</c:v>
                </c:pt>
                <c:pt idx="29">
                  <c:v>0.74840850410468018</c:v>
                </c:pt>
                <c:pt idx="30">
                  <c:v>0.75962536482169207</c:v>
                </c:pt>
                <c:pt idx="31">
                  <c:v>0.76873598149753453</c:v>
                </c:pt>
                <c:pt idx="32">
                  <c:v>0.77596026939375218</c:v>
                </c:pt>
                <c:pt idx="33">
                  <c:v>0.78149204159536378</c:v>
                </c:pt>
                <c:pt idx="34">
                  <c:v>0.78550273222373534</c:v>
                </c:pt>
                <c:pt idx="35">
                  <c:v>0.78814449929104102</c:v>
                </c:pt>
                <c:pt idx="36">
                  <c:v>0.78955282456398246</c:v>
                </c:pt>
                <c:pt idx="37">
                  <c:v>0.78984870309523048</c:v>
                </c:pt>
                <c:pt idx="38">
                  <c:v>0.78914049607395764</c:v>
                </c:pt>
                <c:pt idx="39">
                  <c:v>0.78752550591634463</c:v>
                </c:pt>
                <c:pt idx="40">
                  <c:v>0.78509132101997003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40yr Model'!$B$25</c:f>
              <c:strCache>
                <c:ptCount val="1"/>
                <c:pt idx="0">
                  <c:v>Cumulative Total Carbon Offset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Model'!$C$25:$AQ$25</c:f>
              <c:numCache>
                <c:formatCode>0.0%</c:formatCode>
                <c:ptCount val="41"/>
                <c:pt idx="1">
                  <c:v>7.5191542402978069E-3</c:v>
                </c:pt>
                <c:pt idx="2">
                  <c:v>1.3061223142745691E-2</c:v>
                </c:pt>
                <c:pt idx="3">
                  <c:v>1.7665471711170073E-2</c:v>
                </c:pt>
                <c:pt idx="4">
                  <c:v>2.2696655566916739E-2</c:v>
                </c:pt>
                <c:pt idx="5">
                  <c:v>2.8419328114715363E-2</c:v>
                </c:pt>
                <c:pt idx="6">
                  <c:v>3.4628514704627862E-2</c:v>
                </c:pt>
                <c:pt idx="7">
                  <c:v>4.124355652813394E-2</c:v>
                </c:pt>
                <c:pt idx="8">
                  <c:v>4.8220848238040265E-2</c:v>
                </c:pt>
                <c:pt idx="9">
                  <c:v>5.5539137461095886E-2</c:v>
                </c:pt>
                <c:pt idx="10">
                  <c:v>6.3188834187319839E-2</c:v>
                </c:pt>
                <c:pt idx="11">
                  <c:v>7.1167479620935239E-2</c:v>
                </c:pt>
                <c:pt idx="12">
                  <c:v>7.9477151732324045E-2</c:v>
                </c:pt>
                <c:pt idx="13">
                  <c:v>8.8123023672720388E-2</c:v>
                </c:pt>
                <c:pt idx="14">
                  <c:v>9.7112499792649923E-2</c:v>
                </c:pt>
                <c:pt idx="15">
                  <c:v>0.10645468461255421</c:v>
                </c:pt>
                <c:pt idx="16">
                  <c:v>0.11616004639357991</c:v>
                </c:pt>
                <c:pt idx="17">
                  <c:v>0.12624020028800328</c:v>
                </c:pt>
                <c:pt idx="18">
                  <c:v>0.13670776727204642</c:v>
                </c:pt>
                <c:pt idx="19">
                  <c:v>0.14757628267561068</c:v>
                </c:pt>
                <c:pt idx="20">
                  <c:v>0.15886013809663224</c:v>
                </c:pt>
                <c:pt idx="21">
                  <c:v>0.17013243068794606</c:v>
                </c:pt>
                <c:pt idx="22">
                  <c:v>0.18151396577174947</c:v>
                </c:pt>
                <c:pt idx="23">
                  <c:v>0.1922065742354564</c:v>
                </c:pt>
                <c:pt idx="24">
                  <c:v>0.20160018233767782</c:v>
                </c:pt>
                <c:pt idx="25">
                  <c:v>0.20976164156799074</c:v>
                </c:pt>
                <c:pt idx="26">
                  <c:v>0.21674733379557545</c:v>
                </c:pt>
                <c:pt idx="27">
                  <c:v>0.22269401768618671</c:v>
                </c:pt>
                <c:pt idx="28">
                  <c:v>0.22771951673449747</c:v>
                </c:pt>
                <c:pt idx="29">
                  <c:v>0.23192587276481363</c:v>
                </c:pt>
                <c:pt idx="30">
                  <c:v>0.23540188913449192</c:v>
                </c:pt>
                <c:pt idx="31">
                  <c:v>0.23822519714393015</c:v>
                </c:pt>
                <c:pt idx="32">
                  <c:v>0.24046394679234437</c:v>
                </c:pt>
                <c:pt idx="33">
                  <c:v>0.24217819922100925</c:v>
                </c:pt>
                <c:pt idx="34">
                  <c:v>0.24342108050746325</c:v>
                </c:pt>
                <c:pt idx="35">
                  <c:v>0.24423974321555095</c:v>
                </c:pt>
                <c:pt idx="36">
                  <c:v>0.24467617207261538</c:v>
                </c:pt>
                <c:pt idx="37">
                  <c:v>0.24476786248796437</c:v>
                </c:pt>
                <c:pt idx="38">
                  <c:v>0.2445483947365879</c:v>
                </c:pt>
                <c:pt idx="39">
                  <c:v>0.24404792206724127</c:v>
                </c:pt>
                <c:pt idx="40">
                  <c:v>0.24329358743118851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003112"/>
        <c:axId val="436002720"/>
      </c:lineChart>
      <c:catAx>
        <c:axId val="47675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2328"/>
        <c:crosses val="autoZero"/>
        <c:auto val="1"/>
        <c:lblAlgn val="ctr"/>
        <c:lblOffset val="100"/>
        <c:noMultiLvlLbl val="0"/>
      </c:catAx>
      <c:valAx>
        <c:axId val="4360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Turbines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50952"/>
        <c:crosses val="autoZero"/>
        <c:crossBetween val="between"/>
      </c:valAx>
      <c:valAx>
        <c:axId val="436002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Cumulative Carbon Ratios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3112"/>
        <c:crosses val="max"/>
        <c:crossBetween val="between"/>
      </c:valAx>
      <c:catAx>
        <c:axId val="43600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43600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82089602187704"/>
          <c:y val="0.818500335739201"/>
          <c:w val="0.57102266588261164"/>
          <c:h val="0.1697418660100452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</a:t>
            </a:r>
            <a:r>
              <a:rPr lang="en-US" baseline="0"/>
              <a:t>Impact of Instantaneous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'Instantatneous Model'!$D$10:$D$12</c:f>
              <c:strCache>
                <c:ptCount val="3"/>
                <c:pt idx="0">
                  <c:v>Incremental Carbon Ratio</c:v>
                </c:pt>
                <c:pt idx="1">
                  <c:v>Production Carbon Ratio</c:v>
                </c:pt>
                <c:pt idx="2">
                  <c:v>Total Carbon Ratio</c:v>
                </c:pt>
              </c:strCache>
            </c:strRef>
          </c:cat>
          <c:val>
            <c:numRef>
              <c:f>'Instantatneous Model'!$K$10:$K$12</c:f>
              <c:numCache>
                <c:formatCode>0%</c:formatCode>
                <c:ptCount val="3"/>
                <c:pt idx="0">
                  <c:v>3.2716433323089968</c:v>
                </c:pt>
                <c:pt idx="1">
                  <c:v>1.344354892208224</c:v>
                </c:pt>
                <c:pt idx="2">
                  <c:v>0.41660494231560613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003896"/>
        <c:axId val="436004288"/>
      </c:barChart>
      <c:catAx>
        <c:axId val="43600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4288"/>
        <c:crosses val="autoZero"/>
        <c:auto val="1"/>
        <c:lblAlgn val="ctr"/>
        <c:lblOffset val="100"/>
        <c:noMultiLvlLbl val="0"/>
      </c:catAx>
      <c:valAx>
        <c:axId val="4360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Instantaneous</a:t>
            </a:r>
            <a:r>
              <a:rPr lang="en-US" baseline="0"/>
              <a:t>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'Instantatneous Model'!$D$4:$D$5</c:f>
              <c:strCache>
                <c:ptCount val="2"/>
                <c:pt idx="0">
                  <c:v>Wind Cost ($ Billions)</c:v>
                </c:pt>
                <c:pt idx="1">
                  <c:v>Transmission Cost ($ Billions)</c:v>
                </c:pt>
              </c:strCache>
            </c:strRef>
          </c:cat>
          <c:val>
            <c:numRef>
              <c:f>'Instantatneous Model'!$K$4:$K$5</c:f>
              <c:numCache>
                <c:formatCode>0.0</c:formatCode>
                <c:ptCount val="2"/>
                <c:pt idx="0">
                  <c:v>150</c:v>
                </c:pt>
                <c:pt idx="1">
                  <c:v>34.274130720000002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005072"/>
        <c:axId val="436005464"/>
      </c:barChart>
      <c:catAx>
        <c:axId val="4360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5464"/>
        <c:crosses val="autoZero"/>
        <c:auto val="1"/>
        <c:lblAlgn val="ctr"/>
        <c:lblOffset val="100"/>
        <c:noMultiLvlLbl val="0"/>
      </c:catAx>
      <c:valAx>
        <c:axId val="4360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Tarrif</a:t>
            </a:r>
            <a:r>
              <a:rPr lang="en-US" baseline="0"/>
              <a:t> Scheme Cumulative Costs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2251791859675"/>
          <c:y val="8.5703983971009062E-2"/>
          <c:w val="0.85475320278921374"/>
          <c:h val="0.6113536522308628"/>
        </c:manualLayout>
      </c:layout>
      <c:areaChart>
        <c:grouping val="stacked"/>
        <c:varyColors val="0"/>
        <c:ser>
          <c:idx val="1"/>
          <c:order val="0"/>
          <c:tx>
            <c:strRef>
              <c:f>'Cumulative 40yr Model'!$B$20</c:f>
              <c:strCache>
                <c:ptCount val="1"/>
                <c:pt idx="0">
                  <c:v>Transmission Line Construction ($ Billions)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'Cumulative 40yr Model'!$C$2:$AQ$2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Model'!$C$20:$AQ$20</c:f>
              <c:numCache>
                <c:formatCode>0.00</c:formatCode>
                <c:ptCount val="41"/>
                <c:pt idx="0">
                  <c:v>0</c:v>
                </c:pt>
                <c:pt idx="1">
                  <c:v>0.14521206</c:v>
                </c:pt>
                <c:pt idx="2">
                  <c:v>0.98025149381760046</c:v>
                </c:pt>
                <c:pt idx="3">
                  <c:v>1.0224296012270482</c:v>
                </c:pt>
                <c:pt idx="4">
                  <c:v>1.2318163061140499</c:v>
                </c:pt>
                <c:pt idx="5">
                  <c:v>1.3972505863918423</c:v>
                </c:pt>
                <c:pt idx="6">
                  <c:v>1.5182555535948024</c:v>
                </c:pt>
                <c:pt idx="7">
                  <c:v>1.6615741046876236</c:v>
                </c:pt>
                <c:pt idx="8">
                  <c:v>1.8133039010751437</c:v>
                </c:pt>
                <c:pt idx="9">
                  <c:v>1.9775264997816129</c:v>
                </c:pt>
                <c:pt idx="10">
                  <c:v>2.1544002507914848</c:v>
                </c:pt>
                <c:pt idx="11">
                  <c:v>2.3450324950294918</c:v>
                </c:pt>
                <c:pt idx="12">
                  <c:v>2.5504027083304304</c:v>
                </c:pt>
                <c:pt idx="13">
                  <c:v>2.7716077184234478</c:v>
                </c:pt>
                <c:pt idx="14">
                  <c:v>3.0098136325306948</c:v>
                </c:pt>
                <c:pt idx="15">
                  <c:v>3.2662733836051689</c:v>
                </c:pt>
                <c:pt idx="16">
                  <c:v>3.5423301913283964</c:v>
                </c:pt>
                <c:pt idx="17">
                  <c:v>3.8394246806365686</c:v>
                </c:pt>
                <c:pt idx="18">
                  <c:v>4.1591017538271311</c:v>
                </c:pt>
                <c:pt idx="19">
                  <c:v>4.5030181241572844</c:v>
                </c:pt>
                <c:pt idx="20">
                  <c:v>4.8729503527278668</c:v>
                </c:pt>
                <c:pt idx="21">
                  <c:v>4.1435422864174063</c:v>
                </c:pt>
                <c:pt idx="22">
                  <c:v>4.6431081937509102</c:v>
                </c:pt>
                <c:pt idx="23">
                  <c:v>5.742778765616702</c:v>
                </c:pt>
                <c:pt idx="24">
                  <c:v>6.4591246198746761</c:v>
                </c:pt>
                <c:pt idx="25">
                  <c:v>3.3478427362626011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0.14521206</c:v>
                </c:pt>
                <c:pt idx="32">
                  <c:v>0.98025149381760046</c:v>
                </c:pt>
                <c:pt idx="33">
                  <c:v>1.0224296012270482</c:v>
                </c:pt>
                <c:pt idx="34">
                  <c:v>1.2318163061140517</c:v>
                </c:pt>
                <c:pt idx="35">
                  <c:v>1.3972505863918392</c:v>
                </c:pt>
                <c:pt idx="36">
                  <c:v>1.5182555535948055</c:v>
                </c:pt>
                <c:pt idx="37">
                  <c:v>1.6615741046876256</c:v>
                </c:pt>
                <c:pt idx="38">
                  <c:v>1.8133039010751404</c:v>
                </c:pt>
                <c:pt idx="39">
                  <c:v>1.9775264997816109</c:v>
                </c:pt>
                <c:pt idx="40">
                  <c:v>2.1544002507914866</c:v>
                </c:pt>
              </c:numCache>
            </c:numRef>
          </c:val>
        </c:ser>
        <c:ser>
          <c:idx val="2"/>
          <c:order val="1"/>
          <c:tx>
            <c:strRef>
              <c:f>'Cumulative 40yr Model'!$B$18</c:f>
              <c:strCache>
                <c:ptCount val="1"/>
                <c:pt idx="0">
                  <c:v>Newly Built Turbines ($ Billions)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'Cumulative 40yr Model'!$C$2:$AQ$2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Model'!$C$18:$AQ$18</c:f>
              <c:numCache>
                <c:formatCode>0.00</c:formatCode>
                <c:ptCount val="41"/>
                <c:pt idx="0">
                  <c:v>4.7347999999999999</c:v>
                </c:pt>
                <c:pt idx="1">
                  <c:v>5.1461636799999999</c:v>
                </c:pt>
                <c:pt idx="2">
                  <c:v>4.9079761963664001</c:v>
                </c:pt>
                <c:pt idx="3">
                  <c:v>5.4461858845488313</c:v>
                </c:pt>
                <c:pt idx="4">
                  <c:v>5.8688280678420792</c:v>
                </c:pt>
                <c:pt idx="5">
                  <c:v>6.377081458311503</c:v>
                </c:pt>
                <c:pt idx="6">
                  <c:v>6.9790578993935837</c:v>
                </c:pt>
                <c:pt idx="7">
                  <c:v>7.616363831800836</c:v>
                </c:pt>
                <c:pt idx="8">
                  <c:v>8.3061428922278875</c:v>
                </c:pt>
                <c:pt idx="9">
                  <c:v>9.0490601931765937</c:v>
                </c:pt>
                <c:pt idx="10">
                  <c:v>9.8497668642031719</c:v>
                </c:pt>
                <c:pt idx="11">
                  <c:v>10.712376967113709</c:v>
                </c:pt>
                <c:pt idx="12">
                  <c:v>11.641497473216761</c:v>
                </c:pt>
                <c:pt idx="13">
                  <c:v>12.642026346315049</c:v>
                </c:pt>
                <c:pt idx="14">
                  <c:v>13.719226241621202</c:v>
                </c:pt>
                <c:pt idx="15">
                  <c:v>14.878739042877985</c:v>
                </c:pt>
                <c:pt idx="16">
                  <c:v>16.126615762082363</c:v>
                </c:pt>
                <c:pt idx="17">
                  <c:v>17.469345404179851</c:v>
                </c:pt>
                <c:pt idx="18">
                  <c:v>18.91388661020364</c:v>
                </c:pt>
                <c:pt idx="19">
                  <c:v>20.46770141434758</c:v>
                </c:pt>
                <c:pt idx="20">
                  <c:v>17.403991458406402</c:v>
                </c:pt>
                <c:pt idx="21">
                  <c:v>19.502302561117745</c:v>
                </c:pt>
                <c:pt idx="22">
                  <c:v>21.212594408787592</c:v>
                </c:pt>
                <c:pt idx="23">
                  <c:v>21.704047781836945</c:v>
                </c:pt>
                <c:pt idx="24">
                  <c:v>11.249471560022211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"/>
          <c:order val="2"/>
          <c:tx>
            <c:strRef>
              <c:f>'Cumulative 40yr Model'!$B$19</c:f>
              <c:strCache>
                <c:ptCount val="1"/>
                <c:pt idx="0">
                  <c:v>Replaced Turbines ($ Billions)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'Cumulative 40yr Model'!$C$2:$AQ$2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Model'!$C$19:$AQ$19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4.7347999999999999</c:v>
                </c:pt>
                <c:pt idx="21">
                  <c:v>5.146163679999999</c:v>
                </c:pt>
                <c:pt idx="22">
                  <c:v>4.9079761963664001</c:v>
                </c:pt>
                <c:pt idx="23">
                  <c:v>5.4461858845488313</c:v>
                </c:pt>
                <c:pt idx="24">
                  <c:v>5.8688280678420792</c:v>
                </c:pt>
                <c:pt idx="25">
                  <c:v>6.3770814583115021</c:v>
                </c:pt>
                <c:pt idx="26">
                  <c:v>6.9790578993935837</c:v>
                </c:pt>
                <c:pt idx="27">
                  <c:v>7.6163638318008351</c:v>
                </c:pt>
                <c:pt idx="28">
                  <c:v>8.3061428922278875</c:v>
                </c:pt>
                <c:pt idx="29">
                  <c:v>9.0490601931765937</c:v>
                </c:pt>
                <c:pt idx="30">
                  <c:v>9.8497668642031737</c:v>
                </c:pt>
                <c:pt idx="31">
                  <c:v>10.712376967113709</c:v>
                </c:pt>
                <c:pt idx="32">
                  <c:v>11.641497473216763</c:v>
                </c:pt>
                <c:pt idx="33">
                  <c:v>12.642026346315049</c:v>
                </c:pt>
                <c:pt idx="34">
                  <c:v>13.719226241621204</c:v>
                </c:pt>
                <c:pt idx="35">
                  <c:v>14.878739042877983</c:v>
                </c:pt>
                <c:pt idx="36">
                  <c:v>16.126615762082363</c:v>
                </c:pt>
                <c:pt idx="37">
                  <c:v>17.469345404179851</c:v>
                </c:pt>
                <c:pt idx="38">
                  <c:v>18.913886610203644</c:v>
                </c:pt>
                <c:pt idx="39">
                  <c:v>20.46770141434758</c:v>
                </c:pt>
                <c:pt idx="40">
                  <c:v>22.138791458406406</c:v>
                </c:pt>
              </c:numCache>
            </c:numRef>
          </c:val>
        </c:ser>
        <c:ser>
          <c:idx val="0"/>
          <c:order val="3"/>
          <c:tx>
            <c:strRef>
              <c:f>'Cumulative 40yr Model'!$B$21</c:f>
              <c:strCache>
                <c:ptCount val="1"/>
                <c:pt idx="0">
                  <c:v>Unused Income ($ Billions)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'Cumulative 40yr Model'!$C$2:$AQ$2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Model'!$C$21:$AQ$21</c:f>
              <c:numCache>
                <c:formatCode>0.00</c:formatCode>
                <c:ptCount val="41"/>
                <c:pt idx="0">
                  <c:v>0</c:v>
                </c:pt>
                <c:pt idx="1">
                  <c:v>4.163336342344337E-16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3.5527136788005009E-15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11.496113689949812</c:v>
                </c:pt>
                <c:pt idx="25">
                  <c:v>26.622251184252683</c:v>
                </c:pt>
                <c:pt idx="26">
                  <c:v>29.665526071672996</c:v>
                </c:pt>
                <c:pt idx="27">
                  <c:v>29.334550989272739</c:v>
                </c:pt>
                <c:pt idx="28">
                  <c:v>28.960292704352895</c:v>
                </c:pt>
                <c:pt idx="29">
                  <c:v>28.542361802176615</c:v>
                </c:pt>
                <c:pt idx="30">
                  <c:v>28.076391121885628</c:v>
                </c:pt>
                <c:pt idx="31">
                  <c:v>27.413347029432767</c:v>
                </c:pt>
                <c:pt idx="32">
                  <c:v>26.004308502083504</c:v>
                </c:pt>
                <c:pt idx="33">
                  <c:v>25.327376576524305</c:v>
                </c:pt>
                <c:pt idx="34">
                  <c:v>24.417538282928142</c:v>
                </c:pt>
                <c:pt idx="35">
                  <c:v>23.480641957188478</c:v>
                </c:pt>
                <c:pt idx="36">
                  <c:v>22.511452549249878</c:v>
                </c:pt>
                <c:pt idx="37">
                  <c:v>21.437087402882383</c:v>
                </c:pt>
                <c:pt idx="38">
                  <c:v>20.264849938698568</c:v>
                </c:pt>
                <c:pt idx="39">
                  <c:v>18.983567080222485</c:v>
                </c:pt>
                <c:pt idx="40">
                  <c:v>17.585460465859335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12480"/>
        <c:axId val="464812872"/>
      </c:areaChart>
      <c:catAx>
        <c:axId val="46481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2872"/>
        <c:crosses val="autoZero"/>
        <c:auto val="1"/>
        <c:lblAlgn val="ctr"/>
        <c:lblOffset val="100"/>
        <c:noMultiLvlLbl val="0"/>
      </c:catAx>
      <c:valAx>
        <c:axId val="464812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Expenditures ($ Billions)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755402499796686"/>
          <c:y val="0.83494726224652327"/>
          <c:w val="0.56652687941642554"/>
          <c:h val="0.160855168573684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15</xdr:row>
      <xdr:rowOff>66674</xdr:rowOff>
    </xdr:from>
    <xdr:to>
      <xdr:col>12</xdr:col>
      <xdr:colOff>314325</xdr:colOff>
      <xdr:row>35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0</xdr:row>
      <xdr:rowOff>57148</xdr:rowOff>
    </xdr:from>
    <xdr:to>
      <xdr:col>15</xdr:col>
      <xdr:colOff>133350</xdr:colOff>
      <xdr:row>11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0</xdr:row>
      <xdr:rowOff>76200</xdr:rowOff>
    </xdr:from>
    <xdr:to>
      <xdr:col>22</xdr:col>
      <xdr:colOff>495301</xdr:colOff>
      <xdr:row>11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428624</xdr:colOff>
      <xdr:row>15</xdr:row>
      <xdr:rowOff>75641</xdr:rowOff>
    </xdr:from>
    <xdr:to>
      <xdr:col>21</xdr:col>
      <xdr:colOff>329883</xdr:colOff>
      <xdr:row>35</xdr:row>
      <xdr:rowOff>47624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X14" totalsRowShown="0" headerRowDxfId="55" dataDxfId="53" headerRowBorderDxfId="54" tableBorderDxfId="52">
  <autoFilter ref="A4:X14"/>
  <sortState ref="A5:X14">
    <sortCondition ref="B4:B14"/>
  </sortState>
  <tableColumns count="24">
    <tableColumn id="1" name="Region" dataDxfId="51"/>
    <tableColumn id="25" name="Transmission Priority" dataDxfId="50"/>
    <tableColumn id="2" name="Representative Destination of Transmission " dataDxfId="49"/>
    <tableColumn id="3" name="Transmission Distance (km)" dataDxfId="48"/>
    <tableColumn id="4" name="Grid Capacity (GW)" dataDxfId="47"/>
    <tableColumn id="5" name="Current Wind Proportion" dataDxfId="46"/>
    <tableColumn id="6" name="Max Wind Proportion" dataDxfId="45"/>
    <tableColumn id="7" name="Additional Wind Capacity (GW)" dataDxfId="44">
      <calculatedColumnFormula>(G5-F5)*E5</calculatedColumnFormula>
    </tableColumn>
    <tableColumn id="8" name=" " dataDxfId="43"/>
    <tableColumn id="9" name="Method of Calculating GHG (choose one)" dataDxfId="42"/>
    <tableColumn id="10" name="Electricity Generation's GHG Emissions (MT CO2 eq/GW)" dataDxfId="41">
      <calculatedColumnFormula>IF(J5="List Source Ratios",SUMPRODUCT(M5:V5,'GHG by Electricity Source'!$B$4:$K$4)/SUM(Table1[[#This Row],[Lignite]:[Waste Heat]]),L5)</calculatedColumnFormula>
    </tableColumn>
    <tableColumn id="11" name="Optional Direct Input (MT CO2 eq/GW)" dataDxfId="40">
      <calculatedColumnFormula>0.6*'GHG by Electricity Source'!$E$4</calculatedColumnFormula>
    </tableColumn>
    <tableColumn id="12" name="Lignite" dataDxfId="39"/>
    <tableColumn id="13" name="Coal" dataDxfId="38"/>
    <tableColumn id="14" name="Oil" dataDxfId="37"/>
    <tableColumn id="15" name="Natural Gas" dataDxfId="36"/>
    <tableColumn id="16" name="Hydro" dataDxfId="35"/>
    <tableColumn id="17" name="Nuclear" dataDxfId="34"/>
    <tableColumn id="18" name="Wind" dataDxfId="33"/>
    <tableColumn id="19" name="Solar PV" dataDxfId="32"/>
    <tableColumn id="20" name="Biomass" dataDxfId="31"/>
    <tableColumn id="21" name="Waste Heat" dataDxfId="30"/>
    <tableColumn id="22" name="Source" dataDxfId="29"/>
    <tableColumn id="23" name="Weblink" dataDxfId="28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2"/>
  <sheetViews>
    <sheetView tabSelected="1" zoomScaleNormal="100" workbookViewId="0">
      <selection activeCell="B5" sqref="B5"/>
    </sheetView>
  </sheetViews>
  <sheetFormatPr defaultRowHeight="15" x14ac:dyDescent="0.25"/>
  <cols>
    <col min="1" max="1" width="35.5703125" customWidth="1"/>
    <col min="2" max="2" width="12.5703125" customWidth="1"/>
    <col min="3" max="3" width="22.42578125" customWidth="1"/>
    <col min="4" max="4" width="26.42578125" customWidth="1"/>
    <col min="5" max="5" width="5.42578125" customWidth="1"/>
    <col min="6" max="6" width="14.28515625" customWidth="1"/>
    <col min="7" max="7" width="7.5703125" customWidth="1"/>
    <col min="8" max="8" width="10" customWidth="1"/>
    <col min="9" max="9" width="11.42578125" customWidth="1"/>
    <col min="11" max="14" width="9.140625" style="79"/>
    <col min="15" max="15" width="7" style="79" customWidth="1"/>
    <col min="16" max="21" width="9.140625" style="79"/>
    <col min="22" max="22" width="5" style="79" customWidth="1"/>
    <col min="23" max="27" width="9.140625" style="79"/>
  </cols>
  <sheetData>
    <row r="1" spans="1:10" ht="15.75" thickBot="1" x14ac:dyDescent="0.3">
      <c r="A1" s="19" t="s">
        <v>167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9.5" thickBot="1" x14ac:dyDescent="0.35">
      <c r="A2" s="141" t="s">
        <v>41</v>
      </c>
      <c r="B2" s="142"/>
      <c r="C2" s="143"/>
      <c r="D2" s="19" t="s">
        <v>6</v>
      </c>
      <c r="E2" s="19"/>
      <c r="F2" s="146" t="s">
        <v>126</v>
      </c>
      <c r="G2" s="147"/>
      <c r="H2" s="148"/>
      <c r="I2" s="19"/>
      <c r="J2" s="19"/>
    </row>
    <row r="3" spans="1:10" x14ac:dyDescent="0.25">
      <c r="A3" s="3" t="s">
        <v>42</v>
      </c>
      <c r="B3" s="100">
        <f>1900000*356</f>
        <v>676400000</v>
      </c>
      <c r="C3" s="5" t="s">
        <v>5</v>
      </c>
      <c r="D3" s="105" t="s">
        <v>129</v>
      </c>
      <c r="E3" s="19"/>
      <c r="F3" s="161" t="s">
        <v>127</v>
      </c>
      <c r="G3" s="149">
        <v>15000</v>
      </c>
      <c r="H3" s="150"/>
      <c r="I3" s="19"/>
      <c r="J3" s="19"/>
    </row>
    <row r="4" spans="1:10" x14ac:dyDescent="0.25">
      <c r="A4" s="6" t="s">
        <v>180</v>
      </c>
      <c r="B4" s="160">
        <v>0.03</v>
      </c>
      <c r="C4" s="8" t="s">
        <v>181</v>
      </c>
      <c r="D4" s="19" t="s">
        <v>72</v>
      </c>
      <c r="E4" s="19"/>
      <c r="F4" s="162"/>
      <c r="G4" s="158"/>
      <c r="H4" s="159"/>
      <c r="I4" s="19"/>
      <c r="J4" s="19"/>
    </row>
    <row r="5" spans="1:10" ht="15.75" thickBot="1" x14ac:dyDescent="0.3">
      <c r="A5" s="6" t="s">
        <v>43</v>
      </c>
      <c r="B5" s="13">
        <v>172.3</v>
      </c>
      <c r="C5" s="8" t="s">
        <v>45</v>
      </c>
      <c r="D5" s="106" t="s">
        <v>130</v>
      </c>
      <c r="E5" s="19"/>
      <c r="F5" s="163"/>
      <c r="G5" s="151"/>
      <c r="H5" s="152"/>
      <c r="I5" s="19"/>
      <c r="J5" s="19"/>
    </row>
    <row r="6" spans="1:10" x14ac:dyDescent="0.25">
      <c r="A6" s="6" t="s">
        <v>44</v>
      </c>
      <c r="B6" s="13">
        <v>556</v>
      </c>
      <c r="C6" s="8" t="s">
        <v>45</v>
      </c>
      <c r="D6" s="106" t="s">
        <v>130</v>
      </c>
      <c r="E6" s="19"/>
      <c r="F6" s="19"/>
      <c r="G6" s="19"/>
      <c r="H6" s="19"/>
      <c r="I6" s="19"/>
      <c r="J6" s="19"/>
    </row>
    <row r="7" spans="1:10" x14ac:dyDescent="0.25">
      <c r="A7" s="6" t="s">
        <v>47</v>
      </c>
      <c r="B7" s="14">
        <f>B5-B19</f>
        <v>70.800000000000011</v>
      </c>
      <c r="C7" s="8" t="s">
        <v>45</v>
      </c>
      <c r="D7" s="19"/>
      <c r="E7" s="19"/>
      <c r="F7" s="19"/>
      <c r="G7" s="19"/>
      <c r="H7" s="19"/>
      <c r="I7" s="19"/>
      <c r="J7" s="19"/>
    </row>
    <row r="8" spans="1:10" x14ac:dyDescent="0.25">
      <c r="A8" s="6" t="s">
        <v>52</v>
      </c>
      <c r="B8" s="13">
        <v>14</v>
      </c>
      <c r="C8" s="8" t="s">
        <v>4</v>
      </c>
      <c r="D8" s="107" t="s">
        <v>136</v>
      </c>
      <c r="E8" s="19"/>
      <c r="F8" s="19"/>
      <c r="G8" s="19"/>
      <c r="H8" s="19"/>
      <c r="I8" s="19"/>
      <c r="J8" s="19"/>
    </row>
    <row r="9" spans="1:10" x14ac:dyDescent="0.25">
      <c r="A9" s="6" t="s">
        <v>54</v>
      </c>
      <c r="B9" s="99" t="s">
        <v>51</v>
      </c>
      <c r="C9" s="8"/>
      <c r="D9" s="19"/>
      <c r="E9" s="19"/>
      <c r="F9" s="19"/>
      <c r="G9" s="19"/>
      <c r="H9" s="19"/>
      <c r="I9" s="19"/>
      <c r="J9" s="19"/>
    </row>
    <row r="10" spans="1:10" x14ac:dyDescent="0.25">
      <c r="A10" s="6" t="s">
        <v>53</v>
      </c>
      <c r="B10" s="13">
        <v>10</v>
      </c>
      <c r="C10" s="8" t="s">
        <v>55</v>
      </c>
      <c r="D10" s="107" t="s">
        <v>136</v>
      </c>
      <c r="E10" s="19"/>
      <c r="F10" s="19"/>
      <c r="G10" s="19"/>
      <c r="H10" s="19"/>
      <c r="I10" s="19"/>
      <c r="J10" s="19"/>
    </row>
    <row r="11" spans="1:10" x14ac:dyDescent="0.25">
      <c r="A11" s="6" t="s">
        <v>77</v>
      </c>
      <c r="B11" s="13">
        <v>70100</v>
      </c>
      <c r="C11" s="8" t="s">
        <v>78</v>
      </c>
      <c r="D11" s="19"/>
      <c r="E11" s="19"/>
      <c r="F11" s="19"/>
      <c r="G11" s="19"/>
      <c r="H11" s="19"/>
      <c r="I11" s="19"/>
      <c r="J11" s="19"/>
    </row>
    <row r="12" spans="1:10" ht="15.75" thickBot="1" x14ac:dyDescent="0.3">
      <c r="A12" s="6" t="s">
        <v>80</v>
      </c>
      <c r="B12" s="13">
        <v>1</v>
      </c>
      <c r="C12" s="8" t="s">
        <v>81</v>
      </c>
      <c r="D12" s="19"/>
      <c r="E12" s="19"/>
      <c r="F12" s="19"/>
      <c r="G12" s="19"/>
      <c r="H12" s="19"/>
      <c r="I12" s="19"/>
      <c r="J12" s="19"/>
    </row>
    <row r="13" spans="1:10" ht="19.5" thickBot="1" x14ac:dyDescent="0.35">
      <c r="A13" s="6" t="s">
        <v>82</v>
      </c>
      <c r="B13" s="92">
        <v>0.5</v>
      </c>
      <c r="C13" s="8" t="s">
        <v>83</v>
      </c>
      <c r="D13" s="19"/>
      <c r="E13" s="19"/>
      <c r="F13" s="146" t="s">
        <v>176</v>
      </c>
      <c r="G13" s="147"/>
      <c r="H13" s="147"/>
      <c r="I13" s="148"/>
      <c r="J13" s="19"/>
    </row>
    <row r="14" spans="1:10" x14ac:dyDescent="0.25">
      <c r="A14" s="6" t="s">
        <v>168</v>
      </c>
      <c r="B14" s="101">
        <f t="shared" ref="B14:B15" si="0">B5*$B$3/10^6</f>
        <v>116543.72000000002</v>
      </c>
      <c r="C14" s="8" t="s">
        <v>96</v>
      </c>
      <c r="D14" s="19"/>
      <c r="E14" s="19"/>
      <c r="F14" s="3" t="s">
        <v>114</v>
      </c>
      <c r="G14" s="15">
        <v>7</v>
      </c>
      <c r="H14" s="153" t="s">
        <v>115</v>
      </c>
      <c r="I14" s="154"/>
      <c r="J14" s="19"/>
    </row>
    <row r="15" spans="1:10" ht="15.75" thickBot="1" x14ac:dyDescent="0.3">
      <c r="A15" s="6" t="s">
        <v>169</v>
      </c>
      <c r="B15" s="101">
        <f t="shared" si="0"/>
        <v>376078.4</v>
      </c>
      <c r="C15" s="8" t="s">
        <v>96</v>
      </c>
      <c r="D15" s="19"/>
      <c r="E15" s="19"/>
      <c r="F15" s="11" t="s">
        <v>116</v>
      </c>
      <c r="G15" s="18">
        <v>0.05</v>
      </c>
      <c r="H15" s="144" t="s">
        <v>117</v>
      </c>
      <c r="I15" s="145"/>
      <c r="J15" s="19"/>
    </row>
    <row r="16" spans="1:10" ht="15.75" thickBot="1" x14ac:dyDescent="0.3">
      <c r="A16" s="11" t="s">
        <v>170</v>
      </c>
      <c r="B16" s="102">
        <f>B7*$B$3/10^6</f>
        <v>47889.12000000001</v>
      </c>
      <c r="C16" s="12" t="s">
        <v>96</v>
      </c>
      <c r="D16" s="19"/>
      <c r="E16" s="19"/>
      <c r="F16" s="19"/>
      <c r="G16" s="19"/>
      <c r="H16" s="19"/>
      <c r="I16" s="19"/>
      <c r="J16" s="19"/>
    </row>
    <row r="17" spans="1:10" ht="15.75" thickBo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 spans="1:10" ht="19.5" thickBot="1" x14ac:dyDescent="0.35">
      <c r="A18" s="93" t="s">
        <v>46</v>
      </c>
      <c r="B18" s="94"/>
      <c r="C18" s="95"/>
      <c r="D18" s="19"/>
      <c r="E18" s="19"/>
      <c r="F18" s="19"/>
      <c r="G18" s="19"/>
      <c r="H18" s="19"/>
      <c r="I18" s="19"/>
      <c r="J18" s="19"/>
    </row>
    <row r="19" spans="1:10" x14ac:dyDescent="0.25">
      <c r="A19" s="3" t="s">
        <v>43</v>
      </c>
      <c r="B19" s="15">
        <v>101.5</v>
      </c>
      <c r="C19" s="5" t="s">
        <v>45</v>
      </c>
      <c r="D19" s="106" t="s">
        <v>130</v>
      </c>
      <c r="E19" s="19"/>
      <c r="F19" s="19"/>
      <c r="G19" s="19"/>
      <c r="H19" s="19"/>
      <c r="I19" s="19"/>
      <c r="J19" s="19"/>
    </row>
    <row r="20" spans="1:10" ht="15.75" thickBot="1" x14ac:dyDescent="0.3">
      <c r="A20" s="11" t="s">
        <v>44</v>
      </c>
      <c r="B20" s="18">
        <v>487</v>
      </c>
      <c r="C20" s="12" t="s">
        <v>45</v>
      </c>
      <c r="D20" s="106" t="s">
        <v>130</v>
      </c>
      <c r="E20" s="19"/>
      <c r="F20" s="19"/>
      <c r="G20" s="19"/>
      <c r="H20" s="19"/>
      <c r="I20" s="19"/>
      <c r="J20" s="19"/>
    </row>
    <row r="21" spans="1:10" ht="15.75" thickBo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9.5" thickBot="1" x14ac:dyDescent="0.35">
      <c r="A22" s="93" t="s">
        <v>58</v>
      </c>
      <c r="B22" s="94"/>
      <c r="C22" s="95"/>
      <c r="D22" s="19"/>
      <c r="E22" s="19"/>
      <c r="F22" s="19"/>
      <c r="G22" s="19"/>
      <c r="H22" s="19"/>
      <c r="I22" s="19"/>
      <c r="J22" s="19"/>
    </row>
    <row r="23" spans="1:10" x14ac:dyDescent="0.25">
      <c r="A23" s="3" t="s">
        <v>70</v>
      </c>
      <c r="B23" s="15">
        <v>5</v>
      </c>
      <c r="C23" s="5" t="s">
        <v>79</v>
      </c>
      <c r="D23" s="19"/>
      <c r="E23" s="19"/>
      <c r="F23" s="19"/>
      <c r="G23" s="19"/>
      <c r="H23" s="19"/>
      <c r="I23" s="19"/>
      <c r="J23" s="19"/>
    </row>
    <row r="24" spans="1:10" x14ac:dyDescent="0.25">
      <c r="A24" s="6" t="s">
        <v>71</v>
      </c>
      <c r="B24" s="16">
        <v>0.4</v>
      </c>
      <c r="C24" s="8"/>
      <c r="D24" s="19" t="s">
        <v>72</v>
      </c>
      <c r="E24" s="19"/>
      <c r="F24" s="19"/>
      <c r="G24" s="19"/>
      <c r="H24" s="19"/>
      <c r="I24" s="19"/>
      <c r="J24" s="19"/>
    </row>
    <row r="25" spans="1:10" x14ac:dyDescent="0.25">
      <c r="A25" s="6" t="s">
        <v>59</v>
      </c>
      <c r="B25" s="13">
        <v>2</v>
      </c>
      <c r="C25" s="8" t="s">
        <v>88</v>
      </c>
      <c r="D25" s="19"/>
      <c r="E25" s="19"/>
      <c r="F25" s="19"/>
      <c r="G25" s="19"/>
      <c r="H25" s="19"/>
      <c r="I25" s="19"/>
      <c r="J25" s="19"/>
    </row>
    <row r="26" spans="1:10" x14ac:dyDescent="0.25">
      <c r="A26" s="6" t="s">
        <v>60</v>
      </c>
      <c r="B26" s="16">
        <v>0.05</v>
      </c>
      <c r="C26" s="8" t="s">
        <v>62</v>
      </c>
      <c r="D26" s="19"/>
      <c r="E26" s="19"/>
      <c r="F26" s="19"/>
      <c r="G26" s="19"/>
      <c r="H26" s="19"/>
      <c r="I26" s="19"/>
      <c r="J26" s="19"/>
    </row>
    <row r="27" spans="1:10" ht="16.5" customHeight="1" x14ac:dyDescent="0.25">
      <c r="A27" s="6" t="s">
        <v>61</v>
      </c>
      <c r="B27" s="13">
        <v>10.4</v>
      </c>
      <c r="C27" s="8" t="s">
        <v>63</v>
      </c>
      <c r="D27" s="107" t="s">
        <v>138</v>
      </c>
      <c r="E27" s="19"/>
      <c r="F27" s="19"/>
      <c r="G27" s="19"/>
      <c r="H27" s="19"/>
      <c r="I27" s="19"/>
      <c r="J27" s="19"/>
    </row>
    <row r="28" spans="1:10" x14ac:dyDescent="0.25">
      <c r="A28" s="6"/>
      <c r="B28" s="103">
        <f>B27*365*24/1000</f>
        <v>91.103999999999999</v>
      </c>
      <c r="C28" s="8" t="s">
        <v>64</v>
      </c>
      <c r="D28" s="19"/>
      <c r="E28" s="19"/>
      <c r="F28" s="19"/>
      <c r="G28" s="19"/>
      <c r="H28" s="19"/>
      <c r="I28" s="19"/>
      <c r="J28" s="19"/>
    </row>
    <row r="29" spans="1:10" x14ac:dyDescent="0.25">
      <c r="A29" s="6" t="s">
        <v>68</v>
      </c>
      <c r="B29" s="13">
        <v>20</v>
      </c>
      <c r="C29" s="8" t="s">
        <v>69</v>
      </c>
      <c r="D29" s="19"/>
      <c r="E29" s="19"/>
      <c r="F29" s="19"/>
      <c r="G29" s="19"/>
      <c r="H29" s="19"/>
      <c r="I29" s="19"/>
      <c r="J29" s="19"/>
    </row>
    <row r="30" spans="1:10" ht="15.75" thickBot="1" x14ac:dyDescent="0.3">
      <c r="A30" s="11" t="s">
        <v>124</v>
      </c>
      <c r="B30" s="17">
        <v>0.15</v>
      </c>
      <c r="C30" s="12"/>
      <c r="D30" s="19" t="s">
        <v>72</v>
      </c>
      <c r="E30" s="19"/>
      <c r="F30" s="19"/>
      <c r="G30" s="19"/>
      <c r="H30" s="19"/>
      <c r="I30" s="19"/>
      <c r="J30" s="19"/>
    </row>
    <row r="31" spans="1:10" ht="15.75" thickBo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10" ht="19.5" thickBot="1" x14ac:dyDescent="0.35">
      <c r="A32" s="93" t="s">
        <v>65</v>
      </c>
      <c r="B32" s="94"/>
      <c r="C32" s="95"/>
      <c r="D32" s="19"/>
      <c r="E32" s="19"/>
      <c r="F32" s="19"/>
      <c r="G32" s="19"/>
      <c r="H32" s="19"/>
      <c r="I32" s="19"/>
      <c r="J32" s="19"/>
    </row>
    <row r="33" spans="1:27" ht="17.25" customHeight="1" x14ac:dyDescent="0.25">
      <c r="A33" s="3" t="s">
        <v>66</v>
      </c>
      <c r="B33" s="15">
        <v>372</v>
      </c>
      <c r="C33" s="5" t="s">
        <v>74</v>
      </c>
      <c r="D33" s="107" t="s">
        <v>137</v>
      </c>
      <c r="E33" s="19"/>
      <c r="F33" s="19"/>
      <c r="G33" s="19"/>
      <c r="H33" s="19"/>
      <c r="I33" s="19"/>
      <c r="J33" s="19"/>
    </row>
    <row r="34" spans="1:27" ht="18" customHeight="1" x14ac:dyDescent="0.25">
      <c r="A34" s="6" t="s">
        <v>67</v>
      </c>
      <c r="B34" s="104">
        <v>30</v>
      </c>
      <c r="C34" s="8" t="s">
        <v>75</v>
      </c>
      <c r="D34" s="107" t="s">
        <v>137</v>
      </c>
      <c r="E34" s="19"/>
      <c r="F34" s="19"/>
      <c r="G34" s="19"/>
      <c r="H34" s="19"/>
      <c r="I34" s="19"/>
      <c r="J34" s="19"/>
    </row>
    <row r="35" spans="1:27" ht="15.75" thickBot="1" x14ac:dyDescent="0.3">
      <c r="A35" s="11" t="s">
        <v>73</v>
      </c>
      <c r="B35" s="18">
        <v>1</v>
      </c>
      <c r="C35" s="12" t="s">
        <v>76</v>
      </c>
      <c r="D35" s="19" t="s">
        <v>72</v>
      </c>
      <c r="E35" s="19"/>
      <c r="F35" s="19"/>
      <c r="G35" s="19"/>
      <c r="H35" s="19"/>
      <c r="I35" s="19"/>
      <c r="J35" s="19"/>
    </row>
    <row r="36" spans="1:27" s="19" customFormat="1" x14ac:dyDescent="0.25">
      <c r="A36" s="79"/>
      <c r="B36" s="79"/>
      <c r="C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</row>
    <row r="37" spans="1:27" s="79" customFormat="1" x14ac:dyDescent="0.25"/>
    <row r="38" spans="1:27" s="79" customFormat="1" x14ac:dyDescent="0.25"/>
    <row r="39" spans="1:27" s="79" customFormat="1" x14ac:dyDescent="0.25"/>
    <row r="40" spans="1:27" s="79" customFormat="1" x14ac:dyDescent="0.25"/>
    <row r="41" spans="1:27" s="79" customFormat="1" x14ac:dyDescent="0.25"/>
    <row r="42" spans="1:27" s="79" customFormat="1" x14ac:dyDescent="0.25"/>
    <row r="43" spans="1:27" s="79" customFormat="1" x14ac:dyDescent="0.25"/>
    <row r="44" spans="1:27" s="79" customFormat="1" x14ac:dyDescent="0.25"/>
    <row r="45" spans="1:27" s="79" customFormat="1" x14ac:dyDescent="0.25"/>
    <row r="46" spans="1:27" s="79" customFormat="1" x14ac:dyDescent="0.25"/>
    <row r="47" spans="1:27" s="79" customFormat="1" x14ac:dyDescent="0.25"/>
    <row r="48" spans="1:27" s="79" customFormat="1" x14ac:dyDescent="0.25"/>
    <row r="49" s="79" customFormat="1" x14ac:dyDescent="0.25"/>
    <row r="50" s="79" customFormat="1" x14ac:dyDescent="0.25"/>
    <row r="51" s="79" customFormat="1" x14ac:dyDescent="0.25"/>
    <row r="52" s="79" customFormat="1" x14ac:dyDescent="0.25"/>
    <row r="53" s="79" customFormat="1" x14ac:dyDescent="0.25"/>
    <row r="54" s="79" customFormat="1" x14ac:dyDescent="0.25"/>
    <row r="55" s="79" customFormat="1" x14ac:dyDescent="0.25"/>
    <row r="56" s="79" customFormat="1" x14ac:dyDescent="0.25"/>
    <row r="57" s="79" customFormat="1" x14ac:dyDescent="0.25"/>
    <row r="58" s="79" customFormat="1" x14ac:dyDescent="0.25"/>
    <row r="59" s="79" customFormat="1" x14ac:dyDescent="0.25"/>
    <row r="60" s="79" customFormat="1" x14ac:dyDescent="0.25"/>
    <row r="61" s="79" customFormat="1" x14ac:dyDescent="0.25"/>
    <row r="62" s="79" customFormat="1" x14ac:dyDescent="0.25"/>
    <row r="63" s="79" customFormat="1" x14ac:dyDescent="0.25"/>
    <row r="64" s="79" customFormat="1" x14ac:dyDescent="0.25"/>
    <row r="65" s="79" customFormat="1" x14ac:dyDescent="0.25"/>
    <row r="66" s="79" customFormat="1" x14ac:dyDescent="0.25"/>
    <row r="67" s="79" customFormat="1" x14ac:dyDescent="0.25"/>
    <row r="68" s="79" customFormat="1" x14ac:dyDescent="0.25"/>
    <row r="69" s="79" customFormat="1" x14ac:dyDescent="0.25"/>
    <row r="70" s="79" customFormat="1" x14ac:dyDescent="0.25"/>
    <row r="71" s="79" customFormat="1" x14ac:dyDescent="0.25"/>
    <row r="72" s="79" customFormat="1" x14ac:dyDescent="0.25"/>
    <row r="73" s="79" customFormat="1" x14ac:dyDescent="0.25"/>
    <row r="74" s="79" customFormat="1" x14ac:dyDescent="0.25"/>
    <row r="75" s="79" customFormat="1" x14ac:dyDescent="0.25"/>
    <row r="76" s="79" customFormat="1" x14ac:dyDescent="0.25"/>
    <row r="77" s="79" customFormat="1" x14ac:dyDescent="0.25"/>
    <row r="78" s="79" customFormat="1" x14ac:dyDescent="0.25"/>
    <row r="79" s="79" customFormat="1" x14ac:dyDescent="0.25"/>
    <row r="80" s="79" customFormat="1" x14ac:dyDescent="0.25"/>
    <row r="81" s="79" customFormat="1" x14ac:dyDescent="0.25"/>
    <row r="82" s="79" customFormat="1" x14ac:dyDescent="0.25"/>
    <row r="83" s="79" customFormat="1" x14ac:dyDescent="0.25"/>
    <row r="84" s="79" customFormat="1" x14ac:dyDescent="0.25"/>
    <row r="85" s="79" customFormat="1" x14ac:dyDescent="0.25"/>
    <row r="86" s="79" customFormat="1" x14ac:dyDescent="0.25"/>
    <row r="87" s="79" customFormat="1" x14ac:dyDescent="0.25"/>
    <row r="88" s="79" customFormat="1" x14ac:dyDescent="0.25"/>
    <row r="89" s="79" customFormat="1" x14ac:dyDescent="0.25"/>
    <row r="90" s="79" customFormat="1" x14ac:dyDescent="0.25"/>
    <row r="91" s="79" customFormat="1" x14ac:dyDescent="0.25"/>
    <row r="92" s="79" customFormat="1" x14ac:dyDescent="0.25"/>
    <row r="93" s="79" customFormat="1" x14ac:dyDescent="0.25"/>
    <row r="94" s="79" customFormat="1" x14ac:dyDescent="0.25"/>
    <row r="95" s="79" customFormat="1" x14ac:dyDescent="0.25"/>
    <row r="96" s="79" customFormat="1" x14ac:dyDescent="0.25"/>
    <row r="97" s="79" customFormat="1" x14ac:dyDescent="0.25"/>
    <row r="98" s="79" customFormat="1" x14ac:dyDescent="0.25"/>
    <row r="99" s="79" customFormat="1" x14ac:dyDescent="0.25"/>
    <row r="100" s="79" customFormat="1" x14ac:dyDescent="0.25"/>
    <row r="101" s="79" customFormat="1" x14ac:dyDescent="0.25"/>
    <row r="102" s="79" customFormat="1" x14ac:dyDescent="0.25"/>
    <row r="103" s="79" customFormat="1" x14ac:dyDescent="0.25"/>
    <row r="104" s="79" customFormat="1" x14ac:dyDescent="0.25"/>
    <row r="105" s="79" customFormat="1" x14ac:dyDescent="0.25"/>
    <row r="106" s="79" customFormat="1" x14ac:dyDescent="0.25"/>
    <row r="107" s="79" customFormat="1" x14ac:dyDescent="0.25"/>
    <row r="108" s="79" customFormat="1" x14ac:dyDescent="0.25"/>
    <row r="109" s="79" customFormat="1" x14ac:dyDescent="0.25"/>
    <row r="110" s="79" customFormat="1" x14ac:dyDescent="0.25"/>
    <row r="111" s="79" customFormat="1" x14ac:dyDescent="0.25"/>
    <row r="112" s="79" customFormat="1" x14ac:dyDescent="0.25"/>
    <row r="113" s="79" customFormat="1" x14ac:dyDescent="0.25"/>
    <row r="114" s="79" customFormat="1" x14ac:dyDescent="0.25"/>
    <row r="115" s="79" customFormat="1" x14ac:dyDescent="0.25"/>
    <row r="116" s="79" customFormat="1" x14ac:dyDescent="0.25"/>
    <row r="117" s="79" customFormat="1" x14ac:dyDescent="0.25"/>
    <row r="118" s="79" customFormat="1" x14ac:dyDescent="0.25"/>
    <row r="119" s="79" customFormat="1" x14ac:dyDescent="0.25"/>
    <row r="120" s="79" customFormat="1" x14ac:dyDescent="0.25"/>
    <row r="121" s="79" customFormat="1" x14ac:dyDescent="0.25"/>
    <row r="122" s="79" customFormat="1" x14ac:dyDescent="0.25"/>
    <row r="123" s="79" customFormat="1" x14ac:dyDescent="0.25"/>
    <row r="124" s="79" customFormat="1" x14ac:dyDescent="0.25"/>
    <row r="125" s="79" customFormat="1" x14ac:dyDescent="0.25"/>
    <row r="126" s="79" customFormat="1" x14ac:dyDescent="0.25"/>
    <row r="127" s="79" customFormat="1" x14ac:dyDescent="0.25"/>
    <row r="128" s="79" customFormat="1" x14ac:dyDescent="0.25"/>
    <row r="129" s="79" customFormat="1" x14ac:dyDescent="0.25"/>
    <row r="130" s="79" customFormat="1" x14ac:dyDescent="0.25"/>
    <row r="131" s="79" customFormat="1" x14ac:dyDescent="0.25"/>
    <row r="132" s="79" customFormat="1" x14ac:dyDescent="0.25"/>
    <row r="133" s="79" customFormat="1" x14ac:dyDescent="0.25"/>
    <row r="134" s="79" customFormat="1" x14ac:dyDescent="0.25"/>
    <row r="135" s="79" customFormat="1" x14ac:dyDescent="0.25"/>
    <row r="136" s="79" customFormat="1" x14ac:dyDescent="0.25"/>
    <row r="137" s="79" customFormat="1" x14ac:dyDescent="0.25"/>
    <row r="138" s="79" customFormat="1" x14ac:dyDescent="0.25"/>
    <row r="139" s="79" customFormat="1" x14ac:dyDescent="0.25"/>
    <row r="140" s="79" customFormat="1" x14ac:dyDescent="0.25"/>
    <row r="141" s="79" customFormat="1" x14ac:dyDescent="0.25"/>
    <row r="142" s="79" customFormat="1" x14ac:dyDescent="0.25"/>
    <row r="143" s="79" customFormat="1" x14ac:dyDescent="0.25"/>
    <row r="144" s="79" customFormat="1" x14ac:dyDescent="0.25"/>
    <row r="145" s="79" customFormat="1" x14ac:dyDescent="0.25"/>
    <row r="146" s="79" customFormat="1" x14ac:dyDescent="0.25"/>
    <row r="147" s="79" customFormat="1" x14ac:dyDescent="0.25"/>
    <row r="148" s="79" customFormat="1" x14ac:dyDescent="0.25"/>
    <row r="149" s="79" customFormat="1" x14ac:dyDescent="0.25"/>
    <row r="150" s="79" customFormat="1" x14ac:dyDescent="0.25"/>
    <row r="151" s="79" customFormat="1" x14ac:dyDescent="0.25"/>
    <row r="152" s="79" customFormat="1" x14ac:dyDescent="0.25"/>
    <row r="153" s="79" customFormat="1" x14ac:dyDescent="0.25"/>
    <row r="154" s="79" customFormat="1" x14ac:dyDescent="0.25"/>
    <row r="155" s="79" customFormat="1" x14ac:dyDescent="0.25"/>
    <row r="156" s="79" customFormat="1" x14ac:dyDescent="0.25"/>
    <row r="157" s="79" customFormat="1" x14ac:dyDescent="0.25"/>
    <row r="158" s="79" customFormat="1" x14ac:dyDescent="0.25"/>
    <row r="159" s="79" customFormat="1" x14ac:dyDescent="0.25"/>
    <row r="160" s="79" customFormat="1" x14ac:dyDescent="0.25"/>
    <row r="161" s="79" customFormat="1" x14ac:dyDescent="0.25"/>
    <row r="162" s="79" customFormat="1" x14ac:dyDescent="0.25"/>
    <row r="163" s="79" customFormat="1" x14ac:dyDescent="0.25"/>
    <row r="164" s="79" customFormat="1" x14ac:dyDescent="0.25"/>
    <row r="165" s="79" customFormat="1" x14ac:dyDescent="0.25"/>
    <row r="166" s="79" customFormat="1" x14ac:dyDescent="0.25"/>
    <row r="167" s="79" customFormat="1" x14ac:dyDescent="0.25"/>
    <row r="168" s="79" customFormat="1" x14ac:dyDescent="0.25"/>
    <row r="169" s="79" customFormat="1" x14ac:dyDescent="0.25"/>
    <row r="170" s="79" customFormat="1" x14ac:dyDescent="0.25"/>
    <row r="171" s="79" customFormat="1" x14ac:dyDescent="0.25"/>
    <row r="172" s="79" customFormat="1" x14ac:dyDescent="0.25"/>
    <row r="173" s="79" customFormat="1" x14ac:dyDescent="0.25"/>
    <row r="174" s="79" customFormat="1" x14ac:dyDescent="0.25"/>
    <row r="175" s="79" customFormat="1" x14ac:dyDescent="0.25"/>
    <row r="176" s="79" customFormat="1" x14ac:dyDescent="0.25"/>
    <row r="177" s="79" customFormat="1" x14ac:dyDescent="0.25"/>
    <row r="178" s="79" customFormat="1" x14ac:dyDescent="0.25"/>
    <row r="179" s="79" customFormat="1" x14ac:dyDescent="0.25"/>
    <row r="180" s="79" customFormat="1" x14ac:dyDescent="0.25"/>
    <row r="181" s="79" customFormat="1" x14ac:dyDescent="0.25"/>
    <row r="182" s="79" customFormat="1" x14ac:dyDescent="0.25"/>
    <row r="183" s="79" customFormat="1" x14ac:dyDescent="0.25"/>
    <row r="184" s="79" customFormat="1" x14ac:dyDescent="0.25"/>
    <row r="185" s="79" customFormat="1" x14ac:dyDescent="0.25"/>
    <row r="186" s="79" customFormat="1" x14ac:dyDescent="0.25"/>
    <row r="187" s="79" customFormat="1" x14ac:dyDescent="0.25"/>
    <row r="188" s="79" customFormat="1" x14ac:dyDescent="0.25"/>
    <row r="189" s="79" customFormat="1" x14ac:dyDescent="0.25"/>
    <row r="190" s="79" customFormat="1" x14ac:dyDescent="0.25"/>
    <row r="191" s="79" customFormat="1" x14ac:dyDescent="0.25"/>
    <row r="192" s="79" customFormat="1" x14ac:dyDescent="0.25"/>
    <row r="193" spans="11:27" s="79" customFormat="1" x14ac:dyDescent="0.25"/>
    <row r="194" spans="11:27" s="79" customFormat="1" x14ac:dyDescent="0.25"/>
    <row r="195" spans="11:27" s="79" customFormat="1" x14ac:dyDescent="0.25"/>
    <row r="196" spans="11:27" s="79" customFormat="1" x14ac:dyDescent="0.25"/>
    <row r="197" spans="11:27" s="79" customFormat="1" x14ac:dyDescent="0.25"/>
    <row r="198" spans="11:27" s="79" customFormat="1" x14ac:dyDescent="0.25"/>
    <row r="199" spans="11:27" s="79" customFormat="1" x14ac:dyDescent="0.25"/>
    <row r="200" spans="11:27" s="79" customFormat="1" x14ac:dyDescent="0.25"/>
    <row r="201" spans="11:27" s="79" customFormat="1" x14ac:dyDescent="0.25"/>
    <row r="202" spans="11:27" s="19" customFormat="1" x14ac:dyDescent="0.25"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</row>
  </sheetData>
  <mergeCells count="7">
    <mergeCell ref="A2:C2"/>
    <mergeCell ref="H15:I15"/>
    <mergeCell ref="F2:H2"/>
    <mergeCell ref="F3:F5"/>
    <mergeCell ref="G3:H5"/>
    <mergeCell ref="F13:I13"/>
    <mergeCell ref="H14:I14"/>
  </mergeCells>
  <conditionalFormatting sqref="B10">
    <cfRule type="expression" dxfId="27" priority="3">
      <formula>$B$9="No"</formula>
    </cfRule>
  </conditionalFormatting>
  <dataValidations xWindow="729" yWindow="300" count="2">
    <dataValidation type="custom" allowBlank="1" showInputMessage="1" showErrorMessage="1" errorTitle="Too Many Turbines" error="This number of turbines would exceed the allowable denisty specified in Oil Sands Information_x000a_" promptTitle="Instructions" prompt="If this cell turns red, exisitng grids cannot handle this amount of wind power. _x000a_" sqref="G3:G4">
      <formula1>G3&lt;B11*B12*B13</formula1>
    </dataValidation>
    <dataValidation allowBlank="1" showInputMessage="1" showErrorMessage="1" promptTitle="Instructions" prompt="This cell is only used when 'Electric Heat Extraction' is set to 'Yes'. Otherwise it is grey and ignored." sqref="B10"/>
  </dataValidations>
  <hyperlinks>
    <hyperlink ref="D3" location="GovAB2013" display="(Government of Alberta, 2013)"/>
    <hyperlink ref="D5" location="IHS_CERA_2012" display="(IHS CERA, 2012)"/>
    <hyperlink ref="D19" location="IHS_CERA_2012" display="(IHS CERA, 2012)"/>
    <hyperlink ref="D8" location="References!B2" display="(AESO, 2008)"/>
    <hyperlink ref="D10" location="References!B2" display="(AESO, 2008)"/>
    <hyperlink ref="D33" location="Delucchi" display="(Delucchi &amp; Jacobson, 2011)"/>
    <hyperlink ref="D34" location="Delucchi" display="(Delucchi &amp; Jacobson, 2011)"/>
    <hyperlink ref="D27" location="Raadal2011" display="(Raadal, Gagnon, Modahl, &amp; Hanssen, 2011)"/>
    <hyperlink ref="D6" location="IHS_CERA_2012" display="(IHS CERA, 2012)"/>
    <hyperlink ref="D20" location="IHS_CERA_2012" display="(IHS CERA, 2012)"/>
  </hyperlink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3A8DC12-FD94-4BEC-AA15-BA44B18D03B4}">
            <xm:f>'Instantatneous Model'!$K$13="N"</xm:f>
            <x14:dxf>
              <fill>
                <patternFill>
                  <bgColor rgb="FFC00000"/>
                </patternFill>
              </fill>
            </x14:dxf>
          </x14:cfRule>
          <xm:sqref>G3:G4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729" yWindow="300" count="1">
        <x14:dataValidation type="list" showInputMessage="1" showErrorMessage="1">
          <x14:formula1>
            <xm:f>'Allowable Values'!$A$6:$A$7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D19" sqref="D19"/>
    </sheetView>
  </sheetViews>
  <sheetFormatPr defaultRowHeight="15" x14ac:dyDescent="0.25"/>
  <cols>
    <col min="1" max="1" width="32" customWidth="1"/>
    <col min="2" max="2" width="12.85546875" customWidth="1"/>
    <col min="3" max="3" width="15" customWidth="1"/>
    <col min="4" max="4" width="13.28515625" customWidth="1"/>
    <col min="5" max="5" width="8.28515625" customWidth="1"/>
    <col min="6" max="6" width="13.85546875" customWidth="1"/>
    <col min="7" max="7" width="11.28515625" customWidth="1"/>
    <col min="8" max="8" width="13.7109375" customWidth="1"/>
    <col min="9" max="9" width="4.42578125" customWidth="1"/>
    <col min="10" max="10" width="20.85546875" customWidth="1"/>
    <col min="11" max="11" width="18.7109375" customWidth="1"/>
    <col min="12" max="12" width="12.140625" customWidth="1"/>
    <col min="14" max="14" width="8.5703125" customWidth="1"/>
    <col min="15" max="15" width="7" customWidth="1"/>
    <col min="16" max="16" width="8.7109375" customWidth="1"/>
    <col min="17" max="17" width="8.5703125" bestFit="1" customWidth="1"/>
    <col min="18" max="18" width="10.140625" bestFit="1" customWidth="1"/>
    <col min="19" max="19" width="8.140625" bestFit="1" customWidth="1"/>
    <col min="20" max="21" width="10.5703125" bestFit="1" customWidth="1"/>
    <col min="22" max="22" width="7.5703125" customWidth="1"/>
    <col min="23" max="24" width="11" customWidth="1"/>
    <col min="25" max="64" width="9.140625" style="19"/>
    <col min="65" max="65" width="9.140625" style="19" customWidth="1"/>
  </cols>
  <sheetData>
    <row r="1" spans="1:24" ht="18.75" x14ac:dyDescent="0.3">
      <c r="A1" s="141" t="s">
        <v>103</v>
      </c>
      <c r="B1" s="142"/>
      <c r="C1" s="143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48.75" customHeight="1" thickBot="1" x14ac:dyDescent="0.3">
      <c r="A2" s="155" t="s">
        <v>143</v>
      </c>
      <c r="B2" s="156"/>
      <c r="C2" s="15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60.75" thickBot="1" x14ac:dyDescent="0.3">
      <c r="A4" s="135" t="s">
        <v>0</v>
      </c>
      <c r="B4" s="136" t="s">
        <v>100</v>
      </c>
      <c r="C4" s="137" t="s">
        <v>139</v>
      </c>
      <c r="D4" s="137" t="s">
        <v>9</v>
      </c>
      <c r="E4" s="137" t="s">
        <v>8</v>
      </c>
      <c r="F4" s="137" t="s">
        <v>1</v>
      </c>
      <c r="G4" s="137" t="s">
        <v>2</v>
      </c>
      <c r="H4" s="137" t="s">
        <v>10</v>
      </c>
      <c r="I4" s="138" t="s">
        <v>101</v>
      </c>
      <c r="J4" s="137" t="s">
        <v>18</v>
      </c>
      <c r="K4" s="137" t="s">
        <v>35</v>
      </c>
      <c r="L4" s="137" t="s">
        <v>34</v>
      </c>
      <c r="M4" s="138" t="s">
        <v>24</v>
      </c>
      <c r="N4" s="138" t="s">
        <v>25</v>
      </c>
      <c r="O4" s="138" t="s">
        <v>26</v>
      </c>
      <c r="P4" s="137" t="s">
        <v>27</v>
      </c>
      <c r="Q4" s="138" t="s">
        <v>28</v>
      </c>
      <c r="R4" s="138" t="s">
        <v>29</v>
      </c>
      <c r="S4" s="138" t="s">
        <v>30</v>
      </c>
      <c r="T4" s="138" t="s">
        <v>31</v>
      </c>
      <c r="U4" s="138" t="s">
        <v>32</v>
      </c>
      <c r="V4" s="137" t="s">
        <v>36</v>
      </c>
      <c r="W4" s="138" t="s">
        <v>22</v>
      </c>
      <c r="X4" s="139" t="s">
        <v>102</v>
      </c>
    </row>
    <row r="5" spans="1:24" x14ac:dyDescent="0.25">
      <c r="A5" s="25" t="s">
        <v>48</v>
      </c>
      <c r="B5" s="25">
        <v>1</v>
      </c>
      <c r="C5" s="26" t="s">
        <v>3</v>
      </c>
      <c r="D5" s="26">
        <v>0</v>
      </c>
      <c r="E5" s="20">
        <f>IF('Main Variables'!$B$9="No",'Main Variables'!$B$8*'Main Variables'!$B$3/356/24/10^6,0)</f>
        <v>1.1083333333333332</v>
      </c>
      <c r="F5" s="28">
        <v>0</v>
      </c>
      <c r="G5" s="28">
        <f>'Main Variables'!$B$30</f>
        <v>0.15</v>
      </c>
      <c r="H5" s="27">
        <f t="shared" ref="H5:H14" si="0">(G5-F5)*E5</f>
        <v>0.16624999999999998</v>
      </c>
      <c r="I5" s="25"/>
      <c r="J5" s="25" t="s">
        <v>19</v>
      </c>
      <c r="K5" s="29">
        <f>IF(J5="List Source Ratios",SUMPRODUCT(M5:V5,'GHG by Electricity Source'!$B$4:$K$4)/SUM(Table1[[#This Row],[Lignite]:[Waste Heat]]),L5)</f>
        <v>2890.7999999999997</v>
      </c>
      <c r="L5" s="21">
        <f>0.6*'GHG by Electricity Source'!$E$4</f>
        <v>2890.7999999999997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25"/>
      <c r="X5" s="25"/>
    </row>
    <row r="6" spans="1:24" x14ac:dyDescent="0.25">
      <c r="A6" s="24" t="s">
        <v>56</v>
      </c>
      <c r="B6" s="24">
        <v>2</v>
      </c>
      <c r="C6" s="31" t="s">
        <v>3</v>
      </c>
      <c r="D6" s="24">
        <v>0</v>
      </c>
      <c r="E6" s="22">
        <f>IF('Main Variables'!$B$9="No",0,'Main Variables'!$B$8*'Main Variables'!$B$3/356/24/10^6*('Main Variables'!$B$10-1))</f>
        <v>0</v>
      </c>
      <c r="F6" s="33">
        <v>0</v>
      </c>
      <c r="G6" s="33">
        <v>1</v>
      </c>
      <c r="H6" s="32">
        <f t="shared" si="0"/>
        <v>0</v>
      </c>
      <c r="I6" s="24"/>
      <c r="J6" s="24" t="s">
        <v>20</v>
      </c>
      <c r="K6" s="34">
        <f>IF(J6="List Source Ratios",SUMPRODUCT(M6:V6,'GHG by Electricity Source'!$B$4:$K$4)/SUM(Table1[[#This Row],[Lignite]:[Waste Heat]]),L6)</f>
        <v>6847.732296000002</v>
      </c>
      <c r="L6" s="24"/>
      <c r="M6" s="35">
        <v>0</v>
      </c>
      <c r="N6" s="35">
        <v>0.66749999999999998</v>
      </c>
      <c r="O6" s="35">
        <v>2.0000000000000001E-4</v>
      </c>
      <c r="P6" s="35">
        <v>0.20480000000000001</v>
      </c>
      <c r="Q6" s="35">
        <v>3.9600000000000003E-2</v>
      </c>
      <c r="R6" s="35">
        <v>0</v>
      </c>
      <c r="S6" s="35">
        <v>4.58E-2</v>
      </c>
      <c r="T6" s="35">
        <v>0</v>
      </c>
      <c r="U6" s="35">
        <v>9.4000000000000004E-3</v>
      </c>
      <c r="V6" s="35">
        <v>3.27E-2</v>
      </c>
      <c r="W6" s="24" t="s">
        <v>37</v>
      </c>
      <c r="X6" s="24" t="s">
        <v>38</v>
      </c>
    </row>
    <row r="7" spans="1:24" x14ac:dyDescent="0.25">
      <c r="A7" s="24" t="s">
        <v>57</v>
      </c>
      <c r="B7" s="24">
        <v>3</v>
      </c>
      <c r="C7" s="31" t="s">
        <v>3</v>
      </c>
      <c r="D7" s="24">
        <v>0</v>
      </c>
      <c r="E7" s="22">
        <f>IF('Main Variables'!$B$9="No",0,'Main Variables'!$B$8*'Main Variables'!$B$3/356/24/10^6)</f>
        <v>0</v>
      </c>
      <c r="F7" s="33">
        <v>0</v>
      </c>
      <c r="G7" s="33">
        <f>'Main Variables'!$B$30</f>
        <v>0.15</v>
      </c>
      <c r="H7" s="32">
        <f t="shared" si="0"/>
        <v>0</v>
      </c>
      <c r="I7" s="24"/>
      <c r="J7" s="24" t="s">
        <v>20</v>
      </c>
      <c r="K7" s="34">
        <f>IF(J7="List Source Ratios",SUMPRODUCT(M7:V7,'GHG by Electricity Source'!$B$4:$K$4)/SUM(Table1[[#This Row],[Lignite]:[Waste Heat]]),L7)</f>
        <v>6847.732296000002</v>
      </c>
      <c r="L7" s="24"/>
      <c r="M7" s="35">
        <v>0</v>
      </c>
      <c r="N7" s="35">
        <v>0.66749999999999998</v>
      </c>
      <c r="O7" s="35">
        <v>2.0000000000000001E-4</v>
      </c>
      <c r="P7" s="35">
        <v>0.20480000000000001</v>
      </c>
      <c r="Q7" s="35">
        <v>3.9600000000000003E-2</v>
      </c>
      <c r="R7" s="35">
        <v>0</v>
      </c>
      <c r="S7" s="35">
        <v>4.58E-2</v>
      </c>
      <c r="T7" s="35">
        <v>0</v>
      </c>
      <c r="U7" s="35">
        <v>9.4000000000000004E-3</v>
      </c>
      <c r="V7" s="35">
        <v>3.27E-2</v>
      </c>
      <c r="W7" s="24" t="s">
        <v>37</v>
      </c>
      <c r="X7" s="24" t="s">
        <v>38</v>
      </c>
    </row>
    <row r="8" spans="1:24" x14ac:dyDescent="0.25">
      <c r="A8" s="24" t="s">
        <v>11</v>
      </c>
      <c r="B8" s="24">
        <v>4</v>
      </c>
      <c r="C8" s="24" t="s">
        <v>12</v>
      </c>
      <c r="D8" s="24">
        <v>500</v>
      </c>
      <c r="E8" s="24">
        <v>11.1</v>
      </c>
      <c r="F8" s="33">
        <v>7.0000000000000007E-2</v>
      </c>
      <c r="G8" s="33">
        <f>'Main Variables'!$B$30</f>
        <v>0.15</v>
      </c>
      <c r="H8" s="32">
        <f t="shared" si="0"/>
        <v>0.88799999999999979</v>
      </c>
      <c r="I8" s="24"/>
      <c r="J8" s="24" t="s">
        <v>20</v>
      </c>
      <c r="K8" s="34">
        <f>IF(J8="List Source Ratios",SUMPRODUCT(M8:V8,'GHG by Electricity Source'!$B$4:$K$4)/SUM(Table1[[#This Row],[Lignite]:[Waste Heat]]),L8)</f>
        <v>6847.732296000002</v>
      </c>
      <c r="L8" s="24"/>
      <c r="M8" s="35">
        <v>0</v>
      </c>
      <c r="N8" s="35">
        <v>0.66749999999999998</v>
      </c>
      <c r="O8" s="35">
        <v>2.0000000000000001E-4</v>
      </c>
      <c r="P8" s="35">
        <v>0.20480000000000001</v>
      </c>
      <c r="Q8" s="35">
        <v>3.9600000000000003E-2</v>
      </c>
      <c r="R8" s="35">
        <v>0</v>
      </c>
      <c r="S8" s="35">
        <v>4.58E-2</v>
      </c>
      <c r="T8" s="35">
        <v>0</v>
      </c>
      <c r="U8" s="35">
        <v>9.4000000000000004E-3</v>
      </c>
      <c r="V8" s="35">
        <v>3.27E-2</v>
      </c>
      <c r="W8" s="24" t="s">
        <v>37</v>
      </c>
      <c r="X8" s="24" t="s">
        <v>38</v>
      </c>
    </row>
    <row r="9" spans="1:24" x14ac:dyDescent="0.25">
      <c r="A9" s="24" t="s">
        <v>13</v>
      </c>
      <c r="B9" s="24">
        <v>5</v>
      </c>
      <c r="C9" s="24" t="s">
        <v>14</v>
      </c>
      <c r="D9" s="24">
        <v>2800</v>
      </c>
      <c r="E9" s="24">
        <v>33.9</v>
      </c>
      <c r="F9" s="33">
        <v>8.1000000000000003E-2</v>
      </c>
      <c r="G9" s="33">
        <f>'Main Variables'!$B$30</f>
        <v>0.15</v>
      </c>
      <c r="H9" s="32">
        <f t="shared" si="0"/>
        <v>2.3390999999999997</v>
      </c>
      <c r="I9" s="24"/>
      <c r="J9" s="24" t="s">
        <v>20</v>
      </c>
      <c r="K9" s="34">
        <f>IF(J9="List Source Ratios",SUMPRODUCT(M9:V9,'GHG by Electricity Source'!$B$4:$K$4)/SUM(Table1[[#This Row],[Lignite]:[Waste Heat]]),L9)</f>
        <v>3320.0294584837543</v>
      </c>
      <c r="L9" s="24"/>
      <c r="M9" s="35"/>
      <c r="N9" s="35">
        <v>6.4000000000000001E-2</v>
      </c>
      <c r="O9" s="35">
        <v>0</v>
      </c>
      <c r="P9" s="35">
        <v>0.44500000000000001</v>
      </c>
      <c r="Q9" s="35">
        <v>6.4000000000000001E-2</v>
      </c>
      <c r="R9" s="35">
        <v>8.5000000000000006E-2</v>
      </c>
      <c r="S9" s="35">
        <v>8.1000000000000003E-2</v>
      </c>
      <c r="T9" s="35">
        <v>4.2000000000000003E-2</v>
      </c>
      <c r="U9" s="35">
        <v>2.5000000000000001E-2</v>
      </c>
      <c r="V9" s="35">
        <v>2.5000000000000001E-2</v>
      </c>
      <c r="W9" s="24" t="s">
        <v>40</v>
      </c>
      <c r="X9" s="24"/>
    </row>
    <row r="10" spans="1:24" x14ac:dyDescent="0.25">
      <c r="A10" s="24" t="s">
        <v>17</v>
      </c>
      <c r="B10" s="24">
        <v>6</v>
      </c>
      <c r="C10" s="24" t="s">
        <v>128</v>
      </c>
      <c r="D10" s="24">
        <v>3200</v>
      </c>
      <c r="E10" s="24">
        <v>433.1</v>
      </c>
      <c r="F10" s="33">
        <v>3.9E-2</v>
      </c>
      <c r="G10" s="33">
        <f>'Main Variables'!$B$30</f>
        <v>0.15</v>
      </c>
      <c r="H10" s="32">
        <f t="shared" si="0"/>
        <v>48.074099999999994</v>
      </c>
      <c r="I10" s="24"/>
      <c r="J10" s="24" t="s">
        <v>20</v>
      </c>
      <c r="K10" s="34">
        <f>IF(J10="List Source Ratios",SUMPRODUCT(M10:V10,'GHG by Electricity Source'!$B$4:$K$4)/SUM(Table1[[#This Row],[Lignite]:[Waste Heat]]),L10)</f>
        <v>5452.8464670658686</v>
      </c>
      <c r="L10" s="24"/>
      <c r="M10" s="35"/>
      <c r="N10" s="35">
        <v>0.504</v>
      </c>
      <c r="O10" s="35">
        <v>8.9999999999999993E-3</v>
      </c>
      <c r="P10" s="35">
        <v>0.2</v>
      </c>
      <c r="Q10" s="35">
        <v>9.9000000000000005E-2</v>
      </c>
      <c r="R10" s="35">
        <v>0.17599999999999999</v>
      </c>
      <c r="S10" s="35">
        <v>1.4E-2</v>
      </c>
      <c r="T10" s="35">
        <v>0</v>
      </c>
      <c r="U10" s="35"/>
      <c r="V10" s="35"/>
      <c r="W10" s="24" t="s">
        <v>39</v>
      </c>
      <c r="X10" s="24"/>
    </row>
    <row r="11" spans="1:24" x14ac:dyDescent="0.25">
      <c r="A11" s="24" t="s">
        <v>15</v>
      </c>
      <c r="B11" s="24">
        <v>7</v>
      </c>
      <c r="C11" s="24" t="s">
        <v>16</v>
      </c>
      <c r="D11" s="24">
        <v>4000</v>
      </c>
      <c r="E11" s="24">
        <v>62.8</v>
      </c>
      <c r="F11" s="33">
        <v>8.0000000000000002E-3</v>
      </c>
      <c r="G11" s="33">
        <f>'Main Variables'!$B$30</f>
        <v>0.15</v>
      </c>
      <c r="H11" s="32">
        <f t="shared" si="0"/>
        <v>8.9175999999999984</v>
      </c>
      <c r="I11" s="24"/>
      <c r="J11" s="24" t="s">
        <v>20</v>
      </c>
      <c r="K11" s="34">
        <f>IF(J11="List Source Ratios",SUMPRODUCT(M11:V11,'GHG by Electricity Source'!$B$4:$K$4)/SUM(Table1[[#This Row],[Lignite]:[Waste Heat]]),L11)</f>
        <v>685.27943188637732</v>
      </c>
      <c r="L11" s="24"/>
      <c r="M11" s="35">
        <v>1.9900000000000001E-2</v>
      </c>
      <c r="N11" s="35">
        <v>2.3E-2</v>
      </c>
      <c r="O11" s="35">
        <v>3.5999999999999999E-3</v>
      </c>
      <c r="P11" s="35">
        <v>4.1500000000000002E-2</v>
      </c>
      <c r="Q11" s="35">
        <v>0.69720000000000004</v>
      </c>
      <c r="R11" s="35">
        <v>0.19020000000000001</v>
      </c>
      <c r="S11" s="35">
        <v>1.2500000000000001E-2</v>
      </c>
      <c r="T11" s="35">
        <v>5.0000000000000001E-4</v>
      </c>
      <c r="U11" s="35">
        <v>2.5999999999999999E-3</v>
      </c>
      <c r="V11" s="35">
        <v>8.8000000000000005E-3</v>
      </c>
      <c r="W11" s="24" t="s">
        <v>37</v>
      </c>
      <c r="X11" s="24" t="s">
        <v>38</v>
      </c>
    </row>
    <row r="12" spans="1:24" x14ac:dyDescent="0.25">
      <c r="A12" s="140" t="s">
        <v>166</v>
      </c>
      <c r="B12" s="24">
        <v>8</v>
      </c>
      <c r="C12" s="24"/>
      <c r="D12" s="24"/>
      <c r="E12" s="24"/>
      <c r="F12" s="33"/>
      <c r="G12" s="33">
        <f>'Main Variables'!$B$30</f>
        <v>0.15</v>
      </c>
      <c r="H12" s="32">
        <f t="shared" si="0"/>
        <v>0</v>
      </c>
      <c r="I12" s="24"/>
      <c r="J12" s="24" t="s">
        <v>19</v>
      </c>
      <c r="K12" s="34">
        <f>IF(J12="List Source Ratios",SUMPRODUCT(M12:V12,'GHG by Electricity Source'!$B$4:$K$4)/SUM(Table1[[#This Row],[Lignite]:[Waste Heat]]),L12)</f>
        <v>0</v>
      </c>
      <c r="L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24"/>
      <c r="X12" s="24"/>
    </row>
    <row r="13" spans="1:24" x14ac:dyDescent="0.25">
      <c r="A13" s="140" t="s">
        <v>166</v>
      </c>
      <c r="B13" s="24">
        <v>9</v>
      </c>
      <c r="C13" s="24"/>
      <c r="D13" s="24"/>
      <c r="E13" s="24"/>
      <c r="F13" s="33"/>
      <c r="G13" s="33">
        <f>'Main Variables'!$B$30</f>
        <v>0.15</v>
      </c>
      <c r="H13" s="32">
        <f t="shared" si="0"/>
        <v>0</v>
      </c>
      <c r="I13" s="24"/>
      <c r="J13" s="24" t="s">
        <v>19</v>
      </c>
      <c r="K13" s="34">
        <f>IF(J13="List Source Ratios",SUMPRODUCT(M13:V13,'GHG by Electricity Source'!$B$4:$K$4)/SUM(Table1[[#This Row],[Lignite]:[Waste Heat]]),L13)</f>
        <v>0</v>
      </c>
      <c r="L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24"/>
      <c r="X13" s="24"/>
    </row>
    <row r="14" spans="1:24" x14ac:dyDescent="0.25">
      <c r="A14" s="140" t="s">
        <v>166</v>
      </c>
      <c r="B14" s="24">
        <v>10</v>
      </c>
      <c r="C14" s="24"/>
      <c r="D14" s="24"/>
      <c r="E14" s="24"/>
      <c r="F14" s="24"/>
      <c r="G14" s="33">
        <f>'Main Variables'!$B$30</f>
        <v>0.15</v>
      </c>
      <c r="H14" s="32">
        <f t="shared" si="0"/>
        <v>0</v>
      </c>
      <c r="I14" s="24"/>
      <c r="J14" s="24" t="s">
        <v>19</v>
      </c>
      <c r="K14" s="34">
        <f>IF(J14="List Source Ratios",SUMPRODUCT(M14:V14,'GHG by Electricity Source'!$B$4:$K$4)/SUM(Table1[[#This Row],[Lignite]:[Waste Heat]]),L14)</f>
        <v>0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 s="19" customFormat="1" x14ac:dyDescent="0.25"/>
    <row r="16" spans="1:24" s="19" customFormat="1" x14ac:dyDescent="0.25"/>
    <row r="17" s="19" customFormat="1" x14ac:dyDescent="0.25"/>
    <row r="18" s="19" customFormat="1" x14ac:dyDescent="0.25"/>
    <row r="19" s="19" customFormat="1" x14ac:dyDescent="0.25"/>
    <row r="20" s="19" customFormat="1" x14ac:dyDescent="0.25"/>
    <row r="21" s="19" customFormat="1" x14ac:dyDescent="0.25"/>
    <row r="22" s="19" customFormat="1" x14ac:dyDescent="0.25"/>
    <row r="23" s="19" customFormat="1" x14ac:dyDescent="0.25"/>
    <row r="24" s="19" customFormat="1" x14ac:dyDescent="0.25"/>
    <row r="25" s="19" customFormat="1" x14ac:dyDescent="0.25"/>
    <row r="26" s="19" customFormat="1" x14ac:dyDescent="0.25"/>
    <row r="27" s="19" customFormat="1" x14ac:dyDescent="0.25"/>
    <row r="28" s="19" customFormat="1" x14ac:dyDescent="0.25"/>
    <row r="29" s="19" customFormat="1" x14ac:dyDescent="0.25"/>
    <row r="30" s="19" customFormat="1" x14ac:dyDescent="0.25"/>
    <row r="31" s="19" customFormat="1" x14ac:dyDescent="0.25"/>
    <row r="32" s="19" customFormat="1" x14ac:dyDescent="0.25"/>
    <row r="33" s="19" customFormat="1" x14ac:dyDescent="0.25"/>
    <row r="34" s="19" customFormat="1" x14ac:dyDescent="0.25"/>
    <row r="35" s="19" customFormat="1" x14ac:dyDescent="0.25"/>
    <row r="36" s="19" customFormat="1" x14ac:dyDescent="0.25"/>
    <row r="37" s="19" customFormat="1" x14ac:dyDescent="0.25"/>
    <row r="38" s="19" customFormat="1" x14ac:dyDescent="0.25"/>
    <row r="39" s="19" customFormat="1" x14ac:dyDescent="0.25"/>
    <row r="40" s="19" customFormat="1" x14ac:dyDescent="0.25"/>
    <row r="41" s="19" customFormat="1" x14ac:dyDescent="0.25"/>
    <row r="42" s="19" customFormat="1" x14ac:dyDescent="0.25"/>
    <row r="43" s="19" customFormat="1" x14ac:dyDescent="0.25"/>
    <row r="44" s="19" customFormat="1" x14ac:dyDescent="0.25"/>
    <row r="45" s="19" customFormat="1" x14ac:dyDescent="0.25"/>
    <row r="46" s="19" customFormat="1" x14ac:dyDescent="0.25"/>
    <row r="47" s="19" customFormat="1" x14ac:dyDescent="0.25"/>
    <row r="48" s="19" customFormat="1" x14ac:dyDescent="0.25"/>
    <row r="49" s="19" customFormat="1" x14ac:dyDescent="0.25"/>
    <row r="50" s="19" customFormat="1" x14ac:dyDescent="0.25"/>
    <row r="51" s="19" customFormat="1" x14ac:dyDescent="0.25"/>
    <row r="52" s="19" customFormat="1" x14ac:dyDescent="0.25"/>
    <row r="53" s="19" customFormat="1" x14ac:dyDescent="0.25"/>
    <row r="54" s="19" customFormat="1" x14ac:dyDescent="0.25"/>
    <row r="55" s="19" customFormat="1" x14ac:dyDescent="0.25"/>
    <row r="56" s="19" customFormat="1" x14ac:dyDescent="0.25"/>
    <row r="57" s="19" customFormat="1" x14ac:dyDescent="0.25"/>
    <row r="58" s="19" customFormat="1" x14ac:dyDescent="0.25"/>
    <row r="59" s="19" customFormat="1" x14ac:dyDescent="0.25"/>
    <row r="60" s="19" customFormat="1" x14ac:dyDescent="0.25"/>
    <row r="61" s="19" customFormat="1" x14ac:dyDescent="0.25"/>
    <row r="62" s="19" customFormat="1" x14ac:dyDescent="0.25"/>
    <row r="63" s="19" customFormat="1" x14ac:dyDescent="0.25"/>
    <row r="64" s="19" customFormat="1" x14ac:dyDescent="0.25"/>
    <row r="65" s="19" customFormat="1" x14ac:dyDescent="0.25"/>
    <row r="66" s="19" customFormat="1" x14ac:dyDescent="0.25"/>
    <row r="67" s="19" customFormat="1" x14ac:dyDescent="0.25"/>
    <row r="68" s="19" customFormat="1" x14ac:dyDescent="0.25"/>
    <row r="69" s="19" customFormat="1" x14ac:dyDescent="0.25"/>
    <row r="70" s="19" customFormat="1" x14ac:dyDescent="0.25"/>
    <row r="71" s="19" customFormat="1" x14ac:dyDescent="0.25"/>
    <row r="72" s="19" customFormat="1" x14ac:dyDescent="0.25"/>
    <row r="73" s="19" customFormat="1" x14ac:dyDescent="0.25"/>
    <row r="74" s="19" customFormat="1" x14ac:dyDescent="0.25"/>
    <row r="75" s="19" customFormat="1" x14ac:dyDescent="0.25"/>
    <row r="76" s="19" customFormat="1" x14ac:dyDescent="0.25"/>
    <row r="77" s="19" customFormat="1" x14ac:dyDescent="0.25"/>
    <row r="78" s="19" customFormat="1" x14ac:dyDescent="0.25"/>
    <row r="79" s="19" customFormat="1" x14ac:dyDescent="0.25"/>
    <row r="8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  <row r="201" s="19" customFormat="1" x14ac:dyDescent="0.25"/>
    <row r="202" s="19" customFormat="1" x14ac:dyDescent="0.25"/>
    <row r="203" s="19" customFormat="1" x14ac:dyDescent="0.25"/>
    <row r="204" s="19" customFormat="1" x14ac:dyDescent="0.25"/>
    <row r="205" s="19" customFormat="1" x14ac:dyDescent="0.25"/>
    <row r="206" s="19" customFormat="1" x14ac:dyDescent="0.25"/>
    <row r="207" s="19" customFormat="1" x14ac:dyDescent="0.25"/>
    <row r="208" s="19" customFormat="1" x14ac:dyDescent="0.25"/>
    <row r="209" s="19" customFormat="1" x14ac:dyDescent="0.25"/>
    <row r="210" s="19" customFormat="1" x14ac:dyDescent="0.25"/>
    <row r="211" s="19" customFormat="1" x14ac:dyDescent="0.25"/>
    <row r="212" s="19" customFormat="1" x14ac:dyDescent="0.25"/>
    <row r="213" s="19" customFormat="1" x14ac:dyDescent="0.25"/>
    <row r="214" s="19" customFormat="1" x14ac:dyDescent="0.25"/>
  </sheetData>
  <mergeCells count="2">
    <mergeCell ref="A1:C1"/>
    <mergeCell ref="A2:C2"/>
  </mergeCells>
  <conditionalFormatting sqref="M5:V5">
    <cfRule type="expression" dxfId="25" priority="4">
      <formula>$J5="Direct Input"</formula>
    </cfRule>
  </conditionalFormatting>
  <conditionalFormatting sqref="M6:V13">
    <cfRule type="expression" dxfId="24" priority="3">
      <formula>$J6="Direct Input"</formula>
    </cfRule>
  </conditionalFormatting>
  <conditionalFormatting sqref="L5">
    <cfRule type="expression" dxfId="23" priority="2">
      <formula>$J5="List Source Ratios"</formula>
    </cfRule>
  </conditionalFormatting>
  <conditionalFormatting sqref="L6:L14">
    <cfRule type="expression" dxfId="22" priority="1">
      <formula>$J6="List Source Ratios"</formula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'Allowable Values'!$A$2:$A$3</xm:f>
          </x14:formula1>
          <xm:sqref>J5:J14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>
      <selection activeCell="D10" sqref="D10"/>
    </sheetView>
  </sheetViews>
  <sheetFormatPr defaultRowHeight="15" x14ac:dyDescent="0.25"/>
  <cols>
    <col min="1" max="1" width="27.5703125" customWidth="1"/>
    <col min="2" max="2" width="10" customWidth="1"/>
    <col min="3" max="3" width="8.85546875" customWidth="1"/>
    <col min="4" max="4" width="8.140625" customWidth="1"/>
    <col min="5" max="5" width="11.28515625" bestFit="1" customWidth="1"/>
    <col min="6" max="6" width="7.42578125" customWidth="1"/>
    <col min="7" max="7" width="7.85546875" bestFit="1" customWidth="1"/>
    <col min="8" max="8" width="7.28515625" customWidth="1"/>
    <col min="9" max="10" width="8.28515625" bestFit="1" customWidth="1"/>
    <col min="11" max="11" width="11.28515625" bestFit="1" customWidth="1"/>
    <col min="12" max="12" width="18.7109375" customWidth="1"/>
    <col min="13" max="26" width="9.140625" style="19"/>
  </cols>
  <sheetData>
    <row r="1" spans="1:12" ht="19.5" thickBot="1" x14ac:dyDescent="0.35">
      <c r="A1" s="93" t="s">
        <v>179</v>
      </c>
      <c r="B1" s="94"/>
      <c r="C1" s="95"/>
      <c r="D1" s="93"/>
      <c r="E1" s="94"/>
      <c r="F1" s="95"/>
      <c r="G1" s="93"/>
      <c r="H1" s="94"/>
      <c r="I1" s="95"/>
      <c r="J1" s="93"/>
      <c r="K1" s="94"/>
      <c r="L1" s="95"/>
    </row>
    <row r="2" spans="1:12" ht="15.75" thickBot="1" x14ac:dyDescent="0.3">
      <c r="A2" s="115"/>
      <c r="B2" s="45" t="s">
        <v>24</v>
      </c>
      <c r="C2" s="43" t="s">
        <v>25</v>
      </c>
      <c r="D2" s="43" t="s">
        <v>26</v>
      </c>
      <c r="E2" s="43" t="s">
        <v>27</v>
      </c>
      <c r="F2" s="43" t="s">
        <v>28</v>
      </c>
      <c r="G2" s="43" t="s">
        <v>29</v>
      </c>
      <c r="H2" s="43" t="s">
        <v>30</v>
      </c>
      <c r="I2" s="43" t="s">
        <v>31</v>
      </c>
      <c r="J2" s="43" t="s">
        <v>32</v>
      </c>
      <c r="K2" s="44" t="s">
        <v>36</v>
      </c>
      <c r="L2" s="114" t="s">
        <v>22</v>
      </c>
    </row>
    <row r="3" spans="1:12" x14ac:dyDescent="0.25">
      <c r="A3" s="41" t="s">
        <v>23</v>
      </c>
      <c r="B3" s="3">
        <v>1100</v>
      </c>
      <c r="C3" s="4">
        <v>1000</v>
      </c>
      <c r="D3" s="4">
        <v>800</v>
      </c>
      <c r="E3" s="4">
        <v>550</v>
      </c>
      <c r="F3" s="4">
        <v>8</v>
      </c>
      <c r="G3" s="4">
        <v>9</v>
      </c>
      <c r="H3" s="4">
        <v>10</v>
      </c>
      <c r="I3" s="4">
        <v>58</v>
      </c>
      <c r="J3" s="4">
        <v>67</v>
      </c>
      <c r="K3" s="5">
        <v>0</v>
      </c>
      <c r="L3" s="113" t="s">
        <v>140</v>
      </c>
    </row>
    <row r="4" spans="1:12" s="19" customFormat="1" ht="15.75" thickBot="1" x14ac:dyDescent="0.3">
      <c r="A4" s="42" t="s">
        <v>33</v>
      </c>
      <c r="B4" s="38">
        <f>B3*365*24/10^3</f>
        <v>9636</v>
      </c>
      <c r="C4" s="36">
        <f t="shared" ref="C4:J4" si="0">C3*365*24/10^3</f>
        <v>8760</v>
      </c>
      <c r="D4" s="36">
        <f t="shared" si="0"/>
        <v>7008</v>
      </c>
      <c r="E4" s="36">
        <f t="shared" si="0"/>
        <v>4818</v>
      </c>
      <c r="F4" s="36">
        <f t="shared" si="0"/>
        <v>70.08</v>
      </c>
      <c r="G4" s="36">
        <f t="shared" si="0"/>
        <v>78.84</v>
      </c>
      <c r="H4" s="36">
        <f t="shared" si="0"/>
        <v>87.6</v>
      </c>
      <c r="I4" s="36">
        <f t="shared" si="0"/>
        <v>508.08</v>
      </c>
      <c r="J4" s="36">
        <f t="shared" si="0"/>
        <v>586.91999999999996</v>
      </c>
      <c r="K4" s="37">
        <v>0</v>
      </c>
      <c r="L4" s="39" t="s">
        <v>142</v>
      </c>
    </row>
    <row r="5" spans="1:12" s="19" customFormat="1" x14ac:dyDescent="0.25"/>
    <row r="6" spans="1:12" s="19" customFormat="1" x14ac:dyDescent="0.25"/>
    <row r="7" spans="1:12" s="19" customFormat="1" x14ac:dyDescent="0.25"/>
    <row r="8" spans="1:12" s="19" customFormat="1" x14ac:dyDescent="0.25"/>
    <row r="9" spans="1:12" s="19" customFormat="1" x14ac:dyDescent="0.25"/>
    <row r="10" spans="1:12" s="19" customFormat="1" x14ac:dyDescent="0.25"/>
    <row r="11" spans="1:12" s="19" customFormat="1" x14ac:dyDescent="0.25"/>
    <row r="12" spans="1:12" s="19" customFormat="1" x14ac:dyDescent="0.25"/>
    <row r="13" spans="1:12" s="19" customFormat="1" x14ac:dyDescent="0.25"/>
    <row r="14" spans="1:12" s="19" customFormat="1" x14ac:dyDescent="0.25"/>
    <row r="15" spans="1:12" s="19" customFormat="1" x14ac:dyDescent="0.25"/>
    <row r="16" spans="1:12" s="19" customFormat="1" x14ac:dyDescent="0.25"/>
    <row r="17" s="19" customFormat="1" x14ac:dyDescent="0.25"/>
    <row r="18" s="19" customFormat="1" x14ac:dyDescent="0.25"/>
    <row r="19" s="19" customFormat="1" x14ac:dyDescent="0.25"/>
    <row r="20" s="19" customFormat="1" x14ac:dyDescent="0.25"/>
    <row r="21" s="19" customFormat="1" x14ac:dyDescent="0.25"/>
    <row r="22" s="19" customFormat="1" x14ac:dyDescent="0.25"/>
    <row r="23" s="19" customFormat="1" x14ac:dyDescent="0.25"/>
    <row r="24" s="19" customFormat="1" x14ac:dyDescent="0.25"/>
    <row r="25" s="19" customFormat="1" x14ac:dyDescent="0.25"/>
    <row r="26" s="19" customFormat="1" x14ac:dyDescent="0.25"/>
    <row r="27" s="19" customFormat="1" x14ac:dyDescent="0.25"/>
    <row r="28" s="19" customFormat="1" x14ac:dyDescent="0.25"/>
    <row r="29" s="19" customFormat="1" x14ac:dyDescent="0.25"/>
    <row r="30" s="19" customFormat="1" x14ac:dyDescent="0.25"/>
    <row r="31" s="19" customFormat="1" x14ac:dyDescent="0.25"/>
    <row r="32" s="19" customFormat="1" x14ac:dyDescent="0.25"/>
    <row r="33" s="19" customFormat="1" x14ac:dyDescent="0.25"/>
    <row r="34" s="19" customFormat="1" x14ac:dyDescent="0.25"/>
    <row r="35" s="19" customFormat="1" x14ac:dyDescent="0.25"/>
    <row r="36" s="19" customFormat="1" x14ac:dyDescent="0.25"/>
    <row r="37" s="19" customFormat="1" x14ac:dyDescent="0.25"/>
    <row r="38" s="19" customFormat="1" x14ac:dyDescent="0.25"/>
    <row r="39" s="19" customFormat="1" x14ac:dyDescent="0.25"/>
    <row r="40" s="19" customFormat="1" x14ac:dyDescent="0.25"/>
    <row r="41" s="19" customFormat="1" x14ac:dyDescent="0.25"/>
    <row r="42" s="19" customFormat="1" x14ac:dyDescent="0.25"/>
    <row r="43" s="19" customFormat="1" x14ac:dyDescent="0.25"/>
    <row r="44" s="19" customFormat="1" x14ac:dyDescent="0.25"/>
    <row r="45" s="19" customFormat="1" x14ac:dyDescent="0.25"/>
    <row r="46" s="19" customFormat="1" x14ac:dyDescent="0.25"/>
    <row r="47" s="19" customFormat="1" x14ac:dyDescent="0.25"/>
    <row r="48" s="19" customFormat="1" x14ac:dyDescent="0.25"/>
    <row r="49" s="19" customFormat="1" x14ac:dyDescent="0.25"/>
    <row r="50" s="19" customFormat="1" x14ac:dyDescent="0.25"/>
    <row r="51" s="19" customFormat="1" x14ac:dyDescent="0.25"/>
    <row r="52" s="19" customFormat="1" x14ac:dyDescent="0.25"/>
    <row r="53" s="19" customFormat="1" x14ac:dyDescent="0.25"/>
    <row r="54" s="19" customFormat="1" x14ac:dyDescent="0.25"/>
    <row r="55" s="19" customFormat="1" x14ac:dyDescent="0.25"/>
    <row r="56" s="19" customFormat="1" x14ac:dyDescent="0.25"/>
    <row r="57" s="19" customFormat="1" x14ac:dyDescent="0.25"/>
    <row r="58" s="19" customFormat="1" x14ac:dyDescent="0.25"/>
    <row r="59" s="19" customFormat="1" x14ac:dyDescent="0.25"/>
    <row r="60" s="19" customFormat="1" x14ac:dyDescent="0.25"/>
    <row r="61" s="19" customFormat="1" x14ac:dyDescent="0.25"/>
    <row r="62" s="19" customFormat="1" x14ac:dyDescent="0.25"/>
    <row r="63" s="19" customFormat="1" x14ac:dyDescent="0.25"/>
    <row r="64" s="19" customFormat="1" x14ac:dyDescent="0.25"/>
    <row r="65" s="19" customFormat="1" x14ac:dyDescent="0.25"/>
    <row r="66" s="19" customFormat="1" x14ac:dyDescent="0.25"/>
    <row r="67" s="19" customFormat="1" x14ac:dyDescent="0.25"/>
    <row r="68" s="19" customFormat="1" x14ac:dyDescent="0.25"/>
    <row r="69" s="19" customFormat="1" x14ac:dyDescent="0.25"/>
    <row r="70" s="19" customFormat="1" x14ac:dyDescent="0.25"/>
    <row r="71" s="19" customFormat="1" x14ac:dyDescent="0.25"/>
    <row r="72" s="19" customFormat="1" x14ac:dyDescent="0.25"/>
    <row r="73" s="19" customFormat="1" x14ac:dyDescent="0.25"/>
    <row r="74" s="19" customFormat="1" x14ac:dyDescent="0.25"/>
    <row r="75" s="19" customFormat="1" x14ac:dyDescent="0.25"/>
    <row r="76" s="19" customFormat="1" x14ac:dyDescent="0.25"/>
    <row r="77" s="19" customFormat="1" x14ac:dyDescent="0.25"/>
    <row r="78" s="19" customFormat="1" x14ac:dyDescent="0.25"/>
    <row r="79" s="19" customFormat="1" x14ac:dyDescent="0.25"/>
    <row r="8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</sheetData>
  <hyperlinks>
    <hyperlink ref="L3" location="Weisser2007" display="(Weisser, 2007)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200"/>
  <sheetViews>
    <sheetView zoomScaleNormal="100" workbookViewId="0">
      <selection activeCell="Y55" sqref="Y55"/>
    </sheetView>
  </sheetViews>
  <sheetFormatPr defaultRowHeight="15" x14ac:dyDescent="0.25"/>
  <cols>
    <col min="1" max="1" width="1" customWidth="1"/>
    <col min="2" max="3" width="1.28515625" customWidth="1"/>
    <col min="4" max="4" width="34.140625" customWidth="1"/>
    <col min="5" max="5" width="16.28515625" bestFit="1" customWidth="1"/>
    <col min="6" max="11" width="17.42578125" bestFit="1" customWidth="1"/>
    <col min="12" max="74" width="9.140625" style="19"/>
  </cols>
  <sheetData>
    <row r="1" spans="1:11" ht="19.5" thickBot="1" x14ac:dyDescent="0.35">
      <c r="A1" s="19"/>
      <c r="B1" s="19"/>
      <c r="C1" s="19"/>
      <c r="D1" s="93" t="s">
        <v>144</v>
      </c>
      <c r="E1" s="94"/>
      <c r="F1" s="94"/>
      <c r="G1" s="94"/>
      <c r="H1" s="94"/>
      <c r="I1" s="94"/>
      <c r="J1" s="94"/>
      <c r="K1" s="95"/>
    </row>
    <row r="2" spans="1:11" x14ac:dyDescent="0.25">
      <c r="A2" s="19"/>
      <c r="B2" s="19"/>
      <c r="C2" s="19"/>
      <c r="D2" s="54" t="s">
        <v>153</v>
      </c>
      <c r="E2" s="66" t="s">
        <v>146</v>
      </c>
      <c r="F2" s="66" t="s">
        <v>147</v>
      </c>
      <c r="G2" s="66" t="s">
        <v>148</v>
      </c>
      <c r="H2" s="66" t="s">
        <v>149</v>
      </c>
      <c r="I2" s="66" t="s">
        <v>150</v>
      </c>
      <c r="J2" s="66" t="s">
        <v>151</v>
      </c>
      <c r="K2" s="67" t="s">
        <v>145</v>
      </c>
    </row>
    <row r="3" spans="1:11" x14ac:dyDescent="0.25">
      <c r="A3" s="19"/>
      <c r="B3" s="19"/>
      <c r="C3" s="19"/>
      <c r="D3" s="55" t="s">
        <v>84</v>
      </c>
      <c r="E3" s="7">
        <v>1000</v>
      </c>
      <c r="F3" s="7">
        <v>10494</v>
      </c>
      <c r="G3" s="23">
        <v>16896.39464592747</v>
      </c>
      <c r="H3" s="23">
        <v>41098.851365377224</v>
      </c>
      <c r="I3" s="7">
        <v>43742</v>
      </c>
      <c r="J3" s="7">
        <v>70000</v>
      </c>
      <c r="K3" s="56">
        <f>'Main Variables'!G$3</f>
        <v>15000</v>
      </c>
    </row>
    <row r="4" spans="1:11" x14ac:dyDescent="0.25">
      <c r="A4" s="19"/>
      <c r="B4" s="19"/>
      <c r="C4" s="19"/>
      <c r="D4" s="55" t="s">
        <v>177</v>
      </c>
      <c r="E4" s="109">
        <f>E3*'Main Variables'!$B$23*'Main Variables'!$B$25*10^6/10^9</f>
        <v>10</v>
      </c>
      <c r="F4" s="109">
        <f>F3*'Main Variables'!$B$23*'Main Variables'!$B$25*10^6/10^9</f>
        <v>104.94</v>
      </c>
      <c r="G4" s="109">
        <f>G3*'Main Variables'!$B$23*'Main Variables'!$B$25*10^6/10^9</f>
        <v>168.96394645927472</v>
      </c>
      <c r="H4" s="109">
        <f>H3*'Main Variables'!$B$23*'Main Variables'!$B$25*10^6/10^9</f>
        <v>410.9885136537722</v>
      </c>
      <c r="I4" s="109">
        <f>I3*'Main Variables'!$B$23*'Main Variables'!$B$25*10^6/10^9</f>
        <v>437.42</v>
      </c>
      <c r="J4" s="109">
        <f>J3*'Main Variables'!$B$23*'Main Variables'!$B$25*10^6/10^9</f>
        <v>700</v>
      </c>
      <c r="K4" s="110">
        <f>K3*'Main Variables'!$B$23*'Main Variables'!$B$25*10^6/10^9</f>
        <v>150</v>
      </c>
    </row>
    <row r="5" spans="1:11" x14ac:dyDescent="0.25">
      <c r="A5" s="19"/>
      <c r="B5" s="19"/>
      <c r="C5" s="19"/>
      <c r="D5" s="55" t="s">
        <v>178</v>
      </c>
      <c r="E5" s="22">
        <f>SUMPRODUCT(E17:E26,$B$17:$B$26)*1000*'Main Variables'!$B$33*'Main Variables'!$B$35 /10^9</f>
        <v>1.1502612000000003</v>
      </c>
      <c r="F5" s="22">
        <f>SUMPRODUCT(F17:F26,$B$17:$B$26)*1000*'Main Variables'!$B$33*'Main Variables'!$B$35 /10^9</f>
        <v>23.54624592</v>
      </c>
      <c r="G5" s="22">
        <f>SUMPRODUCT(G17:G26,$B$17:$B$26)*1000*'Main Variables'!$B$33*'Main Variables'!$B$35 /10^9</f>
        <v>38.789067093024123</v>
      </c>
      <c r="H5" s="22">
        <f>SUMPRODUCT(H17:H26,$B$17:$B$26)*1000*'Main Variables'!$B$33*'Main Variables'!$B$35 /10^9</f>
        <v>73.098371999999998</v>
      </c>
      <c r="I5" s="22">
        <f>SUMPRODUCT(I17:I26,$B$17:$B$26)*1000*'Main Variables'!$B$33*'Main Variables'!$B$35 /10^9</f>
        <v>73.098371999999998</v>
      </c>
      <c r="J5" s="22">
        <f>SUMPRODUCT(J17:J26,$B$17:$B$26)*1000*'Main Variables'!$B$33*'Main Variables'!$B$35 /10^9</f>
        <v>73.098371999999998</v>
      </c>
      <c r="K5" s="51">
        <f>SUMPRODUCT(K17:K26,$B$17:$B$26)*1000*'Main Variables'!$B$33*'Main Variables'!$B$35 /10^9</f>
        <v>34.274130720000002</v>
      </c>
    </row>
    <row r="6" spans="1:11" x14ac:dyDescent="0.25">
      <c r="A6" s="19"/>
      <c r="B6" s="19"/>
      <c r="C6" s="19"/>
      <c r="D6" s="55" t="s">
        <v>90</v>
      </c>
      <c r="E6" s="9">
        <f>E3*'Main Variables'!$B$23/1000</f>
        <v>5</v>
      </c>
      <c r="F6" s="9">
        <f>F3*'Main Variables'!$B$23/1000</f>
        <v>52.47</v>
      </c>
      <c r="G6" s="9">
        <f>G3*'Main Variables'!$B$23/1000</f>
        <v>84.481973229637362</v>
      </c>
      <c r="H6" s="9">
        <f>H3*'Main Variables'!$B$23/1000</f>
        <v>205.49425682688613</v>
      </c>
      <c r="I6" s="9">
        <f>I3*'Main Variables'!$B$23/1000</f>
        <v>218.71</v>
      </c>
      <c r="J6" s="9">
        <f>J3*'Main Variables'!$B$23/1000</f>
        <v>350</v>
      </c>
      <c r="K6" s="61">
        <f>K3*'Main Variables'!$B$23/1000</f>
        <v>75</v>
      </c>
    </row>
    <row r="7" spans="1:11" x14ac:dyDescent="0.25">
      <c r="A7" s="19"/>
      <c r="B7" s="19"/>
      <c r="C7" s="19"/>
      <c r="D7" s="55" t="s">
        <v>89</v>
      </c>
      <c r="E7" s="9">
        <f>E6*'Main Variables'!$B$24</f>
        <v>2</v>
      </c>
      <c r="F7" s="9">
        <f>F6*'Main Variables'!$B$24</f>
        <v>20.988</v>
      </c>
      <c r="G7" s="9">
        <f>G6*'Main Variables'!$B$24</f>
        <v>33.792789291854945</v>
      </c>
      <c r="H7" s="9">
        <f>H6*'Main Variables'!$B$24</f>
        <v>82.197702730754457</v>
      </c>
      <c r="I7" s="9">
        <f>I6*'Main Variables'!$B$24</f>
        <v>87.484000000000009</v>
      </c>
      <c r="J7" s="9">
        <f>J6*'Main Variables'!$B$24</f>
        <v>140</v>
      </c>
      <c r="K7" s="61">
        <f>K6*'Main Variables'!$B$24</f>
        <v>30</v>
      </c>
    </row>
    <row r="8" spans="1:11" x14ac:dyDescent="0.25">
      <c r="A8" s="19"/>
      <c r="B8" s="19"/>
      <c r="C8" s="19"/>
      <c r="D8" s="55" t="s">
        <v>97</v>
      </c>
      <c r="E8" s="10">
        <f>E7*'Main Variables'!$B$28</f>
        <v>182.208</v>
      </c>
      <c r="F8" s="10">
        <f>F7*'Main Variables'!$B$28</f>
        <v>1912.0907519999998</v>
      </c>
      <c r="G8" s="10">
        <f>G7*'Main Variables'!$B$28</f>
        <v>3078.658275645153</v>
      </c>
      <c r="H8" s="10">
        <f>H7*'Main Variables'!$B$28</f>
        <v>7488.5395095826543</v>
      </c>
      <c r="I8" s="10">
        <f>I7*'Main Variables'!$B$28</f>
        <v>7970.1423360000008</v>
      </c>
      <c r="J8" s="10">
        <f>J7*'Main Variables'!$B$28</f>
        <v>12754.56</v>
      </c>
      <c r="K8" s="62">
        <f>K7*'Main Variables'!$B$28</f>
        <v>2733.12</v>
      </c>
    </row>
    <row r="9" spans="1:11" x14ac:dyDescent="0.25">
      <c r="A9" s="19"/>
      <c r="B9" s="19"/>
      <c r="C9" s="19"/>
      <c r="D9" s="55" t="s">
        <v>95</v>
      </c>
      <c r="E9" s="10">
        <f t="shared" ref="E9:K9" si="0">SUMPRODUCT($A$17:$A$26,E17:E26)-E8</f>
        <v>9519.091639209013</v>
      </c>
      <c r="F9" s="10">
        <f t="shared" si="0"/>
        <v>108356.09702494784</v>
      </c>
      <c r="G9" s="10">
        <f t="shared" si="0"/>
        <v>177012.07955291678</v>
      </c>
      <c r="H9" s="10">
        <f t="shared" si="0"/>
        <v>275090.45737976587</v>
      </c>
      <c r="I9" s="10">
        <f t="shared" si="0"/>
        <v>274608.85455334856</v>
      </c>
      <c r="J9" s="10">
        <f t="shared" si="0"/>
        <v>269824.43688934855</v>
      </c>
      <c r="K9" s="62">
        <f t="shared" si="0"/>
        <v>156676.12013814546</v>
      </c>
    </row>
    <row r="10" spans="1:11" x14ac:dyDescent="0.25">
      <c r="A10" s="19"/>
      <c r="B10" s="19"/>
      <c r="C10" s="19"/>
      <c r="D10" s="55" t="s">
        <v>85</v>
      </c>
      <c r="E10" s="63">
        <f>E9/'Main Variables'!$B$16</f>
        <v>0.19877357611100416</v>
      </c>
      <c r="F10" s="63">
        <f>F9/'Main Variables'!$B$16</f>
        <v>2.262645398891185</v>
      </c>
      <c r="G10" s="63">
        <f>G9/'Main Variables'!$B$16</f>
        <v>3.696290087454452</v>
      </c>
      <c r="H10" s="63">
        <f>H9/'Main Variables'!$B$16</f>
        <v>5.744320575942214</v>
      </c>
      <c r="I10" s="63">
        <f>I9/'Main Variables'!$B$16</f>
        <v>5.7342639529260193</v>
      </c>
      <c r="J10" s="63">
        <f>J9/'Main Variables'!$B$16</f>
        <v>5.6343578017167264</v>
      </c>
      <c r="K10" s="64">
        <f>K9/'Main Variables'!$B$16</f>
        <v>3.2716433323089968</v>
      </c>
    </row>
    <row r="11" spans="1:11" x14ac:dyDescent="0.25">
      <c r="A11" s="19"/>
      <c r="B11" s="19"/>
      <c r="C11" s="19"/>
      <c r="D11" s="55" t="s">
        <v>86</v>
      </c>
      <c r="E11" s="63">
        <f>E9/'Main Variables'!$B$14</f>
        <v>8.1678288964939616E-2</v>
      </c>
      <c r="F11" s="63">
        <f>F9/'Main Variables'!$B$14</f>
        <v>0.92974633918453797</v>
      </c>
      <c r="G11" s="63">
        <f>G9/'Main Variables'!$B$14</f>
        <v>1.5188470005326478</v>
      </c>
      <c r="H11" s="63">
        <f>H9/'Main Variables'!$B$14</f>
        <v>2.3604056690464819</v>
      </c>
      <c r="I11" s="63">
        <f>I9/'Main Variables'!$B$14</f>
        <v>2.3562732900009413</v>
      </c>
      <c r="J11" s="63">
        <f>J9/'Main Variables'!$B$14</f>
        <v>2.315220733380988</v>
      </c>
      <c r="K11" s="64">
        <f>K9/'Main Variables'!$B$14</f>
        <v>1.344354892208224</v>
      </c>
    </row>
    <row r="12" spans="1:11" x14ac:dyDescent="0.25">
      <c r="A12" s="19"/>
      <c r="B12" s="19"/>
      <c r="C12" s="19"/>
      <c r="D12" s="55" t="s">
        <v>87</v>
      </c>
      <c r="E12" s="63">
        <f>E9/'Main Variables'!$B$15</f>
        <v>2.5311455375286143E-2</v>
      </c>
      <c r="F12" s="63">
        <f>F9/'Main Variables'!$B$15</f>
        <v>0.28812103280844586</v>
      </c>
      <c r="G12" s="63">
        <f>G9/'Main Variables'!$B$15</f>
        <v>0.47067866581254542</v>
      </c>
      <c r="H12" s="63">
        <f>H9/'Main Variables'!$B$15</f>
        <v>0.73147103736818131</v>
      </c>
      <c r="I12" s="63">
        <f>I9/'Main Variables'!$B$15</f>
        <v>0.73019044580424863</v>
      </c>
      <c r="J12" s="63">
        <f>J9/'Main Variables'!$B$15</f>
        <v>0.71746858338407238</v>
      </c>
      <c r="K12" s="64">
        <f>K9/'Main Variables'!$B$15</f>
        <v>0.41660494231560613</v>
      </c>
    </row>
    <row r="13" spans="1:11" ht="15.75" thickBot="1" x14ac:dyDescent="0.3">
      <c r="A13" s="19"/>
      <c r="B13" s="19"/>
      <c r="C13" s="19"/>
      <c r="D13" s="65" t="s">
        <v>99</v>
      </c>
      <c r="E13" s="36" t="str">
        <f t="shared" ref="E13:K13" si="1">IF(SUM(E16:E26)&lt;E7,"N","Y")</f>
        <v>Y</v>
      </c>
      <c r="F13" s="36" t="str">
        <f t="shared" si="1"/>
        <v>Y</v>
      </c>
      <c r="G13" s="36" t="str">
        <f t="shared" si="1"/>
        <v>Y</v>
      </c>
      <c r="H13" s="36" t="str">
        <f t="shared" si="1"/>
        <v>N</v>
      </c>
      <c r="I13" s="36" t="str">
        <f t="shared" si="1"/>
        <v>N</v>
      </c>
      <c r="J13" s="36" t="str">
        <f t="shared" si="1"/>
        <v>N</v>
      </c>
      <c r="K13" s="37" t="str">
        <f t="shared" si="1"/>
        <v>Y</v>
      </c>
    </row>
    <row r="14" spans="1:11" ht="15.75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1" ht="19.5" thickBot="1" x14ac:dyDescent="0.35">
      <c r="A15" s="19"/>
      <c r="B15" s="19"/>
      <c r="C15" s="19"/>
      <c r="D15" s="93" t="s">
        <v>152</v>
      </c>
      <c r="E15" s="94"/>
      <c r="F15" s="94"/>
      <c r="G15" s="94"/>
      <c r="H15" s="94"/>
      <c r="I15" s="94"/>
      <c r="J15" s="94"/>
      <c r="K15" s="95"/>
    </row>
    <row r="16" spans="1:11" ht="15" customHeight="1" x14ac:dyDescent="0.25">
      <c r="A16" s="46" t="s">
        <v>93</v>
      </c>
      <c r="B16" s="47" t="s">
        <v>98</v>
      </c>
      <c r="C16" s="47" t="s">
        <v>92</v>
      </c>
      <c r="D16" s="46" t="s">
        <v>91</v>
      </c>
      <c r="E16" s="48" t="s">
        <v>94</v>
      </c>
      <c r="F16" s="48" t="s">
        <v>94</v>
      </c>
      <c r="G16" s="48" t="s">
        <v>94</v>
      </c>
      <c r="H16" s="48" t="s">
        <v>94</v>
      </c>
      <c r="I16" s="48" t="s">
        <v>94</v>
      </c>
      <c r="J16" s="48" t="s">
        <v>94</v>
      </c>
      <c r="K16" s="49" t="s">
        <v>94</v>
      </c>
    </row>
    <row r="17" spans="1:11" x14ac:dyDescent="0.25">
      <c r="A17" s="50">
        <f>'Grid Sizes, Locations, and GHGs'!K5</f>
        <v>2890.7999999999997</v>
      </c>
      <c r="B17" s="9">
        <f>'Grid Sizes, Locations, and GHGs'!D5</f>
        <v>0</v>
      </c>
      <c r="C17" s="22">
        <f>'Grid Sizes, Locations, and GHGs'!H5</f>
        <v>0.16624999999999998</v>
      </c>
      <c r="D17" s="73" t="str">
        <f>'Grid Sizes, Locations, and GHGs'!A5</f>
        <v>Onsite Usage Via Cogen</v>
      </c>
      <c r="E17" s="22">
        <f>MIN($C17,E$7-SUM(E$16:E16))</f>
        <v>0.16624999999999998</v>
      </c>
      <c r="F17" s="22">
        <f>MIN($C17,F$7-SUM(F$16:F16))</f>
        <v>0.16624999999999998</v>
      </c>
      <c r="G17" s="22">
        <f>MIN($C17,G$7-SUM(G$16:G16))</f>
        <v>0.16624999999999998</v>
      </c>
      <c r="H17" s="22">
        <f>MIN($C17,H$7-SUM(H$16:H16))</f>
        <v>0.16624999999999998</v>
      </c>
      <c r="I17" s="22">
        <f>MIN($C17,I$7-SUM(I$16:I16))</f>
        <v>0.16624999999999998</v>
      </c>
      <c r="J17" s="22">
        <f>MIN($C17,J$7-SUM(J$16:J16))</f>
        <v>0.16624999999999998</v>
      </c>
      <c r="K17" s="51">
        <f>MIN($C17,K$7-SUM(K$16:K16))</f>
        <v>0.16624999999999998</v>
      </c>
    </row>
    <row r="18" spans="1:11" x14ac:dyDescent="0.25">
      <c r="A18" s="50">
        <f>'Grid Sizes, Locations, and GHGs'!K6</f>
        <v>6847.732296000002</v>
      </c>
      <c r="B18" s="9">
        <f>'Grid Sizes, Locations, and GHGs'!D6</f>
        <v>0</v>
      </c>
      <c r="C18" s="22">
        <f>'Grid Sizes, Locations, and GHGs'!H6</f>
        <v>0</v>
      </c>
      <c r="D18" s="73" t="str">
        <f>'Grid Sizes, Locations, and GHGs'!A6</f>
        <v>Onsite Usage Electric Assist Direct</v>
      </c>
      <c r="E18" s="22">
        <f>MIN($C18,E$7-SUM(E$16:E17))</f>
        <v>0</v>
      </c>
      <c r="F18" s="22">
        <f>MIN($C18,F$7-SUM(F$16:F17))</f>
        <v>0</v>
      </c>
      <c r="G18" s="22">
        <f>MIN($C18,G$7-SUM(G$16:G17))</f>
        <v>0</v>
      </c>
      <c r="H18" s="22">
        <f>MIN($C18,H$7-SUM(H$16:H17))</f>
        <v>0</v>
      </c>
      <c r="I18" s="22">
        <f>MIN($C18,I$7-SUM(I$16:I17))</f>
        <v>0</v>
      </c>
      <c r="J18" s="22">
        <f>MIN($C18,J$7-SUM(J$16:J17))</f>
        <v>0</v>
      </c>
      <c r="K18" s="51">
        <f>MIN($C18,K$7-SUM(K$16:K17))</f>
        <v>0</v>
      </c>
    </row>
    <row r="19" spans="1:11" x14ac:dyDescent="0.25">
      <c r="A19" s="50">
        <f>'Grid Sizes, Locations, and GHGs'!K7</f>
        <v>6847.732296000002</v>
      </c>
      <c r="B19" s="9">
        <f>'Grid Sizes, Locations, and GHGs'!D7</f>
        <v>0</v>
      </c>
      <c r="C19" s="22">
        <f>'Grid Sizes, Locations, and GHGs'!H7</f>
        <v>0</v>
      </c>
      <c r="D19" s="73" t="str">
        <f>'Grid Sizes, Locations, and GHGs'!A7</f>
        <v>Onsite Usage Electric Assist Indirect</v>
      </c>
      <c r="E19" s="22">
        <f>MIN($C19,E$7-SUM(E$16:E18))</f>
        <v>0</v>
      </c>
      <c r="F19" s="22">
        <f>MIN($C19,F$7-SUM(F$16:F18))</f>
        <v>0</v>
      </c>
      <c r="G19" s="22">
        <f>MIN($C19,G$7-SUM(G$16:G18))</f>
        <v>0</v>
      </c>
      <c r="H19" s="22">
        <f>MIN($C19,H$7-SUM(H$16:H18))</f>
        <v>0</v>
      </c>
      <c r="I19" s="22">
        <f>MIN($C19,I$7-SUM(I$16:I18))</f>
        <v>0</v>
      </c>
      <c r="J19" s="22">
        <f>MIN($C19,J$7-SUM(J$16:J18))</f>
        <v>0</v>
      </c>
      <c r="K19" s="51">
        <f>MIN($C19,K$7-SUM(K$16:K18))</f>
        <v>0</v>
      </c>
    </row>
    <row r="20" spans="1:11" x14ac:dyDescent="0.25">
      <c r="A20" s="50">
        <f>'Grid Sizes, Locations, and GHGs'!K8</f>
        <v>6847.732296000002</v>
      </c>
      <c r="B20" s="9">
        <f>'Grid Sizes, Locations, and GHGs'!D8</f>
        <v>500</v>
      </c>
      <c r="C20" s="22">
        <f>'Grid Sizes, Locations, and GHGs'!H8</f>
        <v>0.88799999999999979</v>
      </c>
      <c r="D20" s="73" t="str">
        <f>'Grid Sizes, Locations, and GHGs'!A8</f>
        <v>Alberta</v>
      </c>
      <c r="E20" s="22">
        <f>MIN($C20,E$7-SUM(E$16:E19))</f>
        <v>0.88799999999999979</v>
      </c>
      <c r="F20" s="22">
        <f>MIN($C20,F$7-SUM(F$16:F19))</f>
        <v>0.88799999999999979</v>
      </c>
      <c r="G20" s="22">
        <f>MIN($C20,G$7-SUM(G$16:G19))</f>
        <v>0.88799999999999979</v>
      </c>
      <c r="H20" s="22">
        <f>MIN($C20,H$7-SUM(H$16:H19))</f>
        <v>0.88799999999999979</v>
      </c>
      <c r="I20" s="22">
        <f>MIN($C20,I$7-SUM(I$16:I19))</f>
        <v>0.88799999999999979</v>
      </c>
      <c r="J20" s="22">
        <f>MIN($C20,J$7-SUM(J$16:J19))</f>
        <v>0.88799999999999979</v>
      </c>
      <c r="K20" s="51">
        <f>MIN($C20,K$7-SUM(K$16:K19))</f>
        <v>0.88799999999999979</v>
      </c>
    </row>
    <row r="21" spans="1:11" x14ac:dyDescent="0.25">
      <c r="A21" s="50">
        <f>'Grid Sizes, Locations, and GHGs'!K9</f>
        <v>3320.0294584837543</v>
      </c>
      <c r="B21" s="9">
        <f>'Grid Sizes, Locations, and GHGs'!D9</f>
        <v>2800</v>
      </c>
      <c r="C21" s="22">
        <f>'Grid Sizes, Locations, and GHGs'!H9</f>
        <v>2.3390999999999997</v>
      </c>
      <c r="D21" s="73" t="str">
        <f>'Grid Sizes, Locations, and GHGs'!A9</f>
        <v>California</v>
      </c>
      <c r="E21" s="22">
        <f>MIN($C21,E$7-SUM(E$16:E20))</f>
        <v>0.94575000000000031</v>
      </c>
      <c r="F21" s="22">
        <f>MIN($C21,F$7-SUM(F$16:F20))</f>
        <v>2.3390999999999997</v>
      </c>
      <c r="G21" s="22">
        <f>MIN($C21,G$7-SUM(G$16:G20))</f>
        <v>2.3390999999999997</v>
      </c>
      <c r="H21" s="22">
        <f>MIN($C21,H$7-SUM(H$16:H20))</f>
        <v>2.3390999999999997</v>
      </c>
      <c r="I21" s="22">
        <f>MIN($C21,I$7-SUM(I$16:I20))</f>
        <v>2.3390999999999997</v>
      </c>
      <c r="J21" s="22">
        <f>MIN($C21,J$7-SUM(J$16:J20))</f>
        <v>2.3390999999999997</v>
      </c>
      <c r="K21" s="51">
        <f>MIN($C21,K$7-SUM(K$16:K20))</f>
        <v>2.3390999999999997</v>
      </c>
    </row>
    <row r="22" spans="1:11" x14ac:dyDescent="0.25">
      <c r="A22" s="50">
        <f>'Grid Sizes, Locations, and GHGs'!K10</f>
        <v>5452.8464670658686</v>
      </c>
      <c r="B22" s="9">
        <f>'Grid Sizes, Locations, and GHGs'!D10</f>
        <v>3200</v>
      </c>
      <c r="C22" s="22">
        <f>'Grid Sizes, Locations, and GHGs'!H10</f>
        <v>48.074099999999994</v>
      </c>
      <c r="D22" s="73" t="str">
        <f>'Grid Sizes, Locations, and GHGs'!A10</f>
        <v>USA (excluding California)</v>
      </c>
      <c r="E22" s="22">
        <f>MIN($C22,E$7-SUM(E$16:E21))</f>
        <v>0</v>
      </c>
      <c r="F22" s="22">
        <f>MIN($C22,F$7-SUM(F$16:F21))</f>
        <v>17.594650000000001</v>
      </c>
      <c r="G22" s="22">
        <f>MIN($C22,G$7-SUM(G$16:G21))</f>
        <v>30.399439291854947</v>
      </c>
      <c r="H22" s="22">
        <f>MIN($C22,H$7-SUM(H$16:H21))</f>
        <v>48.074099999999994</v>
      </c>
      <c r="I22" s="22">
        <f>MIN($C22,I$7-SUM(I$16:I21))</f>
        <v>48.074099999999994</v>
      </c>
      <c r="J22" s="22">
        <f>MIN($C22,J$7-SUM(J$16:J21))</f>
        <v>48.074099999999994</v>
      </c>
      <c r="K22" s="51">
        <f>MIN($C22,K$7-SUM(K$16:K21))</f>
        <v>26.606650000000002</v>
      </c>
    </row>
    <row r="23" spans="1:11" x14ac:dyDescent="0.25">
      <c r="A23" s="50">
        <f>'Grid Sizes, Locations, and GHGs'!K11</f>
        <v>685.27943188637732</v>
      </c>
      <c r="B23" s="9">
        <f>'Grid Sizes, Locations, and GHGs'!D11</f>
        <v>4000</v>
      </c>
      <c r="C23" s="22">
        <f>'Grid Sizes, Locations, and GHGs'!H11</f>
        <v>8.9175999999999984</v>
      </c>
      <c r="D23" s="73" t="str">
        <f>'Grid Sizes, Locations, and GHGs'!A11</f>
        <v>Canada (excluding Alberta)</v>
      </c>
      <c r="E23" s="22">
        <f>MIN($C23,E$7-SUM(E$16:E22))</f>
        <v>0</v>
      </c>
      <c r="F23" s="22">
        <f>MIN($C23,F$7-SUM(F$16:F22))</f>
        <v>0</v>
      </c>
      <c r="G23" s="22">
        <f>MIN($C23,G$7-SUM(G$16:G22))</f>
        <v>0</v>
      </c>
      <c r="H23" s="22">
        <f>MIN($C23,H$7-SUM(H$16:H22))</f>
        <v>8.9175999999999984</v>
      </c>
      <c r="I23" s="22">
        <f>MIN($C23,I$7-SUM(I$16:I22))</f>
        <v>8.9175999999999984</v>
      </c>
      <c r="J23" s="22">
        <f>MIN($C23,J$7-SUM(J$16:J22))</f>
        <v>8.9175999999999984</v>
      </c>
      <c r="K23" s="51">
        <f>MIN($C23,K$7-SUM(K$16:K22))</f>
        <v>0</v>
      </c>
    </row>
    <row r="24" spans="1:11" x14ac:dyDescent="0.25">
      <c r="A24" s="50">
        <f>'Grid Sizes, Locations, and GHGs'!K12</f>
        <v>0</v>
      </c>
      <c r="B24" s="9">
        <f>'Grid Sizes, Locations, and GHGs'!D12</f>
        <v>0</v>
      </c>
      <c r="C24" s="22">
        <f>'Grid Sizes, Locations, and GHGs'!H12</f>
        <v>0</v>
      </c>
      <c r="D24" s="73" t="str">
        <f>'Grid Sizes, Locations, and GHGs'!A12</f>
        <v>unused</v>
      </c>
      <c r="E24" s="22">
        <f>MIN($C24,E$7-SUM(E$16:E23))</f>
        <v>0</v>
      </c>
      <c r="F24" s="22">
        <f>MIN($C24,F$7-SUM(F$16:F23))</f>
        <v>0</v>
      </c>
      <c r="G24" s="22">
        <f>MIN($C24,G$7-SUM(G$16:G23))</f>
        <v>0</v>
      </c>
      <c r="H24" s="22">
        <f>MIN($C24,H$7-SUM(H$16:H23))</f>
        <v>0</v>
      </c>
      <c r="I24" s="22">
        <f>MIN($C24,I$7-SUM(I$16:I23))</f>
        <v>0</v>
      </c>
      <c r="J24" s="22">
        <f>MIN($C24,J$7-SUM(J$16:J23))</f>
        <v>0</v>
      </c>
      <c r="K24" s="51">
        <f>MIN($C24,K$7-SUM(K$16:K23))</f>
        <v>0</v>
      </c>
    </row>
    <row r="25" spans="1:11" x14ac:dyDescent="0.25">
      <c r="A25" s="50">
        <f>'Grid Sizes, Locations, and GHGs'!K13</f>
        <v>0</v>
      </c>
      <c r="B25" s="9">
        <f>'Grid Sizes, Locations, and GHGs'!D13</f>
        <v>0</v>
      </c>
      <c r="C25" s="22">
        <f>'Grid Sizes, Locations, and GHGs'!H13</f>
        <v>0</v>
      </c>
      <c r="D25" s="73" t="str">
        <f>'Grid Sizes, Locations, and GHGs'!A13</f>
        <v>unused</v>
      </c>
      <c r="E25" s="22">
        <f>MIN($C25,E$7-SUM(E$16:E24))</f>
        <v>0</v>
      </c>
      <c r="F25" s="22">
        <f>MIN($C25,F$7-SUM(F$16:F24))</f>
        <v>0</v>
      </c>
      <c r="G25" s="22">
        <f>MIN($C25,G$7-SUM(G$16:G24))</f>
        <v>0</v>
      </c>
      <c r="H25" s="22">
        <f>MIN($C25,H$7-SUM(H$16:H24))</f>
        <v>0</v>
      </c>
      <c r="I25" s="22">
        <f>MIN($C25,I$7-SUM(I$16:I24))</f>
        <v>0</v>
      </c>
      <c r="J25" s="22">
        <f>MIN($C25,J$7-SUM(J$16:J24))</f>
        <v>0</v>
      </c>
      <c r="K25" s="51">
        <f>MIN($C25,K$7-SUM(K$16:K24))</f>
        <v>0</v>
      </c>
    </row>
    <row r="26" spans="1:11" ht="15.75" thickBot="1" x14ac:dyDescent="0.3">
      <c r="A26" s="52">
        <f>'Grid Sizes, Locations, and GHGs'!K14</f>
        <v>0</v>
      </c>
      <c r="B26" s="36">
        <f>'Grid Sizes, Locations, and GHGs'!D14</f>
        <v>0</v>
      </c>
      <c r="C26" s="40">
        <f>'Grid Sizes, Locations, and GHGs'!H14</f>
        <v>0</v>
      </c>
      <c r="D26" s="38" t="str">
        <f>'Grid Sizes, Locations, and GHGs'!A14</f>
        <v>unused</v>
      </c>
      <c r="E26" s="40">
        <f>MIN($C26,E$7-SUM(E$16:E25))</f>
        <v>0</v>
      </c>
      <c r="F26" s="40">
        <f>MIN($C26,F$7-SUM(F$16:F25))</f>
        <v>0</v>
      </c>
      <c r="G26" s="40">
        <f>MIN($C26,G$7-SUM(G$16:G25))</f>
        <v>0</v>
      </c>
      <c r="H26" s="40">
        <f>MIN($C26,H$7-SUM(H$16:H25))</f>
        <v>0</v>
      </c>
      <c r="I26" s="40">
        <f>MIN($C26,I$7-SUM(I$16:I25))</f>
        <v>0</v>
      </c>
      <c r="J26" s="40">
        <f>MIN($C26,J$7-SUM(J$16:J25))</f>
        <v>0</v>
      </c>
      <c r="K26" s="53">
        <f>MIN($C26,K$7-SUM(K$16:K25))</f>
        <v>0</v>
      </c>
    </row>
    <row r="27" spans="1:11" s="19" customFormat="1" x14ac:dyDescent="0.25">
      <c r="C27" s="111"/>
      <c r="D27" s="112"/>
      <c r="E27" s="111"/>
      <c r="F27" s="111"/>
      <c r="G27" s="111"/>
      <c r="H27" s="111"/>
      <c r="I27" s="111"/>
      <c r="J27" s="111"/>
    </row>
    <row r="28" spans="1:11" s="19" customFormat="1" x14ac:dyDescent="0.25">
      <c r="C28" s="111"/>
      <c r="D28" s="112"/>
      <c r="E28" s="111"/>
      <c r="F28" s="111"/>
      <c r="G28" s="111"/>
      <c r="H28" s="111"/>
      <c r="I28" s="111"/>
      <c r="J28" s="111"/>
    </row>
    <row r="29" spans="1:11" s="19" customFormat="1" x14ac:dyDescent="0.25">
      <c r="C29" s="111"/>
      <c r="D29" s="112"/>
      <c r="E29" s="111"/>
      <c r="F29" s="111"/>
      <c r="G29" s="111"/>
      <c r="H29" s="111"/>
      <c r="I29" s="111"/>
      <c r="J29" s="111"/>
    </row>
    <row r="30" spans="1:11" s="19" customFormat="1" x14ac:dyDescent="0.25">
      <c r="C30" s="111"/>
      <c r="D30" s="112"/>
      <c r="E30" s="111"/>
      <c r="F30" s="111"/>
      <c r="G30" s="111"/>
      <c r="H30" s="111"/>
      <c r="I30" s="111"/>
      <c r="J30" s="111"/>
    </row>
    <row r="31" spans="1:11" s="19" customFormat="1" x14ac:dyDescent="0.25">
      <c r="C31" s="111"/>
      <c r="D31" s="112"/>
      <c r="E31" s="111"/>
      <c r="F31" s="111"/>
      <c r="G31" s="111"/>
      <c r="H31" s="111"/>
      <c r="I31" s="111"/>
      <c r="J31" s="111"/>
    </row>
    <row r="32" spans="1:11" s="19" customFormat="1" x14ac:dyDescent="0.25">
      <c r="C32" s="111"/>
      <c r="D32" s="112"/>
      <c r="E32" s="111"/>
      <c r="F32" s="111"/>
      <c r="G32" s="111"/>
      <c r="H32" s="111"/>
      <c r="I32" s="111"/>
      <c r="J32" s="111"/>
    </row>
    <row r="33" spans="3:10" s="19" customFormat="1" x14ac:dyDescent="0.25">
      <c r="C33" s="111"/>
      <c r="D33" s="112"/>
      <c r="E33" s="111"/>
      <c r="F33" s="111"/>
      <c r="G33" s="111"/>
      <c r="H33" s="111"/>
      <c r="I33" s="111"/>
      <c r="J33" s="111"/>
    </row>
    <row r="34" spans="3:10" s="19" customFormat="1" x14ac:dyDescent="0.25"/>
    <row r="35" spans="3:10" s="19" customFormat="1" x14ac:dyDescent="0.25"/>
    <row r="36" spans="3:10" s="19" customFormat="1" x14ac:dyDescent="0.25"/>
    <row r="37" spans="3:10" s="19" customFormat="1" x14ac:dyDescent="0.25"/>
    <row r="38" spans="3:10" s="19" customFormat="1" x14ac:dyDescent="0.25"/>
    <row r="39" spans="3:10" s="19" customFormat="1" x14ac:dyDescent="0.25"/>
    <row r="40" spans="3:10" s="19" customFormat="1" x14ac:dyDescent="0.25"/>
    <row r="41" spans="3:10" s="19" customFormat="1" x14ac:dyDescent="0.25"/>
    <row r="42" spans="3:10" s="19" customFormat="1" x14ac:dyDescent="0.25"/>
    <row r="43" spans="3:10" s="19" customFormat="1" x14ac:dyDescent="0.25"/>
    <row r="44" spans="3:10" s="19" customFormat="1" x14ac:dyDescent="0.25"/>
    <row r="45" spans="3:10" s="19" customFormat="1" x14ac:dyDescent="0.25"/>
    <row r="46" spans="3:10" s="19" customFormat="1" x14ac:dyDescent="0.25"/>
    <row r="47" spans="3:10" s="19" customFormat="1" x14ac:dyDescent="0.25"/>
    <row r="48" spans="3:10" s="19" customFormat="1" x14ac:dyDescent="0.25"/>
    <row r="49" s="19" customFormat="1" x14ac:dyDescent="0.25"/>
    <row r="50" s="19" customFormat="1" x14ac:dyDescent="0.25"/>
    <row r="51" s="19" customFormat="1" x14ac:dyDescent="0.25"/>
    <row r="52" s="19" customFormat="1" x14ac:dyDescent="0.25"/>
    <row r="53" s="19" customFormat="1" x14ac:dyDescent="0.25"/>
    <row r="54" s="19" customFormat="1" x14ac:dyDescent="0.25"/>
    <row r="55" s="19" customFormat="1" x14ac:dyDescent="0.25"/>
    <row r="56" s="19" customFormat="1" x14ac:dyDescent="0.25"/>
    <row r="57" s="19" customFormat="1" x14ac:dyDescent="0.25"/>
    <row r="58" s="19" customFormat="1" x14ac:dyDescent="0.25"/>
    <row r="59" s="19" customFormat="1" x14ac:dyDescent="0.25"/>
    <row r="60" s="19" customFormat="1" x14ac:dyDescent="0.25"/>
    <row r="61" s="19" customFormat="1" x14ac:dyDescent="0.25"/>
    <row r="62" s="19" customFormat="1" x14ac:dyDescent="0.25"/>
    <row r="63" s="19" customFormat="1" x14ac:dyDescent="0.25"/>
    <row r="64" s="19" customFormat="1" x14ac:dyDescent="0.25"/>
    <row r="65" s="19" customFormat="1" x14ac:dyDescent="0.25"/>
    <row r="66" s="19" customFormat="1" x14ac:dyDescent="0.25"/>
    <row r="67" s="19" customFormat="1" x14ac:dyDescent="0.25"/>
    <row r="68" s="19" customFormat="1" x14ac:dyDescent="0.25"/>
    <row r="69" s="19" customFormat="1" x14ac:dyDescent="0.25"/>
    <row r="70" s="19" customFormat="1" x14ac:dyDescent="0.25"/>
    <row r="71" s="19" customFormat="1" x14ac:dyDescent="0.25"/>
    <row r="72" s="19" customFormat="1" x14ac:dyDescent="0.25"/>
    <row r="73" s="19" customFormat="1" x14ac:dyDescent="0.25"/>
    <row r="74" s="19" customFormat="1" x14ac:dyDescent="0.25"/>
    <row r="75" s="19" customFormat="1" x14ac:dyDescent="0.25"/>
    <row r="76" s="19" customFormat="1" x14ac:dyDescent="0.25"/>
    <row r="77" s="19" customFormat="1" x14ac:dyDescent="0.25"/>
    <row r="78" s="19" customFormat="1" x14ac:dyDescent="0.25"/>
    <row r="79" s="19" customFormat="1" x14ac:dyDescent="0.25"/>
    <row r="8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</sheetData>
  <conditionalFormatting sqref="E13">
    <cfRule type="containsText" dxfId="21" priority="30" operator="containsText" text="N">
      <formula>NOT(ISERROR(SEARCH("N",E13)))</formula>
    </cfRule>
    <cfRule type="cellIs" dxfId="20" priority="31" operator="equal">
      <formula>"""N"""</formula>
    </cfRule>
    <cfRule type="cellIs" dxfId="19" priority="32" operator="equal">
      <formula>"""N"""</formula>
    </cfRule>
  </conditionalFormatting>
  <conditionalFormatting sqref="F13">
    <cfRule type="containsText" dxfId="18" priority="17" operator="containsText" text="N">
      <formula>NOT(ISERROR(SEARCH("N",F13)))</formula>
    </cfRule>
    <cfRule type="cellIs" dxfId="17" priority="18" operator="equal">
      <formula>"""N"""</formula>
    </cfRule>
    <cfRule type="cellIs" dxfId="16" priority="19" operator="equal">
      <formula>"""N"""</formula>
    </cfRule>
  </conditionalFormatting>
  <conditionalFormatting sqref="G13">
    <cfRule type="containsText" dxfId="15" priority="14" operator="containsText" text="N">
      <formula>NOT(ISERROR(SEARCH("N",G13)))</formula>
    </cfRule>
    <cfRule type="cellIs" dxfId="14" priority="15" operator="equal">
      <formula>"""N"""</formula>
    </cfRule>
    <cfRule type="cellIs" dxfId="13" priority="16" operator="equal">
      <formula>"""N"""</formula>
    </cfRule>
  </conditionalFormatting>
  <conditionalFormatting sqref="H13">
    <cfRule type="containsText" dxfId="12" priority="11" operator="containsText" text="N">
      <formula>NOT(ISERROR(SEARCH("N",H13)))</formula>
    </cfRule>
    <cfRule type="cellIs" dxfId="11" priority="12" operator="equal">
      <formula>"""N"""</formula>
    </cfRule>
    <cfRule type="cellIs" dxfId="10" priority="13" operator="equal">
      <formula>"""N"""</formula>
    </cfRule>
  </conditionalFormatting>
  <conditionalFormatting sqref="I13">
    <cfRule type="containsText" dxfId="9" priority="8" operator="containsText" text="N">
      <formula>NOT(ISERROR(SEARCH("N",I13)))</formula>
    </cfRule>
    <cfRule type="cellIs" dxfId="8" priority="9" operator="equal">
      <formula>"""N"""</formula>
    </cfRule>
    <cfRule type="cellIs" dxfId="7" priority="10" operator="equal">
      <formula>"""N"""</formula>
    </cfRule>
  </conditionalFormatting>
  <conditionalFormatting sqref="J13">
    <cfRule type="containsText" dxfId="6" priority="5" operator="containsText" text="N">
      <formula>NOT(ISERROR(SEARCH("N",J13)))</formula>
    </cfRule>
    <cfRule type="cellIs" dxfId="5" priority="6" operator="equal">
      <formula>"""N"""</formula>
    </cfRule>
    <cfRule type="cellIs" dxfId="4" priority="7" operator="equal">
      <formula>"""N"""</formula>
    </cfRule>
  </conditionalFormatting>
  <conditionalFormatting sqref="K13">
    <cfRule type="containsText" dxfId="3" priority="2" operator="containsText" text="N">
      <formula>NOT(ISERROR(SEARCH("N",K13)))</formula>
    </cfRule>
    <cfRule type="cellIs" dxfId="2" priority="3" operator="equal">
      <formula>"""N"""</formula>
    </cfRule>
    <cfRule type="cellIs" dxfId="1" priority="4" operator="equal">
      <formula>"""N"""</formula>
    </cfRule>
  </conditionalFormatting>
  <conditionalFormatting sqref="G3">
    <cfRule type="expression" dxfId="0" priority="1">
      <formula>$K$13="N"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77"/>
  <sheetViews>
    <sheetView zoomScale="85" zoomScaleNormal="85" workbookViewId="0">
      <pane xSplit="2" ySplit="2" topLeftCell="C3" activePane="bottomRight" state="frozen"/>
      <selection pane="topRight" activeCell="D1" sqref="D1"/>
      <selection pane="bottomLeft" activeCell="A4" sqref="A4"/>
      <selection pane="bottomRight" activeCell="D3" sqref="D3:AQ3"/>
    </sheetView>
  </sheetViews>
  <sheetFormatPr defaultRowHeight="15" x14ac:dyDescent="0.25"/>
  <cols>
    <col min="1" max="1" width="1" customWidth="1"/>
    <col min="2" max="2" width="39.7109375" customWidth="1"/>
    <col min="3" max="3" width="18.5703125" bestFit="1" customWidth="1"/>
    <col min="4" max="4" width="16.28515625" bestFit="1" customWidth="1"/>
    <col min="5" max="14" width="16.7109375" bestFit="1" customWidth="1"/>
    <col min="15" max="15" width="18.28515625" bestFit="1" customWidth="1"/>
    <col min="16" max="17" width="18.140625" bestFit="1" customWidth="1"/>
    <col min="18" max="31" width="16.7109375" bestFit="1" customWidth="1"/>
    <col min="32" max="32" width="16.7109375" customWidth="1"/>
    <col min="33" max="33" width="17.140625" customWidth="1"/>
    <col min="34" max="37" width="21.42578125" bestFit="1" customWidth="1"/>
    <col min="38" max="38" width="20.7109375" bestFit="1" customWidth="1"/>
    <col min="39" max="41" width="21.42578125" bestFit="1" customWidth="1"/>
    <col min="42" max="42" width="20.7109375" bestFit="1" customWidth="1"/>
    <col min="43" max="43" width="21.42578125" bestFit="1" customWidth="1"/>
    <col min="44" max="245" width="9.140625" style="19"/>
    <col min="246" max="246" width="9.140625" customWidth="1"/>
  </cols>
  <sheetData>
    <row r="1" spans="2:59" ht="18.75" x14ac:dyDescent="0.3">
      <c r="B1" s="93" t="s">
        <v>154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/>
    </row>
    <row r="2" spans="2:59" x14ac:dyDescent="0.25">
      <c r="B2" s="55" t="s">
        <v>104</v>
      </c>
      <c r="C2" s="9">
        <v>0</v>
      </c>
      <c r="D2" s="9">
        <v>1</v>
      </c>
      <c r="E2" s="9">
        <f>D2+1</f>
        <v>2</v>
      </c>
      <c r="F2" s="9">
        <f>E2+1</f>
        <v>3</v>
      </c>
      <c r="G2" s="9">
        <f t="shared" ref="G2:U2" si="0">F2+1</f>
        <v>4</v>
      </c>
      <c r="H2" s="9">
        <f t="shared" si="0"/>
        <v>5</v>
      </c>
      <c r="I2" s="9">
        <f t="shared" si="0"/>
        <v>6</v>
      </c>
      <c r="J2" s="9">
        <f t="shared" si="0"/>
        <v>7</v>
      </c>
      <c r="K2" s="9">
        <f t="shared" si="0"/>
        <v>8</v>
      </c>
      <c r="L2" s="9">
        <f t="shared" si="0"/>
        <v>9</v>
      </c>
      <c r="M2" s="9">
        <f t="shared" si="0"/>
        <v>10</v>
      </c>
      <c r="N2" s="9">
        <f t="shared" si="0"/>
        <v>11</v>
      </c>
      <c r="O2" s="9">
        <f t="shared" si="0"/>
        <v>12</v>
      </c>
      <c r="P2" s="9">
        <f t="shared" si="0"/>
        <v>13</v>
      </c>
      <c r="Q2" s="9">
        <f t="shared" si="0"/>
        <v>14</v>
      </c>
      <c r="R2" s="9">
        <f t="shared" si="0"/>
        <v>15</v>
      </c>
      <c r="S2" s="9">
        <f t="shared" si="0"/>
        <v>16</v>
      </c>
      <c r="T2" s="9">
        <f t="shared" si="0"/>
        <v>17</v>
      </c>
      <c r="U2" s="9">
        <f t="shared" si="0"/>
        <v>18</v>
      </c>
      <c r="V2" s="9">
        <f t="shared" ref="V2:AQ2" si="1">U2+1</f>
        <v>19</v>
      </c>
      <c r="W2" s="9">
        <f t="shared" si="1"/>
        <v>20</v>
      </c>
      <c r="X2" s="9">
        <f t="shared" si="1"/>
        <v>21</v>
      </c>
      <c r="Y2" s="9">
        <f t="shared" si="1"/>
        <v>22</v>
      </c>
      <c r="Z2" s="9">
        <f t="shared" si="1"/>
        <v>23</v>
      </c>
      <c r="AA2" s="9">
        <f t="shared" si="1"/>
        <v>24</v>
      </c>
      <c r="AB2" s="9">
        <f t="shared" si="1"/>
        <v>25</v>
      </c>
      <c r="AC2" s="9">
        <f t="shared" si="1"/>
        <v>26</v>
      </c>
      <c r="AD2" s="9">
        <f t="shared" si="1"/>
        <v>27</v>
      </c>
      <c r="AE2" s="9">
        <f t="shared" si="1"/>
        <v>28</v>
      </c>
      <c r="AF2" s="9">
        <f t="shared" si="1"/>
        <v>29</v>
      </c>
      <c r="AG2" s="9">
        <f t="shared" si="1"/>
        <v>30</v>
      </c>
      <c r="AH2" s="9">
        <f t="shared" si="1"/>
        <v>31</v>
      </c>
      <c r="AI2" s="9">
        <f t="shared" si="1"/>
        <v>32</v>
      </c>
      <c r="AJ2" s="9">
        <f t="shared" si="1"/>
        <v>33</v>
      </c>
      <c r="AK2" s="9">
        <f t="shared" si="1"/>
        <v>34</v>
      </c>
      <c r="AL2" s="9">
        <f t="shared" si="1"/>
        <v>35</v>
      </c>
      <c r="AM2" s="9">
        <f t="shared" si="1"/>
        <v>36</v>
      </c>
      <c r="AN2" s="9">
        <f t="shared" si="1"/>
        <v>37</v>
      </c>
      <c r="AO2" s="9">
        <f t="shared" si="1"/>
        <v>38</v>
      </c>
      <c r="AP2" s="9">
        <f t="shared" si="1"/>
        <v>39</v>
      </c>
      <c r="AQ2" s="61">
        <f t="shared" si="1"/>
        <v>40</v>
      </c>
    </row>
    <row r="3" spans="2:59" x14ac:dyDescent="0.25">
      <c r="B3" s="55" t="s">
        <v>110</v>
      </c>
      <c r="C3" s="9">
        <f>'Main Variables'!$B$3</f>
        <v>676400000</v>
      </c>
      <c r="D3" s="9">
        <f>C3*(1+'Main Variables'!$B$4)</f>
        <v>696692000</v>
      </c>
      <c r="E3" s="9">
        <f>D3*(1+'Main Variables'!$B$4)</f>
        <v>717592760</v>
      </c>
      <c r="F3" s="9">
        <f>E3*(1+'Main Variables'!$B$4)</f>
        <v>739120542.80000007</v>
      </c>
      <c r="G3" s="9">
        <f>F3*(1+'Main Variables'!$B$4)</f>
        <v>761294159.08400011</v>
      </c>
      <c r="H3" s="9">
        <f>G3*(1+'Main Variables'!$B$4)</f>
        <v>784132983.85652018</v>
      </c>
      <c r="I3" s="9">
        <f>H3*(1+'Main Variables'!$B$4)</f>
        <v>807656973.37221575</v>
      </c>
      <c r="J3" s="9">
        <f>I3*(1+'Main Variables'!$B$4)</f>
        <v>831886682.57338226</v>
      </c>
      <c r="K3" s="9">
        <f>J3*(1+'Main Variables'!$B$4)</f>
        <v>856843283.05058372</v>
      </c>
      <c r="L3" s="9">
        <f>K3*(1+'Main Variables'!$B$4)</f>
        <v>882548581.54210126</v>
      </c>
      <c r="M3" s="9">
        <f>L3*(1+'Main Variables'!$B$4)</f>
        <v>909025038.98836434</v>
      </c>
      <c r="N3" s="9">
        <f>M3*(1+'Main Variables'!$B$4)</f>
        <v>936295790.15801525</v>
      </c>
      <c r="O3" s="9">
        <f>N3*(1+'Main Variables'!$B$4)</f>
        <v>964384663.86275578</v>
      </c>
      <c r="P3" s="9">
        <f>O3*(1+'Main Variables'!$B$4)</f>
        <v>993316203.77863848</v>
      </c>
      <c r="Q3" s="9">
        <f>P3*(1+'Main Variables'!$B$4)</f>
        <v>1023115689.8919977</v>
      </c>
      <c r="R3" s="9">
        <f>Q3*(1+'Main Variables'!$B$4)</f>
        <v>1053809160.5887576</v>
      </c>
      <c r="S3" s="9">
        <f>R3*(1+'Main Variables'!$B$4)</f>
        <v>1085423435.4064205</v>
      </c>
      <c r="T3" s="9">
        <f>S3*(1+'Main Variables'!$B$4)</f>
        <v>1117986138.4686131</v>
      </c>
      <c r="U3" s="9">
        <f>T3*(1+'Main Variables'!$B$4)</f>
        <v>1151525722.6226716</v>
      </c>
      <c r="V3" s="9">
        <f>U3*(1+'Main Variables'!$B$4)</f>
        <v>1186071494.3013518</v>
      </c>
      <c r="W3" s="9">
        <f>V3*(1+'Main Variables'!$B$4)</f>
        <v>1221653639.1303923</v>
      </c>
      <c r="X3" s="9">
        <f>W3*(1+'Main Variables'!$B$4)</f>
        <v>1258303248.3043041</v>
      </c>
      <c r="Y3" s="9">
        <f>X3*(1+'Main Variables'!$B$4)</f>
        <v>1296052345.7534332</v>
      </c>
      <c r="Z3" s="9">
        <f>Y3*(1+'Main Variables'!$B$4)</f>
        <v>1334933916.1260362</v>
      </c>
      <c r="AA3" s="9">
        <f>Z3*(1+'Main Variables'!$B$4)</f>
        <v>1374981933.6098173</v>
      </c>
      <c r="AB3" s="9">
        <f>AA3*(1+'Main Variables'!$B$4)</f>
        <v>1416231391.6181118</v>
      </c>
      <c r="AC3" s="9">
        <f>AB3*(1+'Main Variables'!$B$4)</f>
        <v>1458718333.3666553</v>
      </c>
      <c r="AD3" s="9">
        <f>AC3*(1+'Main Variables'!$B$4)</f>
        <v>1502479883.367655</v>
      </c>
      <c r="AE3" s="9">
        <f>AD3*(1+'Main Variables'!$B$4)</f>
        <v>1547554279.8686848</v>
      </c>
      <c r="AF3" s="9">
        <f>AE3*(1+'Main Variables'!$B$4)</f>
        <v>1593980908.2647452</v>
      </c>
      <c r="AG3" s="9">
        <f>AF3*(1+'Main Variables'!$B$4)</f>
        <v>1641800335.5126877</v>
      </c>
      <c r="AH3" s="9">
        <f>AG3*(1+'Main Variables'!$B$4)</f>
        <v>1691054345.5780683</v>
      </c>
      <c r="AI3" s="9">
        <f>AH3*(1+'Main Variables'!$B$4)</f>
        <v>1741785975.9454103</v>
      </c>
      <c r="AJ3" s="9">
        <f>AI3*(1+'Main Variables'!$B$4)</f>
        <v>1794039555.2237725</v>
      </c>
      <c r="AK3" s="9">
        <f>AJ3*(1+'Main Variables'!$B$4)</f>
        <v>1847860741.8804858</v>
      </c>
      <c r="AL3" s="9">
        <f>AK3*(1+'Main Variables'!$B$4)</f>
        <v>1903296564.1369004</v>
      </c>
      <c r="AM3" s="9">
        <f>AL3*(1+'Main Variables'!$B$4)</f>
        <v>1960395461.0610075</v>
      </c>
      <c r="AN3" s="9">
        <f>AM3*(1+'Main Variables'!$B$4)</f>
        <v>2019207324.8928378</v>
      </c>
      <c r="AO3" s="9">
        <f>AN3*(1+'Main Variables'!$B$4)</f>
        <v>2079783544.6396229</v>
      </c>
      <c r="AP3" s="9">
        <f>AO3*(1+'Main Variables'!$B$4)</f>
        <v>2142177050.9788117</v>
      </c>
      <c r="AQ3" s="9">
        <f>AP3*(1+'Main Variables'!$B$4)</f>
        <v>2206442362.5081763</v>
      </c>
    </row>
    <row r="4" spans="2:59" x14ac:dyDescent="0.25">
      <c r="B4" s="55" t="s">
        <v>111</v>
      </c>
      <c r="C4" s="10">
        <f>'Main Variables'!$B$7*C3/10^6</f>
        <v>47889.12000000001</v>
      </c>
      <c r="D4" s="10">
        <f>'Main Variables'!$B$7*D3/10^6</f>
        <v>49325.793600000005</v>
      </c>
      <c r="E4" s="10">
        <f>'Main Variables'!$B$7*E3/10^6</f>
        <v>50805.56740800001</v>
      </c>
      <c r="F4" s="10">
        <f>'Main Variables'!$B$7*F3/10^6</f>
        <v>52329.734430240016</v>
      </c>
      <c r="G4" s="10">
        <f>'Main Variables'!$B$7*G3/10^6</f>
        <v>53899.626463147215</v>
      </c>
      <c r="H4" s="10">
        <f>'Main Variables'!$B$7*H3/10^6</f>
        <v>55516.615257041631</v>
      </c>
      <c r="I4" s="10">
        <f>'Main Variables'!$B$7*I3/10^6</f>
        <v>57182.113714752886</v>
      </c>
      <c r="J4" s="10">
        <f>'Main Variables'!$B$7*J3/10^6</f>
        <v>58897.577126195472</v>
      </c>
      <c r="K4" s="10">
        <f>'Main Variables'!$B$7*K3/10^6</f>
        <v>60664.504439981341</v>
      </c>
      <c r="L4" s="10">
        <f>'Main Variables'!$B$7*L3/10^6</f>
        <v>62484.439573180782</v>
      </c>
      <c r="M4" s="10">
        <f>'Main Variables'!$B$7*M3/10^6</f>
        <v>64358.972760376208</v>
      </c>
      <c r="N4" s="10">
        <f>'Main Variables'!$B$7*N3/10^6</f>
        <v>66289.741943187488</v>
      </c>
      <c r="O4" s="10">
        <f>'Main Variables'!$B$7*O3/10^6</f>
        <v>68278.43420148312</v>
      </c>
      <c r="P4" s="10">
        <f>'Main Variables'!$B$7*P3/10^6</f>
        <v>70326.787227527617</v>
      </c>
      <c r="Q4" s="10">
        <f>'Main Variables'!$B$7*Q3/10^6</f>
        <v>72436.590844353457</v>
      </c>
      <c r="R4" s="10">
        <f>'Main Variables'!$B$7*R3/10^6</f>
        <v>74609.688569684047</v>
      </c>
      <c r="S4" s="10">
        <f>'Main Variables'!$B$7*S3/10^6</f>
        <v>76847.97922677458</v>
      </c>
      <c r="T4" s="10">
        <f>'Main Variables'!$B$7*T3/10^6</f>
        <v>79153.418603577826</v>
      </c>
      <c r="U4" s="10">
        <f>'Main Variables'!$B$7*U3/10^6</f>
        <v>81528.021161685159</v>
      </c>
      <c r="V4" s="10">
        <f>'Main Variables'!$B$7*V3/10^6</f>
        <v>83973.861796535726</v>
      </c>
      <c r="W4" s="10">
        <f>'Main Variables'!$B$7*W3/10^6</f>
        <v>86493.077650431791</v>
      </c>
      <c r="X4" s="10">
        <f>'Main Variables'!$B$7*X3/10^6</f>
        <v>89087.86997994475</v>
      </c>
      <c r="Y4" s="10">
        <f>'Main Variables'!$B$7*Y3/10^6</f>
        <v>91760.506079343089</v>
      </c>
      <c r="Z4" s="10">
        <f>'Main Variables'!$B$7*Z3/10^6</f>
        <v>94513.32126172338</v>
      </c>
      <c r="AA4" s="10">
        <f>'Main Variables'!$B$7*AA3/10^6</f>
        <v>97348.72089957507</v>
      </c>
      <c r="AB4" s="10">
        <f>'Main Variables'!$B$7*AB3/10^6</f>
        <v>100269.18252656233</v>
      </c>
      <c r="AC4" s="10">
        <f>'Main Variables'!$B$7*AC3/10^6</f>
        <v>103277.25800235922</v>
      </c>
      <c r="AD4" s="10">
        <f>'Main Variables'!$B$7*AD3/10^6</f>
        <v>106375.57574243</v>
      </c>
      <c r="AE4" s="10">
        <f>'Main Variables'!$B$7*AE3/10^6</f>
        <v>109566.8430147029</v>
      </c>
      <c r="AF4" s="10">
        <f>'Main Variables'!$B$7*AF3/10^6</f>
        <v>112853.84830514398</v>
      </c>
      <c r="AG4" s="10">
        <f>'Main Variables'!$B$7*AG3/10^6</f>
        <v>116239.46375429831</v>
      </c>
      <c r="AH4" s="10">
        <f>'Main Variables'!$B$7*AH3/10^6</f>
        <v>119726.64766692725</v>
      </c>
      <c r="AI4" s="10">
        <f>'Main Variables'!$B$7*AI3/10^6</f>
        <v>123318.44709693505</v>
      </c>
      <c r="AJ4" s="10">
        <f>'Main Variables'!$B$7*AJ3/10^6</f>
        <v>127018.00050984311</v>
      </c>
      <c r="AK4" s="10">
        <f>'Main Variables'!$B$7*AK3/10^6</f>
        <v>130828.54052513841</v>
      </c>
      <c r="AL4" s="10">
        <f>'Main Variables'!$B$7*AL3/10^6</f>
        <v>134753.39674089258</v>
      </c>
      <c r="AM4" s="10">
        <f>'Main Variables'!$B$7*AM3/10^6</f>
        <v>138795.99864311935</v>
      </c>
      <c r="AN4" s="10">
        <f>'Main Variables'!$B$7*AN3/10^6</f>
        <v>142959.87860241294</v>
      </c>
      <c r="AO4" s="10">
        <f>'Main Variables'!$B$7*AO3/10^6</f>
        <v>147248.67496048531</v>
      </c>
      <c r="AP4" s="10">
        <f>'Main Variables'!$B$7*AP3/10^6</f>
        <v>151666.13520929989</v>
      </c>
      <c r="AQ4" s="10">
        <f>'Main Variables'!$B$7*AQ3/10^6</f>
        <v>156216.11926557892</v>
      </c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</row>
    <row r="5" spans="2:59" x14ac:dyDescent="0.25">
      <c r="B5" s="55" t="s">
        <v>112</v>
      </c>
      <c r="C5" s="10">
        <f>'Main Variables'!$B$5*C3/10^6</f>
        <v>116543.72000000002</v>
      </c>
      <c r="D5" s="10">
        <f>'Main Variables'!$B$5*D3/10^6</f>
        <v>120040.03160000002</v>
      </c>
      <c r="E5" s="10">
        <f>'Main Variables'!$B$5*E3/10^6</f>
        <v>123641.23254800001</v>
      </c>
      <c r="F5" s="10">
        <f>'Main Variables'!$B$5*F3/10^6</f>
        <v>127350.46952444002</v>
      </c>
      <c r="G5" s="10">
        <f>'Main Variables'!$B$5*G3/10^6</f>
        <v>131170.98361017322</v>
      </c>
      <c r="H5" s="10">
        <f>'Main Variables'!$B$5*H3/10^6</f>
        <v>135106.11311847845</v>
      </c>
      <c r="I5" s="10">
        <f>'Main Variables'!$B$5*I3/10^6</f>
        <v>139159.29651203277</v>
      </c>
      <c r="J5" s="10">
        <f>'Main Variables'!$B$5*J3/10^6</f>
        <v>143334.07540739377</v>
      </c>
      <c r="K5" s="10">
        <f>'Main Variables'!$B$5*K3/10^6</f>
        <v>147634.09766961556</v>
      </c>
      <c r="L5" s="10">
        <f>'Main Variables'!$B$5*L3/10^6</f>
        <v>152063.12059970407</v>
      </c>
      <c r="M5" s="10">
        <f>'Main Variables'!$B$5*M3/10^6</f>
        <v>156625.01421769519</v>
      </c>
      <c r="N5" s="10">
        <f>'Main Variables'!$B$5*N3/10^6</f>
        <v>161323.76464422603</v>
      </c>
      <c r="O5" s="10">
        <f>'Main Variables'!$B$5*O3/10^6</f>
        <v>166163.47758355283</v>
      </c>
      <c r="P5" s="10">
        <f>'Main Variables'!$B$5*P3/10^6</f>
        <v>171148.3819110594</v>
      </c>
      <c r="Q5" s="10">
        <f>'Main Variables'!$B$5*Q3/10^6</f>
        <v>176282.83336839121</v>
      </c>
      <c r="R5" s="10">
        <f>'Main Variables'!$B$5*R3/10^6</f>
        <v>181571.31836944298</v>
      </c>
      <c r="S5" s="10">
        <f>'Main Variables'!$B$5*S3/10^6</f>
        <v>187018.45792052624</v>
      </c>
      <c r="T5" s="10">
        <f>'Main Variables'!$B$5*T3/10^6</f>
        <v>192629.01165814206</v>
      </c>
      <c r="U5" s="10">
        <f>'Main Variables'!$B$5*U3/10^6</f>
        <v>198407.88200788634</v>
      </c>
      <c r="V5" s="10">
        <f>'Main Variables'!$B$5*V3/10^6</f>
        <v>204360.11846812294</v>
      </c>
      <c r="W5" s="10">
        <f>'Main Variables'!$B$5*W3/10^6</f>
        <v>210490.9220221666</v>
      </c>
      <c r="X5" s="10">
        <f>'Main Variables'!$B$5*X3/10^6</f>
        <v>216805.6496828316</v>
      </c>
      <c r="Y5" s="10">
        <f>'Main Variables'!$B$5*Y3/10^6</f>
        <v>223309.81917331656</v>
      </c>
      <c r="Z5" s="10">
        <f>'Main Variables'!$B$5*Z3/10^6</f>
        <v>230009.11374851604</v>
      </c>
      <c r="AA5" s="10">
        <f>'Main Variables'!$B$5*AA3/10^6</f>
        <v>236909.38716097153</v>
      </c>
      <c r="AB5" s="10">
        <f>'Main Variables'!$B$5*AB3/10^6</f>
        <v>244016.6687758007</v>
      </c>
      <c r="AC5" s="10">
        <f>'Main Variables'!$B$5*AC3/10^6</f>
        <v>251337.16883907473</v>
      </c>
      <c r="AD5" s="10">
        <f>'Main Variables'!$B$5*AD3/10^6</f>
        <v>258877.28390424699</v>
      </c>
      <c r="AE5" s="10">
        <f>'Main Variables'!$B$5*AE3/10^6</f>
        <v>266643.60242137441</v>
      </c>
      <c r="AF5" s="10">
        <f>'Main Variables'!$B$5*AF3/10^6</f>
        <v>274642.91049401561</v>
      </c>
      <c r="AG5" s="10">
        <f>'Main Variables'!$B$5*AG3/10^6</f>
        <v>282882.19780883612</v>
      </c>
      <c r="AH5" s="10">
        <f>'Main Variables'!$B$5*AH3/10^6</f>
        <v>291368.66374310118</v>
      </c>
      <c r="AI5" s="10">
        <f>'Main Variables'!$B$5*AI3/10^6</f>
        <v>300109.72365539422</v>
      </c>
      <c r="AJ5" s="10">
        <f>'Main Variables'!$B$5*AJ3/10^6</f>
        <v>309113.01536505605</v>
      </c>
      <c r="AK5" s="10">
        <f>'Main Variables'!$B$5*AK3/10^6</f>
        <v>318386.40582600771</v>
      </c>
      <c r="AL5" s="10">
        <f>'Main Variables'!$B$5*AL3/10^6</f>
        <v>327937.99800078798</v>
      </c>
      <c r="AM5" s="10">
        <f>'Main Variables'!$B$5*AM3/10^6</f>
        <v>337776.13794081158</v>
      </c>
      <c r="AN5" s="10">
        <f>'Main Variables'!$B$5*AN3/10^6</f>
        <v>347909.42207903595</v>
      </c>
      <c r="AO5" s="10">
        <f>'Main Variables'!$B$5*AO3/10^6</f>
        <v>358346.70474140707</v>
      </c>
      <c r="AP5" s="10">
        <f>'Main Variables'!$B$5*AP3/10^6</f>
        <v>369097.10588364932</v>
      </c>
      <c r="AQ5" s="10">
        <f>'Main Variables'!$B$5*AQ3/10^6</f>
        <v>380170.01906015881</v>
      </c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</row>
    <row r="6" spans="2:59" x14ac:dyDescent="0.25">
      <c r="B6" s="55" t="s">
        <v>113</v>
      </c>
      <c r="C6" s="10">
        <f>'Main Variables'!$B$6*C3/10^6</f>
        <v>376078.4</v>
      </c>
      <c r="D6" s="10">
        <f>'Main Variables'!$B$6*D3/10^6</f>
        <v>387360.75199999998</v>
      </c>
      <c r="E6" s="10">
        <f>'Main Variables'!$B$6*E3/10^6</f>
        <v>398981.57455999998</v>
      </c>
      <c r="F6" s="10">
        <f>'Main Variables'!$B$6*F3/10^6</f>
        <v>410951.02179680002</v>
      </c>
      <c r="G6" s="10">
        <f>'Main Variables'!$B$6*G3/10^6</f>
        <v>423279.55245070404</v>
      </c>
      <c r="H6" s="10">
        <f>'Main Variables'!$B$6*H3/10^6</f>
        <v>435977.93902422523</v>
      </c>
      <c r="I6" s="10">
        <f>'Main Variables'!$B$6*I3/10^6</f>
        <v>449057.27719495195</v>
      </c>
      <c r="J6" s="10">
        <f>'Main Variables'!$B$6*J3/10^6</f>
        <v>462528.99551080051</v>
      </c>
      <c r="K6" s="10">
        <f>'Main Variables'!$B$6*K3/10^6</f>
        <v>476404.86537612457</v>
      </c>
      <c r="L6" s="10">
        <f>'Main Variables'!$B$6*L3/10^6</f>
        <v>490697.01133740833</v>
      </c>
      <c r="M6" s="10">
        <f>'Main Variables'!$B$6*M3/10^6</f>
        <v>505417.92167753057</v>
      </c>
      <c r="N6" s="10">
        <f>'Main Variables'!$B$6*N3/10^6</f>
        <v>520580.45932785649</v>
      </c>
      <c r="O6" s="10">
        <f>'Main Variables'!$B$6*O3/10^6</f>
        <v>536197.87310769223</v>
      </c>
      <c r="P6" s="10">
        <f>'Main Variables'!$B$6*P3/10^6</f>
        <v>552283.80930092302</v>
      </c>
      <c r="Q6" s="10">
        <f>'Main Variables'!$B$6*Q3/10^6</f>
        <v>568852.32357995072</v>
      </c>
      <c r="R6" s="10">
        <f>'Main Variables'!$B$6*R3/10^6</f>
        <v>585917.89328734926</v>
      </c>
      <c r="S6" s="10">
        <f>'Main Variables'!$B$6*S3/10^6</f>
        <v>603495.43008596974</v>
      </c>
      <c r="T6" s="10">
        <f>'Main Variables'!$B$6*T3/10^6</f>
        <v>621600.29298854899</v>
      </c>
      <c r="U6" s="10">
        <f>'Main Variables'!$B$6*U3/10^6</f>
        <v>640248.30177820544</v>
      </c>
      <c r="V6" s="10">
        <f>'Main Variables'!$B$6*V3/10^6</f>
        <v>659455.75083155162</v>
      </c>
      <c r="W6" s="10">
        <f>'Main Variables'!$B$6*W3/10^6</f>
        <v>679239.42335649813</v>
      </c>
      <c r="X6" s="10">
        <f>'Main Variables'!$B$6*X3/10^6</f>
        <v>699616.60605719313</v>
      </c>
      <c r="Y6" s="10">
        <f>'Main Variables'!$B$6*Y3/10^6</f>
        <v>720605.10423890897</v>
      </c>
      <c r="Z6" s="10">
        <f>'Main Variables'!$B$6*Z3/10^6</f>
        <v>742223.257366076</v>
      </c>
      <c r="AA6" s="10">
        <f>'Main Variables'!$B$6*AA3/10^6</f>
        <v>764489.95508705836</v>
      </c>
      <c r="AB6" s="10">
        <f>'Main Variables'!$B$6*AB3/10^6</f>
        <v>787424.65373967018</v>
      </c>
      <c r="AC6" s="10">
        <f>'Main Variables'!$B$6*AC3/10^6</f>
        <v>811047.39335186034</v>
      </c>
      <c r="AD6" s="10">
        <f>'Main Variables'!$B$6*AD3/10^6</f>
        <v>835378.81515241624</v>
      </c>
      <c r="AE6" s="10">
        <f>'Main Variables'!$B$6*AE3/10^6</f>
        <v>860440.17960698879</v>
      </c>
      <c r="AF6" s="10">
        <f>'Main Variables'!$B$6*AF3/10^6</f>
        <v>886253.38499519834</v>
      </c>
      <c r="AG6" s="10">
        <f>'Main Variables'!$B$6*AG3/10^6</f>
        <v>912840.98654505436</v>
      </c>
      <c r="AH6" s="10">
        <f>'Main Variables'!$B$6*AH3/10^6</f>
        <v>940226.21614140598</v>
      </c>
      <c r="AI6" s="10">
        <f>'Main Variables'!$B$6*AI3/10^6</f>
        <v>968433.00262564805</v>
      </c>
      <c r="AJ6" s="10">
        <f>'Main Variables'!$B$6*AJ3/10^6</f>
        <v>997485.99270441744</v>
      </c>
      <c r="AK6" s="10">
        <f>'Main Variables'!$B$6*AK3/10^6</f>
        <v>1027410.5724855501</v>
      </c>
      <c r="AL6" s="10">
        <f>'Main Variables'!$B$6*AL3/10^6</f>
        <v>1058232.8896601165</v>
      </c>
      <c r="AM6" s="10">
        <f>'Main Variables'!$B$6*AM3/10^6</f>
        <v>1089979.8763499202</v>
      </c>
      <c r="AN6" s="10">
        <f>'Main Variables'!$B$6*AN3/10^6</f>
        <v>1122679.2726404178</v>
      </c>
      <c r="AO6" s="10">
        <f>'Main Variables'!$B$6*AO3/10^6</f>
        <v>1156359.6508196304</v>
      </c>
      <c r="AP6" s="10">
        <f>'Main Variables'!$B$6*AP3/10^6</f>
        <v>1191050.4403442193</v>
      </c>
      <c r="AQ6" s="10">
        <f>'Main Variables'!$B$6*AQ3/10^6</f>
        <v>1226781.9535545462</v>
      </c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</row>
    <row r="7" spans="2:59" x14ac:dyDescent="0.25">
      <c r="B7" s="55" t="s">
        <v>105</v>
      </c>
      <c r="C7" s="57">
        <f>C3*'Main Variables'!$G$14</f>
        <v>4734800000</v>
      </c>
      <c r="D7" s="57">
        <f>D3*'Main Variables'!$G$14</f>
        <v>4876844000</v>
      </c>
      <c r="E7" s="57">
        <f>E3*'Main Variables'!$G$14</f>
        <v>5023149320</v>
      </c>
      <c r="F7" s="57">
        <f>F3*'Main Variables'!$G$14</f>
        <v>5173843799.6000004</v>
      </c>
      <c r="G7" s="57">
        <f>G3*'Main Variables'!$G$14</f>
        <v>5329059113.5880013</v>
      </c>
      <c r="H7" s="57">
        <f>H3*'Main Variables'!$G$14</f>
        <v>5488930886.9956417</v>
      </c>
      <c r="I7" s="57">
        <f>I3*'Main Variables'!$G$14</f>
        <v>5653598813.6055107</v>
      </c>
      <c r="J7" s="57">
        <f>J3*'Main Variables'!$G$14</f>
        <v>5823206778.0136757</v>
      </c>
      <c r="K7" s="57">
        <f>K3*'Main Variables'!$G$14</f>
        <v>5997902981.3540859</v>
      </c>
      <c r="L7" s="57">
        <f>L3*'Main Variables'!$G$14</f>
        <v>6177840070.7947092</v>
      </c>
      <c r="M7" s="57">
        <f>M3*'Main Variables'!$G$14</f>
        <v>6363175272.9185505</v>
      </c>
      <c r="N7" s="57">
        <f>N3*'Main Variables'!$G$14</f>
        <v>6554070531.1061068</v>
      </c>
      <c r="O7" s="57">
        <f>O3*'Main Variables'!$G$14</f>
        <v>6750692647.0392904</v>
      </c>
      <c r="P7" s="57">
        <f>P3*'Main Variables'!$G$14</f>
        <v>6953213426.450469</v>
      </c>
      <c r="Q7" s="57">
        <f>Q3*'Main Variables'!$G$14</f>
        <v>7161809829.2439842</v>
      </c>
      <c r="R7" s="57">
        <f>R3*'Main Variables'!$G$14</f>
        <v>7376664124.1213036</v>
      </c>
      <c r="S7" s="57">
        <f>S3*'Main Variables'!$G$14</f>
        <v>7597964047.844943</v>
      </c>
      <c r="T7" s="57">
        <f>T3*'Main Variables'!$G$14</f>
        <v>7825902969.2802925</v>
      </c>
      <c r="U7" s="57">
        <f>U3*'Main Variables'!$G$14</f>
        <v>8060680058.3587017</v>
      </c>
      <c r="V7" s="57">
        <f>V3*'Main Variables'!$G$14</f>
        <v>8302500460.1094627</v>
      </c>
      <c r="W7" s="57">
        <f>W3*'Main Variables'!$G$14</f>
        <v>8551575473.9127464</v>
      </c>
      <c r="X7" s="57">
        <f>X3*'Main Variables'!$G$14</f>
        <v>8808122738.1301289</v>
      </c>
      <c r="Y7" s="57">
        <f>Y3*'Main Variables'!$G$14</f>
        <v>9072366420.2740326</v>
      </c>
      <c r="Z7" s="57">
        <f>Z3*'Main Variables'!$G$14</f>
        <v>9344537412.8822536</v>
      </c>
      <c r="AA7" s="57">
        <f>AA3*'Main Variables'!$G$14</f>
        <v>9624873535.2687206</v>
      </c>
      <c r="AB7" s="57">
        <f>AB3*'Main Variables'!$G$14</f>
        <v>9913619741.3267822</v>
      </c>
      <c r="AC7" s="57">
        <f>AC3*'Main Variables'!$G$14</f>
        <v>10211028333.566587</v>
      </c>
      <c r="AD7" s="57">
        <f>AD3*'Main Variables'!$G$14</f>
        <v>10517359183.573586</v>
      </c>
      <c r="AE7" s="57">
        <f>AE3*'Main Variables'!$G$14</f>
        <v>10832879959.080793</v>
      </c>
      <c r="AF7" s="57">
        <f>AF3*'Main Variables'!$G$14</f>
        <v>11157866357.853216</v>
      </c>
      <c r="AG7" s="57">
        <f>AG3*'Main Variables'!$G$14</f>
        <v>11492602348.588814</v>
      </c>
      <c r="AH7" s="57">
        <f>AH3*'Main Variables'!$G$14</f>
        <v>11837380419.046478</v>
      </c>
      <c r="AI7" s="57">
        <f>AI3*'Main Variables'!$G$14</f>
        <v>12192501831.617872</v>
      </c>
      <c r="AJ7" s="57">
        <f>AJ3*'Main Variables'!$G$14</f>
        <v>12558276886.566408</v>
      </c>
      <c r="AK7" s="57">
        <f>AK3*'Main Variables'!$G$14</f>
        <v>12935025193.163401</v>
      </c>
      <c r="AL7" s="57">
        <f>AL3*'Main Variables'!$G$14</f>
        <v>13323075948.958303</v>
      </c>
      <c r="AM7" s="57">
        <f>AM3*'Main Variables'!$G$14</f>
        <v>13722768227.427052</v>
      </c>
      <c r="AN7" s="57">
        <f>AN3*'Main Variables'!$G$14</f>
        <v>14134451274.249865</v>
      </c>
      <c r="AO7" s="57">
        <f>AO3*'Main Variables'!$G$14</f>
        <v>14558484812.47736</v>
      </c>
      <c r="AP7" s="57">
        <f>AP3*'Main Variables'!$G$14</f>
        <v>14995239356.851683</v>
      </c>
      <c r="AQ7" s="57">
        <f>AQ3*'Main Variables'!$G$14</f>
        <v>15445096537.557234</v>
      </c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</row>
    <row r="8" spans="2:59" x14ac:dyDescent="0.25">
      <c r="B8" s="55" t="s">
        <v>106</v>
      </c>
      <c r="C8" s="9">
        <v>0</v>
      </c>
      <c r="D8" s="9">
        <f>C8+C17-C16</f>
        <v>473.48</v>
      </c>
      <c r="E8" s="9">
        <f t="shared" ref="E8:AP8" ca="1" si="2">D8+D17-D16</f>
        <v>988.09636799999998</v>
      </c>
      <c r="F8" s="9">
        <f t="shared" ca="1" si="2"/>
        <v>1478.8939876366398</v>
      </c>
      <c r="G8" s="9">
        <f t="shared" ca="1" si="2"/>
        <v>2023.512576091523</v>
      </c>
      <c r="H8" s="9">
        <f t="shared" ca="1" si="2"/>
        <v>2610.3953828757308</v>
      </c>
      <c r="I8" s="9">
        <f t="shared" ca="1" si="2"/>
        <v>3248.1035287068812</v>
      </c>
      <c r="J8" s="9">
        <f t="shared" ca="1" si="2"/>
        <v>3946.0093186462395</v>
      </c>
      <c r="K8" s="9">
        <f t="shared" ca="1" si="2"/>
        <v>4707.6457018263227</v>
      </c>
      <c r="L8" s="9">
        <f t="shared" ca="1" si="2"/>
        <v>5538.2599910491117</v>
      </c>
      <c r="M8" s="9">
        <f t="shared" ca="1" si="2"/>
        <v>6443.1660103667709</v>
      </c>
      <c r="N8" s="9">
        <f t="shared" ca="1" si="2"/>
        <v>7428.1426967870884</v>
      </c>
      <c r="O8" s="9">
        <f t="shared" ca="1" si="2"/>
        <v>8499.3803934984589</v>
      </c>
      <c r="P8" s="9">
        <f t="shared" ca="1" si="2"/>
        <v>9663.5301408201358</v>
      </c>
      <c r="Q8" s="9">
        <f t="shared" ca="1" si="2"/>
        <v>10927.732775451641</v>
      </c>
      <c r="R8" s="9">
        <f t="shared" ca="1" si="2"/>
        <v>12299.655399613761</v>
      </c>
      <c r="S8" s="9">
        <f t="shared" ca="1" si="2"/>
        <v>13787.52930390156</v>
      </c>
      <c r="T8" s="9">
        <f t="shared" ca="1" si="2"/>
        <v>15400.190880109796</v>
      </c>
      <c r="U8" s="9">
        <f t="shared" ca="1" si="2"/>
        <v>17147.12542052778</v>
      </c>
      <c r="V8" s="9">
        <f t="shared" ca="1" si="2"/>
        <v>19038.514081548143</v>
      </c>
      <c r="W8" s="9">
        <f t="shared" ca="1" si="2"/>
        <v>21085.2842229829</v>
      </c>
      <c r="X8" s="9">
        <f t="shared" ca="1" si="2"/>
        <v>22825.683368823542</v>
      </c>
      <c r="Y8" s="9">
        <f t="shared" ca="1" si="2"/>
        <v>24775.913624935318</v>
      </c>
      <c r="Z8" s="9">
        <f t="shared" ca="1" si="2"/>
        <v>26897.173065814077</v>
      </c>
      <c r="AA8" s="9">
        <f t="shared" ca="1" si="2"/>
        <v>29067.577843997773</v>
      </c>
      <c r="AB8" s="9">
        <f t="shared" ca="1" si="2"/>
        <v>30192.524999999994</v>
      </c>
      <c r="AC8" s="9">
        <f t="shared" ca="1" si="2"/>
        <v>30192.524999999994</v>
      </c>
      <c r="AD8" s="9">
        <f t="shared" ca="1" si="2"/>
        <v>30192.524999999994</v>
      </c>
      <c r="AE8" s="9">
        <f t="shared" ca="1" si="2"/>
        <v>30192.524999999994</v>
      </c>
      <c r="AF8" s="9">
        <f t="shared" ca="1" si="2"/>
        <v>30192.524999999994</v>
      </c>
      <c r="AG8" s="9">
        <f t="shared" ca="1" si="2"/>
        <v>30192.524999999994</v>
      </c>
      <c r="AH8" s="9">
        <f t="shared" ca="1" si="2"/>
        <v>30192.524999999994</v>
      </c>
      <c r="AI8" s="9">
        <f t="shared" ca="1" si="2"/>
        <v>30192.524999999994</v>
      </c>
      <c r="AJ8" s="9">
        <f t="shared" ca="1" si="2"/>
        <v>30192.524999999994</v>
      </c>
      <c r="AK8" s="9">
        <f t="shared" ca="1" si="2"/>
        <v>30192.524999999994</v>
      </c>
      <c r="AL8" s="9">
        <f t="shared" ca="1" si="2"/>
        <v>30192.524999999994</v>
      </c>
      <c r="AM8" s="9">
        <f t="shared" ca="1" si="2"/>
        <v>30192.524999999994</v>
      </c>
      <c r="AN8" s="9">
        <f t="shared" ca="1" si="2"/>
        <v>30192.524999999994</v>
      </c>
      <c r="AO8" s="9">
        <f t="shared" ca="1" si="2"/>
        <v>30192.524999999994</v>
      </c>
      <c r="AP8" s="9">
        <f t="shared" ca="1" si="2"/>
        <v>30192.524999999994</v>
      </c>
      <c r="AQ8" s="61">
        <f t="shared" ref="AQ8" ca="1" si="3">AP8+AP17-AP16</f>
        <v>30192.524999999994</v>
      </c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</row>
    <row r="9" spans="2:59" x14ac:dyDescent="0.25">
      <c r="B9" s="55" t="s">
        <v>118</v>
      </c>
      <c r="C9" s="9">
        <f>C8*'Main Variables'!$B$23*'Main Variables'!$B$24/1000</f>
        <v>0</v>
      </c>
      <c r="D9" s="74">
        <f>D8*'Main Variables'!$B$23*'Main Variables'!$B$24/1000</f>
        <v>0.94696000000000002</v>
      </c>
      <c r="E9" s="74">
        <f ca="1">E8*'Main Variables'!$B$23*'Main Variables'!$B$24/1000</f>
        <v>1.9761927360000002</v>
      </c>
      <c r="F9" s="74">
        <f ca="1">F8*'Main Variables'!$B$23*'Main Variables'!$B$24/1000</f>
        <v>2.9577879752732801</v>
      </c>
      <c r="G9" s="74">
        <f ca="1">G8*'Main Variables'!$B$23*'Main Variables'!$B$24/1000</f>
        <v>4.0470251521830463</v>
      </c>
      <c r="H9" s="74">
        <f ca="1">H8*'Main Variables'!$B$23*'Main Variables'!$B$24/1000</f>
        <v>5.2207907657514623</v>
      </c>
      <c r="I9" s="74">
        <f ca="1">I8*'Main Variables'!$B$23*'Main Variables'!$B$24/1000</f>
        <v>6.4962070574137627</v>
      </c>
      <c r="J9" s="74">
        <f ca="1">J8*'Main Variables'!$B$23*'Main Variables'!$B$24/1000</f>
        <v>7.8920186372924794</v>
      </c>
      <c r="K9" s="74">
        <f ca="1">K8*'Main Variables'!$B$23*'Main Variables'!$B$24/1000</f>
        <v>9.4152914036526472</v>
      </c>
      <c r="L9" s="74">
        <f ca="1">L8*'Main Variables'!$B$23*'Main Variables'!$B$24/1000</f>
        <v>11.076519982098223</v>
      </c>
      <c r="M9" s="74">
        <f ca="1">M8*'Main Variables'!$B$23*'Main Variables'!$B$24/1000</f>
        <v>12.886332020733542</v>
      </c>
      <c r="N9" s="74">
        <f ca="1">N8*'Main Variables'!$B$23*'Main Variables'!$B$24/1000</f>
        <v>14.856285393574177</v>
      </c>
      <c r="O9" s="74">
        <f ca="1">O8*'Main Variables'!$B$23*'Main Variables'!$B$24/1000</f>
        <v>16.998760786996918</v>
      </c>
      <c r="P9" s="74">
        <f ca="1">P8*'Main Variables'!$B$23*'Main Variables'!$B$24/1000</f>
        <v>19.327060281640271</v>
      </c>
      <c r="Q9" s="74">
        <f ca="1">Q8*'Main Variables'!$B$23*'Main Variables'!$B$24/1000</f>
        <v>21.855465550903286</v>
      </c>
      <c r="R9" s="74">
        <f ca="1">R8*'Main Variables'!$B$23*'Main Variables'!$B$24/1000</f>
        <v>24.599310799227521</v>
      </c>
      <c r="S9" s="74">
        <f ca="1">S8*'Main Variables'!$B$23*'Main Variables'!$B$24/1000</f>
        <v>27.575058607803122</v>
      </c>
      <c r="T9" s="74">
        <f ca="1">T8*'Main Variables'!$B$23*'Main Variables'!$B$24/1000</f>
        <v>30.800381760219594</v>
      </c>
      <c r="U9" s="74">
        <f ca="1">U8*'Main Variables'!$B$23*'Main Variables'!$B$24/1000</f>
        <v>34.294250841055558</v>
      </c>
      <c r="V9" s="74">
        <f ca="1">V8*'Main Variables'!$B$23*'Main Variables'!$B$24/1000</f>
        <v>38.077028163096287</v>
      </c>
      <c r="W9" s="74">
        <f ca="1">W8*'Main Variables'!$B$23*'Main Variables'!$B$24/1000</f>
        <v>42.170568445965799</v>
      </c>
      <c r="X9" s="74">
        <f ca="1">X8*'Main Variables'!$B$23*'Main Variables'!$B$24/1000</f>
        <v>45.651366737647088</v>
      </c>
      <c r="Y9" s="74">
        <f ca="1">Y8*'Main Variables'!$B$23*'Main Variables'!$B$24/1000</f>
        <v>49.551827249870634</v>
      </c>
      <c r="Z9" s="74">
        <f ca="1">Z8*'Main Variables'!$B$23*'Main Variables'!$B$24/1000</f>
        <v>53.79434613162816</v>
      </c>
      <c r="AA9" s="74">
        <f ca="1">AA8*'Main Variables'!$B$23*'Main Variables'!$B$24/1000</f>
        <v>58.13515568799555</v>
      </c>
      <c r="AB9" s="74">
        <f ca="1">AB8*'Main Variables'!$B$23*'Main Variables'!$B$24/1000</f>
        <v>60.385049999999985</v>
      </c>
      <c r="AC9" s="74">
        <f ca="1">AC8*'Main Variables'!$B$23*'Main Variables'!$B$24/1000</f>
        <v>60.385049999999985</v>
      </c>
      <c r="AD9" s="74">
        <f ca="1">AD8*'Main Variables'!$B$23*'Main Variables'!$B$24/1000</f>
        <v>60.385049999999985</v>
      </c>
      <c r="AE9" s="74">
        <f ca="1">AE8*'Main Variables'!$B$23*'Main Variables'!$B$24/1000</f>
        <v>60.385049999999985</v>
      </c>
      <c r="AF9" s="74">
        <f ca="1">AF8*'Main Variables'!$B$23*'Main Variables'!$B$24/1000</f>
        <v>60.385049999999985</v>
      </c>
      <c r="AG9" s="74">
        <f ca="1">AG8*'Main Variables'!$B$23*'Main Variables'!$B$24/1000</f>
        <v>60.385049999999985</v>
      </c>
      <c r="AH9" s="74">
        <f ca="1">AH8*'Main Variables'!$B$23*'Main Variables'!$B$24/1000</f>
        <v>60.385049999999985</v>
      </c>
      <c r="AI9" s="74">
        <f ca="1">AI8*'Main Variables'!$B$23*'Main Variables'!$B$24/1000</f>
        <v>60.385049999999985</v>
      </c>
      <c r="AJ9" s="74">
        <f ca="1">AJ8*'Main Variables'!$B$23*'Main Variables'!$B$24/1000</f>
        <v>60.385049999999985</v>
      </c>
      <c r="AK9" s="74">
        <f ca="1">AK8*'Main Variables'!$B$23*'Main Variables'!$B$24/1000</f>
        <v>60.385049999999985</v>
      </c>
      <c r="AL9" s="74">
        <f ca="1">AL8*'Main Variables'!$B$23*'Main Variables'!$B$24/1000</f>
        <v>60.385049999999985</v>
      </c>
      <c r="AM9" s="74">
        <f ca="1">AM8*'Main Variables'!$B$23*'Main Variables'!$B$24/1000</f>
        <v>60.385049999999985</v>
      </c>
      <c r="AN9" s="74">
        <f ca="1">AN8*'Main Variables'!$B$23*'Main Variables'!$B$24/1000</f>
        <v>60.385049999999985</v>
      </c>
      <c r="AO9" s="74">
        <f ca="1">AO8*'Main Variables'!$B$23*'Main Variables'!$B$24/1000</f>
        <v>60.385049999999985</v>
      </c>
      <c r="AP9" s="74">
        <f ca="1">AP8*'Main Variables'!$B$23*'Main Variables'!$B$24/1000</f>
        <v>60.385049999999985</v>
      </c>
      <c r="AQ9" s="75">
        <f ca="1">AQ8*'Main Variables'!$B$23*'Main Variables'!$B$24/1000</f>
        <v>60.385049999999985</v>
      </c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</row>
    <row r="10" spans="2:59" x14ac:dyDescent="0.25">
      <c r="B10" s="55" t="s">
        <v>107</v>
      </c>
      <c r="C10" s="9">
        <f>C9*'Main Variables'!$G$15*365*24*10^6</f>
        <v>0</v>
      </c>
      <c r="D10" s="57">
        <f>D9*'Main Variables'!$G$15*365*24*10^6</f>
        <v>414768479.99999994</v>
      </c>
      <c r="E10" s="57">
        <f ca="1">E9*'Main Variables'!$G$15*365*24*10^6</f>
        <v>865572418.36800015</v>
      </c>
      <c r="F10" s="57">
        <f ca="1">F9*'Main Variables'!$G$15*365*24*10^6</f>
        <v>1295511133.1696966</v>
      </c>
      <c r="G10" s="57">
        <f ca="1">G9*'Main Variables'!$G$15*365*24*10^6</f>
        <v>1772597016.6561742</v>
      </c>
      <c r="H10" s="57">
        <f ca="1">H9*'Main Variables'!$G$15*365*24*10^6</f>
        <v>2286706355.3991408</v>
      </c>
      <c r="I10" s="57">
        <f ca="1">I9*'Main Variables'!$G$15*365*24*10^6</f>
        <v>2845338691.1472282</v>
      </c>
      <c r="J10" s="57">
        <f ca="1">J9*'Main Variables'!$G$15*365*24*10^6</f>
        <v>3456704163.1341057</v>
      </c>
      <c r="K10" s="57">
        <f ca="1">K9*'Main Variables'!$G$15*365*24*10^6</f>
        <v>4123897634.7998595</v>
      </c>
      <c r="L10" s="57">
        <f ca="1">L9*'Main Variables'!$G$15*365*24*10^6</f>
        <v>4851515752.1590214</v>
      </c>
      <c r="M10" s="57">
        <f ca="1">M9*'Main Variables'!$G$15*365*24*10^6</f>
        <v>5644213425.0812922</v>
      </c>
      <c r="N10" s="57">
        <f ca="1">N9*'Main Variables'!$G$15*365*24*10^6</f>
        <v>6507053002.3854895</v>
      </c>
      <c r="O10" s="57">
        <f ca="1">O9*'Main Variables'!$G$15*365*24*10^6</f>
        <v>7445457224.7046509</v>
      </c>
      <c r="P10" s="57">
        <f ca="1">P9*'Main Variables'!$G$15*365*24*10^6</f>
        <v>8465252403.3584375</v>
      </c>
      <c r="Q10" s="57">
        <f ca="1">Q9*'Main Variables'!$G$15*365*24*10^6</f>
        <v>9572693911.295639</v>
      </c>
      <c r="R10" s="57">
        <f ca="1">R9*'Main Variables'!$G$15*365*24*10^6</f>
        <v>10774498130.061655</v>
      </c>
      <c r="S10" s="57">
        <f ca="1">S9*'Main Variables'!$G$15*365*24*10^6</f>
        <v>12077875670.217768</v>
      </c>
      <c r="T10" s="57">
        <f ca="1">T9*'Main Variables'!$G$15*365*24*10^6</f>
        <v>13490567210.976183</v>
      </c>
      <c r="U10" s="57">
        <f ca="1">U9*'Main Variables'!$G$15*365*24*10^6</f>
        <v>15020881868.382338</v>
      </c>
      <c r="V10" s="57">
        <f ca="1">V9*'Main Variables'!$G$15*365*24*10^6</f>
        <v>16677738335.436174</v>
      </c>
      <c r="W10" s="57">
        <f ca="1">W9*'Main Variables'!$G$15*365*24*10^6</f>
        <v>18470708979.333019</v>
      </c>
      <c r="X10" s="57">
        <f ca="1">X9*'Main Variables'!$G$15*365*24*10^6</f>
        <v>19995298631.089428</v>
      </c>
      <c r="Y10" s="57">
        <f ca="1">Y9*'Main Variables'!$G$15*365*24*10^6</f>
        <v>21703700335.44334</v>
      </c>
      <c r="Z10" s="57">
        <f ca="1">Z9*'Main Variables'!$G$15*365*24*10^6</f>
        <v>23561923605.653133</v>
      </c>
      <c r="AA10" s="57">
        <f ca="1">AA9*'Main Variables'!$G$15*365*24*10^6</f>
        <v>25463198191.342052</v>
      </c>
      <c r="AB10" s="57">
        <f ca="1">AB9*'Main Variables'!$G$15*365*24*10^6</f>
        <v>26448651899.999996</v>
      </c>
      <c r="AC10" s="57">
        <f ca="1">AC9*'Main Variables'!$G$15*365*24*10^6</f>
        <v>26448651899.999996</v>
      </c>
      <c r="AD10" s="57">
        <f ca="1">AD9*'Main Variables'!$G$15*365*24*10^6</f>
        <v>26448651899.999996</v>
      </c>
      <c r="AE10" s="57">
        <f ca="1">AE9*'Main Variables'!$G$15*365*24*10^6</f>
        <v>26448651899.999996</v>
      </c>
      <c r="AF10" s="57">
        <f ca="1">AF9*'Main Variables'!$G$15*365*24*10^6</f>
        <v>26448651899.999996</v>
      </c>
      <c r="AG10" s="57">
        <f ca="1">AG9*'Main Variables'!$G$15*365*24*10^6</f>
        <v>26448651899.999996</v>
      </c>
      <c r="AH10" s="57">
        <f ca="1">AH9*'Main Variables'!$G$15*365*24*10^6</f>
        <v>26448651899.999996</v>
      </c>
      <c r="AI10" s="57">
        <f ca="1">AI9*'Main Variables'!$G$15*365*24*10^6</f>
        <v>26448651899.999996</v>
      </c>
      <c r="AJ10" s="57">
        <f ca="1">AJ9*'Main Variables'!$G$15*365*24*10^6</f>
        <v>26448651899.999996</v>
      </c>
      <c r="AK10" s="57">
        <f ca="1">AK9*'Main Variables'!$G$15*365*24*10^6</f>
        <v>26448651899.999996</v>
      </c>
      <c r="AL10" s="57">
        <f ca="1">AL9*'Main Variables'!$G$15*365*24*10^6</f>
        <v>26448651899.999996</v>
      </c>
      <c r="AM10" s="57">
        <f ca="1">AM9*'Main Variables'!$G$15*365*24*10^6</f>
        <v>26448651899.999996</v>
      </c>
      <c r="AN10" s="57">
        <f ca="1">AN9*'Main Variables'!$G$15*365*24*10^6</f>
        <v>26448651899.999996</v>
      </c>
      <c r="AO10" s="57">
        <f ca="1">AO9*'Main Variables'!$G$15*365*24*10^6</f>
        <v>26448651899.999996</v>
      </c>
      <c r="AP10" s="57">
        <f ca="1">AP9*'Main Variables'!$G$15*365*24*10^6</f>
        <v>26448651899.999996</v>
      </c>
      <c r="AQ10" s="58">
        <f ca="1">AQ9*'Main Variables'!$G$15*365*24*10^6</f>
        <v>26448651899.999996</v>
      </c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</row>
    <row r="11" spans="2:59" x14ac:dyDescent="0.25">
      <c r="B11" s="55" t="s">
        <v>108</v>
      </c>
      <c r="C11" s="9">
        <f>C8*'Main Variables'!$B$23*'Main Variables'!$B$25*1000*'Main Variables'!$B$26</f>
        <v>0</v>
      </c>
      <c r="D11" s="57">
        <f>D8*'Main Variables'!$B$23*'Main Variables'!$B$25*1000*'Main Variables'!$B$26</f>
        <v>236740</v>
      </c>
      <c r="E11" s="57">
        <f ca="1">E8*'Main Variables'!$B$23*'Main Variables'!$B$25*1000*'Main Variables'!$B$26</f>
        <v>494048.18400000012</v>
      </c>
      <c r="F11" s="57">
        <f ca="1">F8*'Main Variables'!$B$23*'Main Variables'!$B$25*1000*'Main Variables'!$B$26</f>
        <v>739446.99381831998</v>
      </c>
      <c r="G11" s="57">
        <f ca="1">G8*'Main Variables'!$B$23*'Main Variables'!$B$25*1000*'Main Variables'!$B$26</f>
        <v>1011756.2880457616</v>
      </c>
      <c r="H11" s="57">
        <f ca="1">H8*'Main Variables'!$B$23*'Main Variables'!$B$25*1000*'Main Variables'!$B$26</f>
        <v>1305197.6914378656</v>
      </c>
      <c r="I11" s="57">
        <f ca="1">I8*'Main Variables'!$B$23*'Main Variables'!$B$25*1000*'Main Variables'!$B$26</f>
        <v>1624051.7643534406</v>
      </c>
      <c r="J11" s="57">
        <f ca="1">J8*'Main Variables'!$B$23*'Main Variables'!$B$25*1000*'Main Variables'!$B$26</f>
        <v>1973004.6593231198</v>
      </c>
      <c r="K11" s="57">
        <f ca="1">K8*'Main Variables'!$B$23*'Main Variables'!$B$25*1000*'Main Variables'!$B$26</f>
        <v>2353822.8509131614</v>
      </c>
      <c r="L11" s="57">
        <f ca="1">L8*'Main Variables'!$B$23*'Main Variables'!$B$25*1000*'Main Variables'!$B$26</f>
        <v>2769129.9955245559</v>
      </c>
      <c r="M11" s="57">
        <f ca="1">M8*'Main Variables'!$B$23*'Main Variables'!$B$25*1000*'Main Variables'!$B$26</f>
        <v>3221583.0051833857</v>
      </c>
      <c r="N11" s="57">
        <f ca="1">N8*'Main Variables'!$B$23*'Main Variables'!$B$25*1000*'Main Variables'!$B$26</f>
        <v>3714071.3483935441</v>
      </c>
      <c r="O11" s="57">
        <f ca="1">O8*'Main Variables'!$B$23*'Main Variables'!$B$25*1000*'Main Variables'!$B$26</f>
        <v>4249690.1967492299</v>
      </c>
      <c r="P11" s="57">
        <f ca="1">P8*'Main Variables'!$B$23*'Main Variables'!$B$25*1000*'Main Variables'!$B$26</f>
        <v>4831765.0704100681</v>
      </c>
      <c r="Q11" s="57">
        <f ca="1">Q8*'Main Variables'!$B$23*'Main Variables'!$B$25*1000*'Main Variables'!$B$26</f>
        <v>5463866.3877258217</v>
      </c>
      <c r="R11" s="57">
        <f ca="1">R8*'Main Variables'!$B$23*'Main Variables'!$B$25*1000*'Main Variables'!$B$26</f>
        <v>6149827.6998068802</v>
      </c>
      <c r="S11" s="57">
        <f ca="1">S8*'Main Variables'!$B$23*'Main Variables'!$B$25*1000*'Main Variables'!$B$26</f>
        <v>6893764.6519507812</v>
      </c>
      <c r="T11" s="57">
        <f ca="1">T8*'Main Variables'!$B$23*'Main Variables'!$B$25*1000*'Main Variables'!$B$26</f>
        <v>7700095.4400548982</v>
      </c>
      <c r="U11" s="57">
        <f ca="1">U8*'Main Variables'!$B$23*'Main Variables'!$B$25*1000*'Main Variables'!$B$26</f>
        <v>8573562.7102638911</v>
      </c>
      <c r="V11" s="57">
        <f ca="1">V8*'Main Variables'!$B$23*'Main Variables'!$B$25*1000*'Main Variables'!$B$26</f>
        <v>9519257.0407740716</v>
      </c>
      <c r="W11" s="57">
        <f ca="1">W8*'Main Variables'!$B$23*'Main Variables'!$B$25*1000*'Main Variables'!$B$26</f>
        <v>10542642.111491449</v>
      </c>
      <c r="X11" s="57">
        <f ca="1">X8*'Main Variables'!$B$23*'Main Variables'!$B$25*1000*'Main Variables'!$B$26</f>
        <v>11412841.684411772</v>
      </c>
      <c r="Y11" s="57">
        <f ca="1">Y8*'Main Variables'!$B$23*'Main Variables'!$B$25*1000*'Main Variables'!$B$26</f>
        <v>12387956.812467659</v>
      </c>
      <c r="Z11" s="57">
        <f ca="1">Z8*'Main Variables'!$B$23*'Main Variables'!$B$25*1000*'Main Variables'!$B$26</f>
        <v>13448586.532907039</v>
      </c>
      <c r="AA11" s="57">
        <f ca="1">AA8*'Main Variables'!$B$23*'Main Variables'!$B$25*1000*'Main Variables'!$B$26</f>
        <v>14533788.921998886</v>
      </c>
      <c r="AB11" s="57">
        <f ca="1">AB8*'Main Variables'!$B$23*'Main Variables'!$B$25*1000*'Main Variables'!$B$26</f>
        <v>15096262.499999998</v>
      </c>
      <c r="AC11" s="57">
        <f ca="1">AC8*'Main Variables'!$B$23*'Main Variables'!$B$25*1000*'Main Variables'!$B$26</f>
        <v>15096262.499999998</v>
      </c>
      <c r="AD11" s="57">
        <f ca="1">AD8*'Main Variables'!$B$23*'Main Variables'!$B$25*1000*'Main Variables'!$B$26</f>
        <v>15096262.499999998</v>
      </c>
      <c r="AE11" s="57">
        <f ca="1">AE8*'Main Variables'!$B$23*'Main Variables'!$B$25*1000*'Main Variables'!$B$26</f>
        <v>15096262.499999998</v>
      </c>
      <c r="AF11" s="57">
        <f ca="1">AF8*'Main Variables'!$B$23*'Main Variables'!$B$25*1000*'Main Variables'!$B$26</f>
        <v>15096262.499999998</v>
      </c>
      <c r="AG11" s="57">
        <f ca="1">AG8*'Main Variables'!$B$23*'Main Variables'!$B$25*1000*'Main Variables'!$B$26</f>
        <v>15096262.499999998</v>
      </c>
      <c r="AH11" s="57">
        <f ca="1">AH8*'Main Variables'!$B$23*'Main Variables'!$B$25*1000*'Main Variables'!$B$26</f>
        <v>15096262.499999998</v>
      </c>
      <c r="AI11" s="57">
        <f ca="1">AI8*'Main Variables'!$B$23*'Main Variables'!$B$25*1000*'Main Variables'!$B$26</f>
        <v>15096262.499999998</v>
      </c>
      <c r="AJ11" s="57">
        <f ca="1">AJ8*'Main Variables'!$B$23*'Main Variables'!$B$25*1000*'Main Variables'!$B$26</f>
        <v>15096262.499999998</v>
      </c>
      <c r="AK11" s="57">
        <f ca="1">AK8*'Main Variables'!$B$23*'Main Variables'!$B$25*1000*'Main Variables'!$B$26</f>
        <v>15096262.499999998</v>
      </c>
      <c r="AL11" s="57">
        <f ca="1">AL8*'Main Variables'!$B$23*'Main Variables'!$B$25*1000*'Main Variables'!$B$26</f>
        <v>15096262.499999998</v>
      </c>
      <c r="AM11" s="57">
        <f ca="1">AM8*'Main Variables'!$B$23*'Main Variables'!$B$25*1000*'Main Variables'!$B$26</f>
        <v>15096262.499999998</v>
      </c>
      <c r="AN11" s="57">
        <f ca="1">AN8*'Main Variables'!$B$23*'Main Variables'!$B$25*1000*'Main Variables'!$B$26</f>
        <v>15096262.499999998</v>
      </c>
      <c r="AO11" s="57">
        <f ca="1">AO8*'Main Variables'!$B$23*'Main Variables'!$B$25*1000*'Main Variables'!$B$26</f>
        <v>15096262.499999998</v>
      </c>
      <c r="AP11" s="57">
        <f ca="1">AP8*'Main Variables'!$B$23*'Main Variables'!$B$25*1000*'Main Variables'!$B$26</f>
        <v>15096262.499999998</v>
      </c>
      <c r="AQ11" s="58">
        <f ca="1">AQ8*'Main Variables'!$B$23*'Main Variables'!$B$25*1000*'Main Variables'!$B$26</f>
        <v>15096262.499999998</v>
      </c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</row>
    <row r="12" spans="2:59" x14ac:dyDescent="0.25">
      <c r="B12" s="55" t="s">
        <v>125</v>
      </c>
      <c r="C12" s="59">
        <f>C10+C7-C11</f>
        <v>4734800000</v>
      </c>
      <c r="D12" s="59">
        <f>D10+D7-D11</f>
        <v>5291375740</v>
      </c>
      <c r="E12" s="59">
        <f t="shared" ref="E12:AQ12" ca="1" si="4">E10+E7-E11</f>
        <v>5888227690.184</v>
      </c>
      <c r="F12" s="59">
        <f t="shared" ca="1" si="4"/>
        <v>6468615485.7758789</v>
      </c>
      <c r="G12" s="59">
        <f t="shared" ca="1" si="4"/>
        <v>7100644373.9561291</v>
      </c>
      <c r="H12" s="59">
        <f t="shared" ca="1" si="4"/>
        <v>7774332044.7033453</v>
      </c>
      <c r="I12" s="59">
        <f t="shared" ca="1" si="4"/>
        <v>8497313452.9883852</v>
      </c>
      <c r="J12" s="59">
        <f t="shared" ca="1" si="4"/>
        <v>9277937936.4884586</v>
      </c>
      <c r="K12" s="59">
        <f t="shared" ca="1" si="4"/>
        <v>10119446793.303032</v>
      </c>
      <c r="L12" s="59">
        <f t="shared" ca="1" si="4"/>
        <v>11026586692.958206</v>
      </c>
      <c r="M12" s="59">
        <f t="shared" ca="1" si="4"/>
        <v>12004167114.994659</v>
      </c>
      <c r="N12" s="59">
        <f t="shared" ca="1" si="4"/>
        <v>13057409462.143202</v>
      </c>
      <c r="O12" s="59">
        <f t="shared" ca="1" si="4"/>
        <v>14191900181.547194</v>
      </c>
      <c r="P12" s="59">
        <f t="shared" ca="1" si="4"/>
        <v>15413634064.738497</v>
      </c>
      <c r="Q12" s="59">
        <f t="shared" ca="1" si="4"/>
        <v>16729039874.151897</v>
      </c>
      <c r="R12" s="59">
        <f t="shared" ca="1" si="4"/>
        <v>18145012426.483154</v>
      </c>
      <c r="S12" s="59">
        <f t="shared" ca="1" si="4"/>
        <v>19668945953.410759</v>
      </c>
      <c r="T12" s="59">
        <f t="shared" ca="1" si="4"/>
        <v>21308770084.816422</v>
      </c>
      <c r="U12" s="59">
        <f t="shared" ca="1" si="4"/>
        <v>23072988364.030777</v>
      </c>
      <c r="V12" s="59">
        <f t="shared" ca="1" si="4"/>
        <v>24970719538.504864</v>
      </c>
      <c r="W12" s="59">
        <f t="shared" ca="1" si="4"/>
        <v>27011741811.134274</v>
      </c>
      <c r="X12" s="59">
        <f t="shared" ca="1" si="4"/>
        <v>28792008527.535149</v>
      </c>
      <c r="Y12" s="59">
        <f t="shared" ca="1" si="4"/>
        <v>30763678798.904903</v>
      </c>
      <c r="Z12" s="59">
        <f t="shared" ca="1" si="4"/>
        <v>32893012432.00248</v>
      </c>
      <c r="AA12" s="59">
        <f t="shared" ca="1" si="4"/>
        <v>35073537937.688774</v>
      </c>
      <c r="AB12" s="59">
        <f t="shared" ca="1" si="4"/>
        <v>36347175378.826782</v>
      </c>
      <c r="AC12" s="59">
        <f t="shared" ca="1" si="4"/>
        <v>36644583971.066582</v>
      </c>
      <c r="AD12" s="59">
        <f t="shared" ca="1" si="4"/>
        <v>36950914821.073578</v>
      </c>
      <c r="AE12" s="59">
        <f t="shared" ca="1" si="4"/>
        <v>37266435596.580788</v>
      </c>
      <c r="AF12" s="59">
        <f t="shared" ca="1" si="4"/>
        <v>37591421995.35321</v>
      </c>
      <c r="AG12" s="59">
        <f t="shared" ca="1" si="4"/>
        <v>37926157986.088806</v>
      </c>
      <c r="AH12" s="59">
        <f t="shared" ca="1" si="4"/>
        <v>38270936056.546478</v>
      </c>
      <c r="AI12" s="59">
        <f t="shared" ca="1" si="4"/>
        <v>38626057469.117867</v>
      </c>
      <c r="AJ12" s="59">
        <f t="shared" ca="1" si="4"/>
        <v>38991832524.066406</v>
      </c>
      <c r="AK12" s="59">
        <f t="shared" ca="1" si="4"/>
        <v>39368580830.663399</v>
      </c>
      <c r="AL12" s="59">
        <f t="shared" ca="1" si="4"/>
        <v>39756631586.458298</v>
      </c>
      <c r="AM12" s="59">
        <f t="shared" ca="1" si="4"/>
        <v>40156323864.927048</v>
      </c>
      <c r="AN12" s="59">
        <f t="shared" ca="1" si="4"/>
        <v>40568006911.749863</v>
      </c>
      <c r="AO12" s="59">
        <f t="shared" ca="1" si="4"/>
        <v>40992040449.977356</v>
      </c>
      <c r="AP12" s="59">
        <f t="shared" ca="1" si="4"/>
        <v>41428794994.351677</v>
      </c>
      <c r="AQ12" s="60">
        <f t="shared" ca="1" si="4"/>
        <v>41878652175.057228</v>
      </c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</row>
    <row r="13" spans="2:59" x14ac:dyDescent="0.25">
      <c r="B13" s="55" t="s">
        <v>121</v>
      </c>
      <c r="C13" s="9">
        <v>0</v>
      </c>
      <c r="D13" s="22">
        <f>SUM(D43:D52)</f>
        <v>0</v>
      </c>
      <c r="E13" s="22">
        <f t="shared" ref="E13:AP13" ca="1" si="5">SUM(E43:E52)</f>
        <v>0.94696000000000002</v>
      </c>
      <c r="F13" s="22">
        <f t="shared" ca="1" si="5"/>
        <v>1.9761927360000002</v>
      </c>
      <c r="G13" s="22">
        <f t="shared" ca="1" si="5"/>
        <v>2.9577879752732801</v>
      </c>
      <c r="H13" s="22">
        <f t="shared" ca="1" si="5"/>
        <v>4.0470251521830463</v>
      </c>
      <c r="I13" s="22">
        <f t="shared" ca="1" si="5"/>
        <v>5.2207907657514623</v>
      </c>
      <c r="J13" s="22">
        <f t="shared" ca="1" si="5"/>
        <v>6.4962070574137627</v>
      </c>
      <c r="K13" s="22">
        <f t="shared" ca="1" si="5"/>
        <v>7.8920186372924794</v>
      </c>
      <c r="L13" s="22">
        <f t="shared" ca="1" si="5"/>
        <v>9.4152914036526472</v>
      </c>
      <c r="M13" s="22">
        <f t="shared" ca="1" si="5"/>
        <v>11.076519982098223</v>
      </c>
      <c r="N13" s="22">
        <f t="shared" ca="1" si="5"/>
        <v>12.886332020733542</v>
      </c>
      <c r="O13" s="22">
        <f t="shared" ca="1" si="5"/>
        <v>14.856285393574177</v>
      </c>
      <c r="P13" s="22">
        <f t="shared" ca="1" si="5"/>
        <v>16.998760786996918</v>
      </c>
      <c r="Q13" s="22">
        <f t="shared" ca="1" si="5"/>
        <v>19.327060281640271</v>
      </c>
      <c r="R13" s="22">
        <f t="shared" ca="1" si="5"/>
        <v>21.855465550903286</v>
      </c>
      <c r="S13" s="22">
        <f t="shared" ca="1" si="5"/>
        <v>24.599310799227521</v>
      </c>
      <c r="T13" s="22">
        <f t="shared" ca="1" si="5"/>
        <v>27.575058607803122</v>
      </c>
      <c r="U13" s="22">
        <f t="shared" ca="1" si="5"/>
        <v>30.800381760219594</v>
      </c>
      <c r="V13" s="22">
        <f t="shared" ca="1" si="5"/>
        <v>34.294250841055558</v>
      </c>
      <c r="W13" s="22">
        <f t="shared" ca="1" si="5"/>
        <v>38.077028163096287</v>
      </c>
      <c r="X13" s="22">
        <f t="shared" ca="1" si="5"/>
        <v>42.170568445965799</v>
      </c>
      <c r="Y13" s="22">
        <f t="shared" ca="1" si="5"/>
        <v>45.651366737647088</v>
      </c>
      <c r="Z13" s="22">
        <f t="shared" ca="1" si="5"/>
        <v>49.551827249870634</v>
      </c>
      <c r="AA13" s="22">
        <f t="shared" ca="1" si="5"/>
        <v>53.79434613162816</v>
      </c>
      <c r="AB13" s="22">
        <f t="shared" ca="1" si="5"/>
        <v>58.13515568799555</v>
      </c>
      <c r="AC13" s="22">
        <f t="shared" ca="1" si="5"/>
        <v>60.385049999999985</v>
      </c>
      <c r="AD13" s="22">
        <f t="shared" ca="1" si="5"/>
        <v>60.385049999999985</v>
      </c>
      <c r="AE13" s="22">
        <f t="shared" ca="1" si="5"/>
        <v>60.385049999999985</v>
      </c>
      <c r="AF13" s="22">
        <f t="shared" ca="1" si="5"/>
        <v>60.385049999999985</v>
      </c>
      <c r="AG13" s="22">
        <f t="shared" ca="1" si="5"/>
        <v>60.385049999999985</v>
      </c>
      <c r="AH13" s="22">
        <f t="shared" ca="1" si="5"/>
        <v>59.438089999999988</v>
      </c>
      <c r="AI13" s="22">
        <f t="shared" ca="1" si="5"/>
        <v>59.355817263999988</v>
      </c>
      <c r="AJ13" s="22">
        <f t="shared" ca="1" si="5"/>
        <v>59.40345476072671</v>
      </c>
      <c r="AK13" s="22">
        <f t="shared" ca="1" si="5"/>
        <v>59.295812823090216</v>
      </c>
      <c r="AL13" s="22">
        <f t="shared" ca="1" si="5"/>
        <v>59.211284386431572</v>
      </c>
      <c r="AM13" s="22">
        <f t="shared" ca="1" si="5"/>
        <v>59.109633708337682</v>
      </c>
      <c r="AN13" s="22">
        <f t="shared" ca="1" si="5"/>
        <v>58.989238420121268</v>
      </c>
      <c r="AO13" s="22">
        <f t="shared" ca="1" si="5"/>
        <v>58.86177723363982</v>
      </c>
      <c r="AP13" s="22">
        <f t="shared" ca="1" si="5"/>
        <v>58.723821421554412</v>
      </c>
      <c r="AQ13" s="51">
        <f t="shared" ref="AQ13" ca="1" si="6">SUM(AQ43:AQ52)</f>
        <v>58.575237961364664</v>
      </c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</row>
    <row r="14" spans="2:59" x14ac:dyDescent="0.25">
      <c r="B14" s="55" t="s">
        <v>171</v>
      </c>
      <c r="C14" s="9"/>
      <c r="D14" s="22">
        <f>SUM(D56:D65)</f>
        <v>0.94696000000000002</v>
      </c>
      <c r="E14" s="22">
        <f t="shared" ref="E14:AP14" ca="1" si="7">SUM(E56:E65)</f>
        <v>1.0292327360000004</v>
      </c>
      <c r="F14" s="22">
        <f t="shared" ca="1" si="7"/>
        <v>0.98159523927327985</v>
      </c>
      <c r="G14" s="22">
        <f t="shared" ca="1" si="7"/>
        <v>1.0892371769097662</v>
      </c>
      <c r="H14" s="22">
        <f t="shared" ca="1" si="7"/>
        <v>1.173765613568416</v>
      </c>
      <c r="I14" s="22">
        <f t="shared" ca="1" si="7"/>
        <v>1.2754162916623004</v>
      </c>
      <c r="J14" s="22">
        <f t="shared" ca="1" si="7"/>
        <v>1.3958115798787163</v>
      </c>
      <c r="K14" s="22">
        <f t="shared" ca="1" si="7"/>
        <v>1.5232727663601677</v>
      </c>
      <c r="L14" s="22">
        <f t="shared" ca="1" si="7"/>
        <v>1.6612285784455754</v>
      </c>
      <c r="M14" s="22">
        <f t="shared" ca="1" si="7"/>
        <v>1.8098120386353198</v>
      </c>
      <c r="N14" s="22">
        <f t="shared" ca="1" si="7"/>
        <v>1.9699533728406351</v>
      </c>
      <c r="O14" s="22">
        <f t="shared" ca="1" si="7"/>
        <v>2.1424753934227407</v>
      </c>
      <c r="P14" s="22">
        <f t="shared" ca="1" si="7"/>
        <v>2.3282994946433533</v>
      </c>
      <c r="Q14" s="22">
        <f t="shared" ca="1" si="7"/>
        <v>2.5284052692630166</v>
      </c>
      <c r="R14" s="22">
        <f t="shared" ca="1" si="7"/>
        <v>2.7438452483242344</v>
      </c>
      <c r="S14" s="22">
        <f t="shared" ca="1" si="7"/>
        <v>2.9757478085756013</v>
      </c>
      <c r="T14" s="22">
        <f t="shared" ca="1" si="7"/>
        <v>3.2253231524164718</v>
      </c>
      <c r="U14" s="22">
        <f t="shared" ca="1" si="7"/>
        <v>3.4938690808359638</v>
      </c>
      <c r="V14" s="22">
        <f t="shared" ca="1" si="7"/>
        <v>3.7827773220407295</v>
      </c>
      <c r="W14" s="22">
        <f t="shared" ca="1" si="7"/>
        <v>4.0935402828695118</v>
      </c>
      <c r="X14" s="22">
        <f t="shared" ca="1" si="7"/>
        <v>3.480798291681289</v>
      </c>
      <c r="Y14" s="22">
        <f t="shared" ca="1" si="7"/>
        <v>3.9004605122235461</v>
      </c>
      <c r="Z14" s="22">
        <f t="shared" ca="1" si="7"/>
        <v>4.2425188817575261</v>
      </c>
      <c r="AA14" s="22">
        <f t="shared" ca="1" si="7"/>
        <v>4.3408095563673896</v>
      </c>
      <c r="AB14" s="22">
        <f t="shared" ca="1" si="7"/>
        <v>2.2498943120044359</v>
      </c>
      <c r="AC14" s="22">
        <f t="shared" ca="1" si="7"/>
        <v>0</v>
      </c>
      <c r="AD14" s="22">
        <f t="shared" ca="1" si="7"/>
        <v>0</v>
      </c>
      <c r="AE14" s="22">
        <f t="shared" ca="1" si="7"/>
        <v>0</v>
      </c>
      <c r="AF14" s="22">
        <f t="shared" ca="1" si="7"/>
        <v>0</v>
      </c>
      <c r="AG14" s="22">
        <f t="shared" ca="1" si="7"/>
        <v>0</v>
      </c>
      <c r="AH14" s="22">
        <f t="shared" ca="1" si="7"/>
        <v>0.94696000000000002</v>
      </c>
      <c r="AI14" s="22">
        <f t="shared" ca="1" si="7"/>
        <v>1.0292327360000004</v>
      </c>
      <c r="AJ14" s="22">
        <f t="shared" ca="1" si="7"/>
        <v>0.98159523927327985</v>
      </c>
      <c r="AK14" s="22">
        <f t="shared" ca="1" si="7"/>
        <v>1.0892371769097675</v>
      </c>
      <c r="AL14" s="22">
        <f t="shared" ca="1" si="7"/>
        <v>1.1737656135684134</v>
      </c>
      <c r="AM14" s="22">
        <f t="shared" ca="1" si="7"/>
        <v>1.2754162916623031</v>
      </c>
      <c r="AN14" s="22">
        <f t="shared" ca="1" si="7"/>
        <v>1.3958115798787176</v>
      </c>
      <c r="AO14" s="22">
        <f t="shared" ca="1" si="7"/>
        <v>1.5232727663601651</v>
      </c>
      <c r="AP14" s="22">
        <f t="shared" ca="1" si="7"/>
        <v>1.6612285784455736</v>
      </c>
      <c r="AQ14" s="51">
        <f t="shared" ref="AQ14" ca="1" si="8">SUM(AQ56:AQ65)</f>
        <v>1.8098120386353216</v>
      </c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</row>
    <row r="15" spans="2:59" x14ac:dyDescent="0.25">
      <c r="B15" s="55" t="s">
        <v>122</v>
      </c>
      <c r="C15" s="9"/>
      <c r="D15" s="57">
        <f>SUMPRODUCT(D56:D65,$A$56:$A$65)*'Main Variables'!$B$33*1000*'Main Variables'!$B$35</f>
        <v>145212060</v>
      </c>
      <c r="E15" s="57">
        <f ca="1">SUMPRODUCT(E56:E65,$A$56:$A$65)*'Main Variables'!$B$33*1000*'Main Variables'!$B$35</f>
        <v>980251493.81760049</v>
      </c>
      <c r="F15" s="57">
        <f ca="1">SUMPRODUCT(F56:F65,$A$56:$A$65)*'Main Variables'!$B$33*1000*'Main Variables'!$B$35</f>
        <v>1022429601.2270482</v>
      </c>
      <c r="G15" s="57">
        <f ca="1">SUMPRODUCT(G56:G65,$A$56:$A$65)*'Main Variables'!$B$33*1000*'Main Variables'!$B$35</f>
        <v>1231816306.1140499</v>
      </c>
      <c r="H15" s="57">
        <f ca="1">SUMPRODUCT(H56:H65,$A$56:$A$65)*'Main Variables'!$B$33*1000*'Main Variables'!$B$35</f>
        <v>1397250586.3918424</v>
      </c>
      <c r="I15" s="57">
        <f ca="1">SUMPRODUCT(I56:I65,$A$56:$A$65)*'Main Variables'!$B$33*1000*'Main Variables'!$B$35</f>
        <v>1518255553.5948024</v>
      </c>
      <c r="J15" s="57">
        <f ca="1">SUMPRODUCT(J56:J65,$A$56:$A$65)*'Main Variables'!$B$33*1000*'Main Variables'!$B$35</f>
        <v>1661574104.6876235</v>
      </c>
      <c r="K15" s="57">
        <f ca="1">SUMPRODUCT(K56:K65,$A$56:$A$65)*'Main Variables'!$B$33*1000*'Main Variables'!$B$35</f>
        <v>1813303901.0751438</v>
      </c>
      <c r="L15" s="57">
        <f ca="1">SUMPRODUCT(L56:L65,$A$56:$A$65)*'Main Variables'!$B$33*1000*'Main Variables'!$B$35</f>
        <v>1977526499.7816129</v>
      </c>
      <c r="M15" s="57">
        <f ca="1">SUMPRODUCT(M56:M65,$A$56:$A$65)*'Main Variables'!$B$33*1000*'Main Variables'!$B$35</f>
        <v>2154400250.7914848</v>
      </c>
      <c r="N15" s="57">
        <f ca="1">SUMPRODUCT(N56:N65,$A$56:$A$65)*'Main Variables'!$B$33*1000*'Main Variables'!$B$35</f>
        <v>2345032495.0294919</v>
      </c>
      <c r="O15" s="57">
        <f ca="1">SUMPRODUCT(O56:O65,$A$56:$A$65)*'Main Variables'!$B$33*1000*'Main Variables'!$B$35</f>
        <v>2550402708.3304305</v>
      </c>
      <c r="P15" s="57">
        <f ca="1">SUMPRODUCT(P56:P65,$A$56:$A$65)*'Main Variables'!$B$33*1000*'Main Variables'!$B$35</f>
        <v>2771607718.4234476</v>
      </c>
      <c r="Q15" s="57">
        <f ca="1">SUMPRODUCT(Q56:Q65,$A$56:$A$65)*'Main Variables'!$B$33*1000*'Main Variables'!$B$35</f>
        <v>3009813632.530695</v>
      </c>
      <c r="R15" s="57">
        <f ca="1">SUMPRODUCT(R56:R65,$A$56:$A$65)*'Main Variables'!$B$33*1000*'Main Variables'!$B$35</f>
        <v>3266273383.6051688</v>
      </c>
      <c r="S15" s="57">
        <f ca="1">SUMPRODUCT(S56:S65,$A$56:$A$65)*'Main Variables'!$B$33*1000*'Main Variables'!$B$35</f>
        <v>3542330191.3283963</v>
      </c>
      <c r="T15" s="57">
        <f ca="1">SUMPRODUCT(T56:T65,$A$56:$A$65)*'Main Variables'!$B$33*1000*'Main Variables'!$B$35</f>
        <v>3839424680.6365685</v>
      </c>
      <c r="U15" s="57">
        <f ca="1">SUMPRODUCT(U56:U65,$A$56:$A$65)*'Main Variables'!$B$33*1000*'Main Variables'!$B$35</f>
        <v>4159101753.8271313</v>
      </c>
      <c r="V15" s="57">
        <f ca="1">SUMPRODUCT(V56:V65,$A$56:$A$65)*'Main Variables'!$B$33*1000*'Main Variables'!$B$35</f>
        <v>4503018124.1572847</v>
      </c>
      <c r="W15" s="57">
        <f ca="1">SUMPRODUCT(W56:W65,$A$56:$A$65)*'Main Variables'!$B$33*1000*'Main Variables'!$B$35</f>
        <v>4872950352.7278671</v>
      </c>
      <c r="X15" s="57">
        <f ca="1">SUMPRODUCT(X56:X65,$A$56:$A$65)*'Main Variables'!$B$33*1000*'Main Variables'!$B$35</f>
        <v>4143542286.4174061</v>
      </c>
      <c r="Y15" s="57">
        <f ca="1">SUMPRODUCT(Y56:Y65,$A$56:$A$65)*'Main Variables'!$B$33*1000*'Main Variables'!$B$35</f>
        <v>4643108193.7509098</v>
      </c>
      <c r="Z15" s="57">
        <f ca="1">SUMPRODUCT(Z56:Z65,$A$56:$A$65)*'Main Variables'!$B$33*1000*'Main Variables'!$B$35</f>
        <v>5742778765.6167021</v>
      </c>
      <c r="AA15" s="57">
        <f ca="1">SUMPRODUCT(AA56:AA65,$A$56:$A$65)*'Main Variables'!$B$33*1000*'Main Variables'!$B$35</f>
        <v>6459124619.8746758</v>
      </c>
      <c r="AB15" s="57">
        <f ca="1">SUMPRODUCT(AB56:AB65,$A$56:$A$65)*'Main Variables'!$B$33*1000*'Main Variables'!$B$35</f>
        <v>3347842736.2626009</v>
      </c>
      <c r="AC15" s="57">
        <f ca="1">SUMPRODUCT(AC56:AC65,$A$56:$A$65)*'Main Variables'!$B$33*1000*'Main Variables'!$B$35</f>
        <v>0</v>
      </c>
      <c r="AD15" s="57">
        <f ca="1">SUMPRODUCT(AD56:AD65,$A$56:$A$65)*'Main Variables'!$B$33*1000*'Main Variables'!$B$35</f>
        <v>0</v>
      </c>
      <c r="AE15" s="57">
        <f ca="1">SUMPRODUCT(AE56:AE65,$A$56:$A$65)*'Main Variables'!$B$33*1000*'Main Variables'!$B$35</f>
        <v>0</v>
      </c>
      <c r="AF15" s="57">
        <f ca="1">SUMPRODUCT(AF56:AF65,$A$56:$A$65)*'Main Variables'!$B$33*1000*'Main Variables'!$B$35</f>
        <v>0</v>
      </c>
      <c r="AG15" s="57">
        <f ca="1">SUMPRODUCT(AG56:AG65,$A$56:$A$65)*'Main Variables'!$B$33*1000*'Main Variables'!$B$35</f>
        <v>0</v>
      </c>
      <c r="AH15" s="57">
        <f ca="1">SUMPRODUCT(AH56:AH65,$A$56:$A$65)*'Main Variables'!$B$33*1000*'Main Variables'!$B$35</f>
        <v>145212060</v>
      </c>
      <c r="AI15" s="57">
        <f ca="1">SUMPRODUCT(AI56:AI65,$A$56:$A$65)*'Main Variables'!$B$33*1000*'Main Variables'!$B$35</f>
        <v>980251493.81760049</v>
      </c>
      <c r="AJ15" s="57">
        <f ca="1">SUMPRODUCT(AJ56:AJ65,$A$56:$A$65)*'Main Variables'!$B$33*1000*'Main Variables'!$B$35</f>
        <v>1022429601.2270482</v>
      </c>
      <c r="AK15" s="57">
        <f ca="1">SUMPRODUCT(AK56:AK65,$A$56:$A$65)*'Main Variables'!$B$33*1000*'Main Variables'!$B$35</f>
        <v>1231816306.1140516</v>
      </c>
      <c r="AL15" s="57">
        <f ca="1">SUMPRODUCT(AL56:AL65,$A$56:$A$65)*'Main Variables'!$B$33*1000*'Main Variables'!$B$35</f>
        <v>1397250586.3918393</v>
      </c>
      <c r="AM15" s="57">
        <f ca="1">SUMPRODUCT(AM56:AM65,$A$56:$A$65)*'Main Variables'!$B$33*1000*'Main Variables'!$B$35</f>
        <v>1518255553.5948055</v>
      </c>
      <c r="AN15" s="57">
        <f ca="1">SUMPRODUCT(AN56:AN65,$A$56:$A$65)*'Main Variables'!$B$33*1000*'Main Variables'!$B$35</f>
        <v>1661574104.6876256</v>
      </c>
      <c r="AO15" s="57">
        <f ca="1">SUMPRODUCT(AO56:AO65,$A$56:$A$65)*'Main Variables'!$B$33*1000*'Main Variables'!$B$35</f>
        <v>1813303901.0751405</v>
      </c>
      <c r="AP15" s="57">
        <f ca="1">SUMPRODUCT(AP56:AP65,$A$56:$A$65)*'Main Variables'!$B$33*1000*'Main Variables'!$B$35</f>
        <v>1977526499.781611</v>
      </c>
      <c r="AQ15" s="58">
        <f ca="1">SUMPRODUCT(AQ56:AQ65,$A$56:$A$65)*'Main Variables'!$B$33*1000*'Main Variables'!$B$35</f>
        <v>2154400250.7914867</v>
      </c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</row>
    <row r="16" spans="2:59" x14ac:dyDescent="0.25">
      <c r="B16" s="55" t="s">
        <v>109</v>
      </c>
      <c r="C16" s="10">
        <v>0</v>
      </c>
      <c r="D16" s="10">
        <f ca="1">IF(D2&gt;='Main Variables'!$B$29,OFFSET('Cumulative 40yr Model'!D17,0,-'Main Variables'!$B$29,1,1),0)</f>
        <v>0</v>
      </c>
      <c r="E16" s="10">
        <f ca="1">IF(E2&gt;='Main Variables'!$B$29,OFFSET('Cumulative 40yr Model'!E17,0,-'Main Variables'!$B$29,1,1),0)</f>
        <v>0</v>
      </c>
      <c r="F16" s="10">
        <f ca="1">IF(F2&gt;='Main Variables'!$B$29,OFFSET('Cumulative 40yr Model'!F17,0,-'Main Variables'!$B$29,1,1),0)</f>
        <v>0</v>
      </c>
      <c r="G16" s="10">
        <f ca="1">IF(G2&gt;='Main Variables'!$B$29,OFFSET('Cumulative 40yr Model'!G17,0,-'Main Variables'!$B$29,1,1),0)</f>
        <v>0</v>
      </c>
      <c r="H16" s="10">
        <f ca="1">IF(H2&gt;='Main Variables'!$B$29,OFFSET('Cumulative 40yr Model'!H17,0,-'Main Variables'!$B$29,1,1),0)</f>
        <v>0</v>
      </c>
      <c r="I16" s="10">
        <f ca="1">IF(I2&gt;='Main Variables'!$B$29,OFFSET('Cumulative 40yr Model'!I17,0,-'Main Variables'!$B$29,1,1),0)</f>
        <v>0</v>
      </c>
      <c r="J16" s="10">
        <f ca="1">IF(J2&gt;='Main Variables'!$B$29,OFFSET('Cumulative 40yr Model'!J17,0,-'Main Variables'!$B$29,1,1),0)</f>
        <v>0</v>
      </c>
      <c r="K16" s="10">
        <f ca="1">IF(K2&gt;='Main Variables'!$B$29,OFFSET('Cumulative 40yr Model'!K17,0,-'Main Variables'!$B$29,1,1),0)</f>
        <v>0</v>
      </c>
      <c r="L16" s="10">
        <f ca="1">IF(L2&gt;='Main Variables'!$B$29,OFFSET('Cumulative 40yr Model'!L17,0,-'Main Variables'!$B$29,1,1),0)</f>
        <v>0</v>
      </c>
      <c r="M16" s="10">
        <f ca="1">IF(M2&gt;='Main Variables'!$B$29,OFFSET('Cumulative 40yr Model'!M17,0,-'Main Variables'!$B$29,1,1),0)</f>
        <v>0</v>
      </c>
      <c r="N16" s="10">
        <f ca="1">IF(N2&gt;='Main Variables'!$B$29,OFFSET('Cumulative 40yr Model'!N17,0,-'Main Variables'!$B$29,1,1),0)</f>
        <v>0</v>
      </c>
      <c r="O16" s="10">
        <f ca="1">IF(O2&gt;='Main Variables'!$B$29,OFFSET('Cumulative 40yr Model'!O17,0,-'Main Variables'!$B$29,1,1),0)</f>
        <v>0</v>
      </c>
      <c r="P16" s="10">
        <f ca="1">IF(P2&gt;='Main Variables'!$B$29,OFFSET('Cumulative 40yr Model'!P17,0,-'Main Variables'!$B$29,1,1),0)</f>
        <v>0</v>
      </c>
      <c r="Q16" s="10">
        <f ca="1">IF(Q2&gt;='Main Variables'!$B$29,OFFSET('Cumulative 40yr Model'!Q17,0,-'Main Variables'!$B$29,1,1),0)</f>
        <v>0</v>
      </c>
      <c r="R16" s="10">
        <f ca="1">IF(R2&gt;='Main Variables'!$B$29,OFFSET('Cumulative 40yr Model'!R17,0,-'Main Variables'!$B$29,1,1),0)</f>
        <v>0</v>
      </c>
      <c r="S16" s="10">
        <f ca="1">IF(S2&gt;='Main Variables'!$B$29,OFFSET('Cumulative 40yr Model'!S17,0,-'Main Variables'!$B$29,1,1),0)</f>
        <v>0</v>
      </c>
      <c r="T16" s="10">
        <f ca="1">IF(T2&gt;='Main Variables'!$B$29,OFFSET('Cumulative 40yr Model'!T17,0,-'Main Variables'!$B$29,1,1),0)</f>
        <v>0</v>
      </c>
      <c r="U16" s="10">
        <f ca="1">IF(U2&gt;='Main Variables'!$B$29,OFFSET('Cumulative 40yr Model'!U17,0,-'Main Variables'!$B$29,1,1),0)</f>
        <v>0</v>
      </c>
      <c r="V16" s="10">
        <f ca="1">IF(V2&gt;='Main Variables'!$B$29,OFFSET('Cumulative 40yr Model'!V17,0,-'Main Variables'!$B$29,1,1),0)</f>
        <v>0</v>
      </c>
      <c r="W16" s="10">
        <f ca="1">IF(W2&gt;='Main Variables'!$B$29,OFFSET('Cumulative 40yr Model'!W17,0,-'Main Variables'!$B$29,1,1),0)</f>
        <v>473.48</v>
      </c>
      <c r="X16" s="10">
        <f ca="1">IF(X2&gt;='Main Variables'!$B$29,OFFSET('Cumulative 40yr Model'!X17,0,-'Main Variables'!$B$29,1,1),0)</f>
        <v>514.61636799999997</v>
      </c>
      <c r="Y16" s="10">
        <f ca="1">IF(Y2&gt;='Main Variables'!$B$29,OFFSET('Cumulative 40yr Model'!Y17,0,-'Main Variables'!$B$29,1,1),0)</f>
        <v>490.79761963663998</v>
      </c>
      <c r="Z16" s="10">
        <f ca="1">IF(Z2&gt;='Main Variables'!$B$29,OFFSET('Cumulative 40yr Model'!Z17,0,-'Main Variables'!$B$29,1,1),0)</f>
        <v>544.61858845488314</v>
      </c>
      <c r="AA16" s="10">
        <f ca="1">IF(AA2&gt;='Main Variables'!$B$29,OFFSET('Cumulative 40yr Model'!AA17,0,-'Main Variables'!$B$29,1,1),0)</f>
        <v>586.8828067842079</v>
      </c>
      <c r="AB16" s="10">
        <f ca="1">IF(AB2&gt;='Main Variables'!$B$29,OFFSET('Cumulative 40yr Model'!AB17,0,-'Main Variables'!$B$29,1,1),0)</f>
        <v>637.70814583115032</v>
      </c>
      <c r="AC16" s="10">
        <f ca="1">IF(AC2&gt;='Main Variables'!$B$29,OFFSET('Cumulative 40yr Model'!AC17,0,-'Main Variables'!$B$29,1,1),0)</f>
        <v>697.90578993935833</v>
      </c>
      <c r="AD16" s="10">
        <f ca="1">IF(AD2&gt;='Main Variables'!$B$29,OFFSET('Cumulative 40yr Model'!AD17,0,-'Main Variables'!$B$29,1,1),0)</f>
        <v>761.6363831800835</v>
      </c>
      <c r="AE16" s="10">
        <f ca="1">IF(AE2&gt;='Main Variables'!$B$29,OFFSET('Cumulative 40yr Model'!AE17,0,-'Main Variables'!$B$29,1,1),0)</f>
        <v>830.61428922278878</v>
      </c>
      <c r="AF16" s="10">
        <f ca="1">IF(AF2&gt;='Main Variables'!$B$29,OFFSET('Cumulative 40yr Model'!AF17,0,-'Main Variables'!$B$29,1,1),0)</f>
        <v>904.90601931765934</v>
      </c>
      <c r="AG16" s="10">
        <f ca="1">IF(AG2&gt;='Main Variables'!$B$29,OFFSET('Cumulative 40yr Model'!AG17,0,-'Main Variables'!$B$29,1,1),0)</f>
        <v>984.97668642031738</v>
      </c>
      <c r="AH16" s="10">
        <f ca="1">IF(AH2&gt;='Main Variables'!$B$29,OFFSET('Cumulative 40yr Model'!AH17,0,-'Main Variables'!$B$29,1,1),0)</f>
        <v>1071.237696711371</v>
      </c>
      <c r="AI16" s="10">
        <f ca="1">IF(AI2&gt;='Main Variables'!$B$29,OFFSET('Cumulative 40yr Model'!AI17,0,-'Main Variables'!$B$29,1,1),0)</f>
        <v>1164.1497473216762</v>
      </c>
      <c r="AJ16" s="10">
        <f ca="1">IF(AJ2&gt;='Main Variables'!$B$29,OFFSET('Cumulative 40yr Model'!AJ17,0,-'Main Variables'!$B$29,1,1),0)</f>
        <v>1264.2026346315047</v>
      </c>
      <c r="AK16" s="10">
        <f ca="1">IF(AK2&gt;='Main Variables'!$B$29,OFFSET('Cumulative 40yr Model'!AK17,0,-'Main Variables'!$B$29,1,1),0)</f>
        <v>1371.9226241621204</v>
      </c>
      <c r="AL16" s="10">
        <f ca="1">IF(AL2&gt;='Main Variables'!$B$29,OFFSET('Cumulative 40yr Model'!AL17,0,-'Main Variables'!$B$29,1,1),0)</f>
        <v>1487.8739042877985</v>
      </c>
      <c r="AM16" s="10">
        <f ca="1">IF(AM2&gt;='Main Variables'!$B$29,OFFSET('Cumulative 40yr Model'!AM17,0,-'Main Variables'!$B$29,1,1),0)</f>
        <v>1612.6615762082363</v>
      </c>
      <c r="AN16" s="10">
        <f ca="1">IF(AN2&gt;='Main Variables'!$B$29,OFFSET('Cumulative 40yr Model'!AN17,0,-'Main Variables'!$B$29,1,1),0)</f>
        <v>1746.9345404179851</v>
      </c>
      <c r="AO16" s="10">
        <f ca="1">IF(AO2&gt;='Main Variables'!$B$29,OFFSET('Cumulative 40yr Model'!AO17,0,-'Main Variables'!$B$29,1,1),0)</f>
        <v>1891.3886610203642</v>
      </c>
      <c r="AP16" s="10">
        <f ca="1">IF(AP2&gt;='Main Variables'!$B$29,OFFSET('Cumulative 40yr Model'!AP17,0,-'Main Variables'!$B$29,1,1),0)</f>
        <v>2046.770141434758</v>
      </c>
      <c r="AQ16" s="62">
        <f ca="1">IF(AQ2&gt;='Main Variables'!$B$29,OFFSET('Cumulative 40yr Model'!AQ17,0,-'Main Variables'!$B$29,1,1),0)</f>
        <v>2213.8791458406404</v>
      </c>
    </row>
    <row r="17" spans="1:59" x14ac:dyDescent="0.25">
      <c r="B17" s="55" t="s">
        <v>123</v>
      </c>
      <c r="C17" s="10">
        <f>MAX(MIN(SUM($C$30:$C$39)/'Main Variables'!$B$23*1000/'Main Variables'!$B$24-'Cumulative 40yr Model'!C8+'Cumulative 40yr Model'!C16,(C12-C15)/'Main Variables'!$B$25/'Main Variables'!$B$23/10^6,'Main Variables'!$B$11*'Main Variables'!$B$13*'Main Variables'!$B$12-'Cumulative 40yr Model'!C8+'Cumulative 40yr Model'!C16),0)</f>
        <v>473.48</v>
      </c>
      <c r="D17" s="10">
        <f ca="1">MAX(MIN(SUM($C$30:$C$39)/'Main Variables'!$B$23*1000/'Main Variables'!$B$24-'Cumulative 40yr Model'!D8+'Cumulative 40yr Model'!D16,(D12-D15)/'Main Variables'!$B$25/'Main Variables'!$B$23/10^6,'Main Variables'!$B$11*'Main Variables'!$B$13*'Main Variables'!$B$12-'Cumulative 40yr Model'!D8+'Cumulative 40yr Model'!D16),0)</f>
        <v>514.61636799999997</v>
      </c>
      <c r="E17" s="10">
        <f ca="1">MAX(MIN(SUM($C$30:$C$39)/'Main Variables'!$B$23*1000/'Main Variables'!$B$24-'Cumulative 40yr Model'!E8+'Cumulative 40yr Model'!E16,(E12-E15)/'Main Variables'!$B$25/'Main Variables'!$B$23/10^6,'Main Variables'!$B$11*'Main Variables'!$B$13*'Main Variables'!$B$12-'Cumulative 40yr Model'!E8+'Cumulative 40yr Model'!E16),0)</f>
        <v>490.79761963663998</v>
      </c>
      <c r="F17" s="10">
        <f ca="1">MAX(MIN(SUM($C$30:$C$39)/'Main Variables'!$B$23*1000/'Main Variables'!$B$24-'Cumulative 40yr Model'!F8+'Cumulative 40yr Model'!F16,(F12-F15)/'Main Variables'!$B$25/'Main Variables'!$B$23/10^6,'Main Variables'!$B$11*'Main Variables'!$B$13*'Main Variables'!$B$12-'Cumulative 40yr Model'!F8+'Cumulative 40yr Model'!F16),0)</f>
        <v>544.61858845488314</v>
      </c>
      <c r="G17" s="10">
        <f ca="1">MAX(MIN(SUM($C$30:$C$39)/'Main Variables'!$B$23*1000/'Main Variables'!$B$24-'Cumulative 40yr Model'!G8+'Cumulative 40yr Model'!G16,(G12-G15)/'Main Variables'!$B$25/'Main Variables'!$B$23/10^6,'Main Variables'!$B$11*'Main Variables'!$B$13*'Main Variables'!$B$12-'Cumulative 40yr Model'!G8+'Cumulative 40yr Model'!G16),0)</f>
        <v>586.8828067842079</v>
      </c>
      <c r="H17" s="10">
        <f ca="1">MAX(MIN(SUM($C$30:$C$39)/'Main Variables'!$B$23*1000/'Main Variables'!$B$24-'Cumulative 40yr Model'!H8+'Cumulative 40yr Model'!H16,(H12-H15)/'Main Variables'!$B$25/'Main Variables'!$B$23/10^6,'Main Variables'!$B$11*'Main Variables'!$B$13*'Main Variables'!$B$12-'Cumulative 40yr Model'!H8+'Cumulative 40yr Model'!H16),0)</f>
        <v>637.70814583115032</v>
      </c>
      <c r="I17" s="10">
        <f ca="1">MAX(MIN(SUM($C$30:$C$39)/'Main Variables'!$B$23*1000/'Main Variables'!$B$24-'Cumulative 40yr Model'!I8+'Cumulative 40yr Model'!I16,(I12-I15)/'Main Variables'!$B$25/'Main Variables'!$B$23/10^6,'Main Variables'!$B$11*'Main Variables'!$B$13*'Main Variables'!$B$12-'Cumulative 40yr Model'!I8+'Cumulative 40yr Model'!I16),0)</f>
        <v>697.90578993935833</v>
      </c>
      <c r="J17" s="10">
        <f ca="1">MAX(MIN(SUM($C$30:$C$39)/'Main Variables'!$B$23*1000/'Main Variables'!$B$24-'Cumulative 40yr Model'!J8+'Cumulative 40yr Model'!J16,(J12-J15)/'Main Variables'!$B$25/'Main Variables'!$B$23/10^6,'Main Variables'!$B$11*'Main Variables'!$B$13*'Main Variables'!$B$12-'Cumulative 40yr Model'!J8+'Cumulative 40yr Model'!J16),0)</f>
        <v>761.6363831800835</v>
      </c>
      <c r="K17" s="10">
        <f ca="1">MAX(MIN(SUM($C$30:$C$39)/'Main Variables'!$B$23*1000/'Main Variables'!$B$24-'Cumulative 40yr Model'!K8+'Cumulative 40yr Model'!K16,(K12-K15)/'Main Variables'!$B$25/'Main Variables'!$B$23/10^6,'Main Variables'!$B$11*'Main Variables'!$B$13*'Main Variables'!$B$12-'Cumulative 40yr Model'!K8+'Cumulative 40yr Model'!K16),0)</f>
        <v>830.61428922278878</v>
      </c>
      <c r="L17" s="10">
        <f ca="1">MAX(MIN(SUM($C$30:$C$39)/'Main Variables'!$B$23*1000/'Main Variables'!$B$24-'Cumulative 40yr Model'!L8+'Cumulative 40yr Model'!L16,(L12-L15)/'Main Variables'!$B$25/'Main Variables'!$B$23/10^6,'Main Variables'!$B$11*'Main Variables'!$B$13*'Main Variables'!$B$12-'Cumulative 40yr Model'!L8+'Cumulative 40yr Model'!L16),0)</f>
        <v>904.90601931765934</v>
      </c>
      <c r="M17" s="10">
        <f ca="1">MAX(MIN(SUM($C$30:$C$39)/'Main Variables'!$B$23*1000/'Main Variables'!$B$24-'Cumulative 40yr Model'!M8+'Cumulative 40yr Model'!M16,(M12-M15)/'Main Variables'!$B$25/'Main Variables'!$B$23/10^6,'Main Variables'!$B$11*'Main Variables'!$B$13*'Main Variables'!$B$12-'Cumulative 40yr Model'!M8+'Cumulative 40yr Model'!M16),0)</f>
        <v>984.97668642031738</v>
      </c>
      <c r="N17" s="10">
        <f ca="1">MAX(MIN(SUM($C$30:$C$39)/'Main Variables'!$B$23*1000/'Main Variables'!$B$24-'Cumulative 40yr Model'!N8+'Cumulative 40yr Model'!N16,(N12-N15)/'Main Variables'!$B$25/'Main Variables'!$B$23/10^6,'Main Variables'!$B$11*'Main Variables'!$B$13*'Main Variables'!$B$12-'Cumulative 40yr Model'!N8+'Cumulative 40yr Model'!N16),0)</f>
        <v>1071.237696711371</v>
      </c>
      <c r="O17" s="10">
        <f ca="1">MAX(MIN(SUM($C$30:$C$39)/'Main Variables'!$B$23*1000/'Main Variables'!$B$24-'Cumulative 40yr Model'!O8+'Cumulative 40yr Model'!O16,(O12-O15)/'Main Variables'!$B$25/'Main Variables'!$B$23/10^6,'Main Variables'!$B$11*'Main Variables'!$B$13*'Main Variables'!$B$12-'Cumulative 40yr Model'!O8+'Cumulative 40yr Model'!O16),0)</f>
        <v>1164.1497473216762</v>
      </c>
      <c r="P17" s="10">
        <f ca="1">MAX(MIN(SUM($C$30:$C$39)/'Main Variables'!$B$23*1000/'Main Variables'!$B$24-'Cumulative 40yr Model'!P8+'Cumulative 40yr Model'!P16,(P12-P15)/'Main Variables'!$B$25/'Main Variables'!$B$23/10^6,'Main Variables'!$B$11*'Main Variables'!$B$13*'Main Variables'!$B$12-'Cumulative 40yr Model'!P8+'Cumulative 40yr Model'!P16),0)</f>
        <v>1264.2026346315047</v>
      </c>
      <c r="Q17" s="10">
        <f ca="1">MAX(MIN(SUM($C$30:$C$39)/'Main Variables'!$B$23*1000/'Main Variables'!$B$24-'Cumulative 40yr Model'!Q8+'Cumulative 40yr Model'!Q16,(Q12-Q15)/'Main Variables'!$B$25/'Main Variables'!$B$23/10^6,'Main Variables'!$B$11*'Main Variables'!$B$13*'Main Variables'!$B$12-'Cumulative 40yr Model'!Q8+'Cumulative 40yr Model'!Q16),0)</f>
        <v>1371.9226241621204</v>
      </c>
      <c r="R17" s="10">
        <f ca="1">MAX(MIN(SUM($C$30:$C$39)/'Main Variables'!$B$23*1000/'Main Variables'!$B$24-'Cumulative 40yr Model'!R8+'Cumulative 40yr Model'!R16,(R12-R15)/'Main Variables'!$B$25/'Main Variables'!$B$23/10^6,'Main Variables'!$B$11*'Main Variables'!$B$13*'Main Variables'!$B$12-'Cumulative 40yr Model'!R8+'Cumulative 40yr Model'!R16),0)</f>
        <v>1487.8739042877985</v>
      </c>
      <c r="S17" s="10">
        <f ca="1">MAX(MIN(SUM($C$30:$C$39)/'Main Variables'!$B$23*1000/'Main Variables'!$B$24-'Cumulative 40yr Model'!S8+'Cumulative 40yr Model'!S16,(S12-S15)/'Main Variables'!$B$25/'Main Variables'!$B$23/10^6,'Main Variables'!$B$11*'Main Variables'!$B$13*'Main Variables'!$B$12-'Cumulative 40yr Model'!S8+'Cumulative 40yr Model'!S16),0)</f>
        <v>1612.6615762082363</v>
      </c>
      <c r="T17" s="10">
        <f ca="1">MAX(MIN(SUM($C$30:$C$39)/'Main Variables'!$B$23*1000/'Main Variables'!$B$24-'Cumulative 40yr Model'!T8+'Cumulative 40yr Model'!T16,(T12-T15)/'Main Variables'!$B$25/'Main Variables'!$B$23/10^6,'Main Variables'!$B$11*'Main Variables'!$B$13*'Main Variables'!$B$12-'Cumulative 40yr Model'!T8+'Cumulative 40yr Model'!T16),0)</f>
        <v>1746.9345404179851</v>
      </c>
      <c r="U17" s="10">
        <f ca="1">MAX(MIN(SUM($C$30:$C$39)/'Main Variables'!$B$23*1000/'Main Variables'!$B$24-'Cumulative 40yr Model'!U8+'Cumulative 40yr Model'!U16,(U12-U15)/'Main Variables'!$B$25/'Main Variables'!$B$23/10^6,'Main Variables'!$B$11*'Main Variables'!$B$13*'Main Variables'!$B$12-'Cumulative 40yr Model'!U8+'Cumulative 40yr Model'!U16),0)</f>
        <v>1891.3886610203642</v>
      </c>
      <c r="V17" s="10">
        <f ca="1">MAX(MIN(SUM($C$30:$C$39)/'Main Variables'!$B$23*1000/'Main Variables'!$B$24-'Cumulative 40yr Model'!V8+'Cumulative 40yr Model'!V16,(V12-V15)/'Main Variables'!$B$25/'Main Variables'!$B$23/10^6,'Main Variables'!$B$11*'Main Variables'!$B$13*'Main Variables'!$B$12-'Cumulative 40yr Model'!V8+'Cumulative 40yr Model'!V16),0)</f>
        <v>2046.770141434758</v>
      </c>
      <c r="W17" s="10">
        <f ca="1">MAX(MIN(SUM($C$30:$C$39)/'Main Variables'!$B$23*1000/'Main Variables'!$B$24-'Cumulative 40yr Model'!W8+'Cumulative 40yr Model'!W16,(W12-W15)/'Main Variables'!$B$25/'Main Variables'!$B$23/10^6,'Main Variables'!$B$11*'Main Variables'!$B$13*'Main Variables'!$B$12-'Cumulative 40yr Model'!W8+'Cumulative 40yr Model'!W16),0)</f>
        <v>2213.8791458406404</v>
      </c>
      <c r="X17" s="10">
        <f ca="1">MAX(MIN(SUM($C$30:$C$39)/'Main Variables'!$B$23*1000/'Main Variables'!$B$24-'Cumulative 40yr Model'!X8+'Cumulative 40yr Model'!X16,(X12-X15)/'Main Variables'!$B$25/'Main Variables'!$B$23/10^6,'Main Variables'!$B$11*'Main Variables'!$B$13*'Main Variables'!$B$12-'Cumulative 40yr Model'!X8+'Cumulative 40yr Model'!X16),0)</f>
        <v>2464.8466241117744</v>
      </c>
      <c r="Y17" s="10">
        <f ca="1">MAX(MIN(SUM($C$30:$C$39)/'Main Variables'!$B$23*1000/'Main Variables'!$B$24-'Cumulative 40yr Model'!Y8+'Cumulative 40yr Model'!Y16,(Y12-Y15)/'Main Variables'!$B$25/'Main Variables'!$B$23/10^6,'Main Variables'!$B$11*'Main Variables'!$B$13*'Main Variables'!$B$12-'Cumulative 40yr Model'!Y8+'Cumulative 40yr Model'!Y16),0)</f>
        <v>2612.0570605153989</v>
      </c>
      <c r="Z17" s="10">
        <f ca="1">MAX(MIN(SUM($C$30:$C$39)/'Main Variables'!$B$23*1000/'Main Variables'!$B$24-'Cumulative 40yr Model'!Z8+'Cumulative 40yr Model'!Z16,(Z12-Z15)/'Main Variables'!$B$25/'Main Variables'!$B$23/10^6,'Main Variables'!$B$11*'Main Variables'!$B$13*'Main Variables'!$B$12-'Cumulative 40yr Model'!Z8+'Cumulative 40yr Model'!Z16),0)</f>
        <v>2715.0233666385775</v>
      </c>
      <c r="AA17" s="10">
        <f ca="1">MAX(MIN(SUM($C$30:$C$39)/'Main Variables'!$B$23*1000/'Main Variables'!$B$24-'Cumulative 40yr Model'!AA8+'Cumulative 40yr Model'!AA16,(AA12-AA15)/'Main Variables'!$B$25/'Main Variables'!$B$23/10^6,'Main Variables'!$B$11*'Main Variables'!$B$13*'Main Variables'!$B$12-'Cumulative 40yr Model'!AA8+'Cumulative 40yr Model'!AA16),0)</f>
        <v>1711.829962786429</v>
      </c>
      <c r="AB17" s="10">
        <f ca="1">MAX(MIN(SUM($C$30:$C$39)/'Main Variables'!$B$23*1000/'Main Variables'!$B$24-'Cumulative 40yr Model'!AB8+'Cumulative 40yr Model'!AB16,(AB12-AB15)/'Main Variables'!$B$25/'Main Variables'!$B$23/10^6,'Main Variables'!$B$11*'Main Variables'!$B$13*'Main Variables'!$B$12-'Cumulative 40yr Model'!AB8+'Cumulative 40yr Model'!AB16),0)</f>
        <v>637.70814583115032</v>
      </c>
      <c r="AC17" s="10">
        <f ca="1">MAX(MIN(SUM($C$30:$C$39)/'Main Variables'!$B$23*1000/'Main Variables'!$B$24-'Cumulative 40yr Model'!AC8+'Cumulative 40yr Model'!AC16,(AC12-AC15)/'Main Variables'!$B$25/'Main Variables'!$B$23/10^6,'Main Variables'!$B$11*'Main Variables'!$B$13*'Main Variables'!$B$12-'Cumulative 40yr Model'!AC8+'Cumulative 40yr Model'!AC16),0)</f>
        <v>697.90578993935833</v>
      </c>
      <c r="AD17" s="10">
        <f ca="1">MAX(MIN(SUM($C$30:$C$39)/'Main Variables'!$B$23*1000/'Main Variables'!$B$24-'Cumulative 40yr Model'!AD8+'Cumulative 40yr Model'!AD16,(AD12-AD15)/'Main Variables'!$B$25/'Main Variables'!$B$23/10^6,'Main Variables'!$B$11*'Main Variables'!$B$13*'Main Variables'!$B$12-'Cumulative 40yr Model'!AD8+'Cumulative 40yr Model'!AD16),0)</f>
        <v>761.6363831800835</v>
      </c>
      <c r="AE17" s="10">
        <f ca="1">MAX(MIN(SUM($C$30:$C$39)/'Main Variables'!$B$23*1000/'Main Variables'!$B$24-'Cumulative 40yr Model'!AE8+'Cumulative 40yr Model'!AE16,(AE12-AE15)/'Main Variables'!$B$25/'Main Variables'!$B$23/10^6,'Main Variables'!$B$11*'Main Variables'!$B$13*'Main Variables'!$B$12-'Cumulative 40yr Model'!AE8+'Cumulative 40yr Model'!AE16),0)</f>
        <v>830.61428922278878</v>
      </c>
      <c r="AF17" s="10">
        <f ca="1">MAX(MIN(SUM($C$30:$C$39)/'Main Variables'!$B$23*1000/'Main Variables'!$B$24-'Cumulative 40yr Model'!AF8+'Cumulative 40yr Model'!AF16,(AF12-AF15)/'Main Variables'!$B$25/'Main Variables'!$B$23/10^6,'Main Variables'!$B$11*'Main Variables'!$B$13*'Main Variables'!$B$12-'Cumulative 40yr Model'!AF8+'Cumulative 40yr Model'!AF16),0)</f>
        <v>904.90601931765934</v>
      </c>
      <c r="AG17" s="10">
        <f ca="1">MAX(MIN(SUM($C$30:$C$39)/'Main Variables'!$B$23*1000/'Main Variables'!$B$24-'Cumulative 40yr Model'!AG8+'Cumulative 40yr Model'!AG16,(AG12-AG15)/'Main Variables'!$B$25/'Main Variables'!$B$23/10^6,'Main Variables'!$B$11*'Main Variables'!$B$13*'Main Variables'!$B$12-'Cumulative 40yr Model'!AG8+'Cumulative 40yr Model'!AG16),0)</f>
        <v>984.97668642031738</v>
      </c>
      <c r="AH17" s="10">
        <f ca="1">MAX(MIN(SUM($C$30:$C$39)/'Main Variables'!$B$23*1000/'Main Variables'!$B$24-'Cumulative 40yr Model'!AH8+'Cumulative 40yr Model'!AH16,(AH12-AH15)/'Main Variables'!$B$25/'Main Variables'!$B$23/10^6,'Main Variables'!$B$11*'Main Variables'!$B$13*'Main Variables'!$B$12-'Cumulative 40yr Model'!AH8+'Cumulative 40yr Model'!AH16),0)</f>
        <v>1071.237696711371</v>
      </c>
      <c r="AI17" s="10">
        <f ca="1">MAX(MIN(SUM($C$30:$C$39)/'Main Variables'!$B$23*1000/'Main Variables'!$B$24-'Cumulative 40yr Model'!AI8+'Cumulative 40yr Model'!AI16,(AI12-AI15)/'Main Variables'!$B$25/'Main Variables'!$B$23/10^6,'Main Variables'!$B$11*'Main Variables'!$B$13*'Main Variables'!$B$12-'Cumulative 40yr Model'!AI8+'Cumulative 40yr Model'!AI16),0)</f>
        <v>1164.1497473216762</v>
      </c>
      <c r="AJ17" s="10">
        <f ca="1">MAX(MIN(SUM($C$30:$C$39)/'Main Variables'!$B$23*1000/'Main Variables'!$B$24-'Cumulative 40yr Model'!AJ8+'Cumulative 40yr Model'!AJ16,(AJ12-AJ15)/'Main Variables'!$B$25/'Main Variables'!$B$23/10^6,'Main Variables'!$B$11*'Main Variables'!$B$13*'Main Variables'!$B$12-'Cumulative 40yr Model'!AJ8+'Cumulative 40yr Model'!AJ16),0)</f>
        <v>1264.2026346315047</v>
      </c>
      <c r="AK17" s="10">
        <f ca="1">MAX(MIN(SUM($C$30:$C$39)/'Main Variables'!$B$23*1000/'Main Variables'!$B$24-'Cumulative 40yr Model'!AK8+'Cumulative 40yr Model'!AK16,(AK12-AK15)/'Main Variables'!$B$25/'Main Variables'!$B$23/10^6,'Main Variables'!$B$11*'Main Variables'!$B$13*'Main Variables'!$B$12-'Cumulative 40yr Model'!AK8+'Cumulative 40yr Model'!AK16),0)</f>
        <v>1371.9226241621204</v>
      </c>
      <c r="AL17" s="10">
        <f ca="1">MAX(MIN(SUM($C$30:$C$39)/'Main Variables'!$B$23*1000/'Main Variables'!$B$24-'Cumulative 40yr Model'!AL8+'Cumulative 40yr Model'!AL16,(AL12-AL15)/'Main Variables'!$B$25/'Main Variables'!$B$23/10^6,'Main Variables'!$B$11*'Main Variables'!$B$13*'Main Variables'!$B$12-'Cumulative 40yr Model'!AL8+'Cumulative 40yr Model'!AL16),0)</f>
        <v>1487.8739042877985</v>
      </c>
      <c r="AM17" s="10">
        <f ca="1">MAX(MIN(SUM($C$30:$C$39)/'Main Variables'!$B$23*1000/'Main Variables'!$B$24-'Cumulative 40yr Model'!AM8+'Cumulative 40yr Model'!AM16,(AM12-AM15)/'Main Variables'!$B$25/'Main Variables'!$B$23/10^6,'Main Variables'!$B$11*'Main Variables'!$B$13*'Main Variables'!$B$12-'Cumulative 40yr Model'!AM8+'Cumulative 40yr Model'!AM16),0)</f>
        <v>1612.6615762082363</v>
      </c>
      <c r="AN17" s="10">
        <f ca="1">MAX(MIN(SUM($C$30:$C$39)/'Main Variables'!$B$23*1000/'Main Variables'!$B$24-'Cumulative 40yr Model'!AN8+'Cumulative 40yr Model'!AN16,(AN12-AN15)/'Main Variables'!$B$25/'Main Variables'!$B$23/10^6,'Main Variables'!$B$11*'Main Variables'!$B$13*'Main Variables'!$B$12-'Cumulative 40yr Model'!AN8+'Cumulative 40yr Model'!AN16),0)</f>
        <v>1746.9345404179851</v>
      </c>
      <c r="AO17" s="10">
        <f ca="1">MAX(MIN(SUM($C$30:$C$39)/'Main Variables'!$B$23*1000/'Main Variables'!$B$24-'Cumulative 40yr Model'!AO8+'Cumulative 40yr Model'!AO16,(AO12-AO15)/'Main Variables'!$B$25/'Main Variables'!$B$23/10^6,'Main Variables'!$B$11*'Main Variables'!$B$13*'Main Variables'!$B$12-'Cumulative 40yr Model'!AO8+'Cumulative 40yr Model'!AO16),0)</f>
        <v>1891.3886610203642</v>
      </c>
      <c r="AP17" s="10">
        <f ca="1">MAX(MIN(SUM($C$30:$C$39)/'Main Variables'!$B$23*1000/'Main Variables'!$B$24-'Cumulative 40yr Model'!AP8+'Cumulative 40yr Model'!AP16,(AP12-AP15)/'Main Variables'!$B$25/'Main Variables'!$B$23/10^6,'Main Variables'!$B$11*'Main Variables'!$B$13*'Main Variables'!$B$12-'Cumulative 40yr Model'!AP8+'Cumulative 40yr Model'!AP16),0)</f>
        <v>2046.770141434758</v>
      </c>
      <c r="AQ17" s="62">
        <f ca="1">MAX(MIN(SUM($C$30:$C$39)/'Main Variables'!$B$23*1000/'Main Variables'!$B$24-'Cumulative 40yr Model'!AQ8+'Cumulative 40yr Model'!AQ16,(AQ12-AQ15)/'Main Variables'!$B$25/'Main Variables'!$B$23/10^6,'Main Variables'!$B$11*'Main Variables'!$B$13*'Main Variables'!$B$12-'Cumulative 40yr Model'!AQ8+'Cumulative 40yr Model'!AQ16),0)</f>
        <v>2213.8791458406404</v>
      </c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</row>
    <row r="18" spans="1:59" x14ac:dyDescent="0.25">
      <c r="B18" s="55" t="s">
        <v>173</v>
      </c>
      <c r="C18" s="108">
        <f>(C17-C16)*'Main Variables'!$B$23*'Main Variables'!$B$25*10^6/10^9</f>
        <v>4.7347999999999999</v>
      </c>
      <c r="D18" s="108">
        <f ca="1">(D17-D16)*'Main Variables'!$B$23*'Main Variables'!$B$25*10^6/10^9</f>
        <v>5.1461636799999999</v>
      </c>
      <c r="E18" s="108">
        <f ca="1">(E17-E16)*'Main Variables'!$B$23*'Main Variables'!$B$25*10^6/10^9</f>
        <v>4.9079761963664001</v>
      </c>
      <c r="F18" s="108">
        <f ca="1">(F17-F16)*'Main Variables'!$B$23*'Main Variables'!$B$25*10^6/10^9</f>
        <v>5.4461858845488313</v>
      </c>
      <c r="G18" s="108">
        <f ca="1">(G17-G16)*'Main Variables'!$B$23*'Main Variables'!$B$25*10^6/10^9</f>
        <v>5.8688280678420792</v>
      </c>
      <c r="H18" s="108">
        <f ca="1">(H17-H16)*'Main Variables'!$B$23*'Main Variables'!$B$25*10^6/10^9</f>
        <v>6.377081458311503</v>
      </c>
      <c r="I18" s="108">
        <f ca="1">(I17-I16)*'Main Variables'!$B$23*'Main Variables'!$B$25*10^6/10^9</f>
        <v>6.9790578993935837</v>
      </c>
      <c r="J18" s="108">
        <f ca="1">(J17-J16)*'Main Variables'!$B$23*'Main Variables'!$B$25*10^6/10^9</f>
        <v>7.616363831800836</v>
      </c>
      <c r="K18" s="108">
        <f ca="1">(K17-K16)*'Main Variables'!$B$23*'Main Variables'!$B$25*10^6/10^9</f>
        <v>8.3061428922278875</v>
      </c>
      <c r="L18" s="108">
        <f ca="1">(L17-L16)*'Main Variables'!$B$23*'Main Variables'!$B$25*10^6/10^9</f>
        <v>9.0490601931765937</v>
      </c>
      <c r="M18" s="108">
        <f ca="1">(M17-M16)*'Main Variables'!$B$23*'Main Variables'!$B$25*10^6/10^9</f>
        <v>9.8497668642031719</v>
      </c>
      <c r="N18" s="108">
        <f ca="1">(N17-N16)*'Main Variables'!$B$23*'Main Variables'!$B$25*10^6/10^9</f>
        <v>10.712376967113709</v>
      </c>
      <c r="O18" s="108">
        <f ca="1">(O17-O16)*'Main Variables'!$B$23*'Main Variables'!$B$25*10^6/10^9</f>
        <v>11.641497473216761</v>
      </c>
      <c r="P18" s="108">
        <f ca="1">(P17-P16)*'Main Variables'!$B$23*'Main Variables'!$B$25*10^6/10^9</f>
        <v>12.642026346315049</v>
      </c>
      <c r="Q18" s="108">
        <f ca="1">(Q17-Q16)*'Main Variables'!$B$23*'Main Variables'!$B$25*10^6/10^9</f>
        <v>13.719226241621202</v>
      </c>
      <c r="R18" s="108">
        <f ca="1">(R17-R16)*'Main Variables'!$B$23*'Main Variables'!$B$25*10^6/10^9</f>
        <v>14.878739042877985</v>
      </c>
      <c r="S18" s="108">
        <f ca="1">(S17-S16)*'Main Variables'!$B$23*'Main Variables'!$B$25*10^6/10^9</f>
        <v>16.126615762082363</v>
      </c>
      <c r="T18" s="108">
        <f ca="1">(T17-T16)*'Main Variables'!$B$23*'Main Variables'!$B$25*10^6/10^9</f>
        <v>17.469345404179851</v>
      </c>
      <c r="U18" s="108">
        <f ca="1">(U17-U16)*'Main Variables'!$B$23*'Main Variables'!$B$25*10^6/10^9</f>
        <v>18.91388661020364</v>
      </c>
      <c r="V18" s="108">
        <f ca="1">(V17-V16)*'Main Variables'!$B$23*'Main Variables'!$B$25*10^6/10^9</f>
        <v>20.46770141434758</v>
      </c>
      <c r="W18" s="108">
        <f ca="1">(W17-W16)*'Main Variables'!$B$23*'Main Variables'!$B$25*10^6/10^9</f>
        <v>17.403991458406402</v>
      </c>
      <c r="X18" s="108">
        <f ca="1">(X17-X16)*'Main Variables'!$B$23*'Main Variables'!$B$25*10^6/10^9</f>
        <v>19.502302561117745</v>
      </c>
      <c r="Y18" s="108">
        <f ca="1">(Y17-Y16)*'Main Variables'!$B$23*'Main Variables'!$B$25*10^6/10^9</f>
        <v>21.212594408787592</v>
      </c>
      <c r="Z18" s="108">
        <f ca="1">(Z17-Z16)*'Main Variables'!$B$23*'Main Variables'!$B$25*10^6/10^9</f>
        <v>21.704047781836945</v>
      </c>
      <c r="AA18" s="108">
        <f ca="1">(AA17-AA16)*'Main Variables'!$B$23*'Main Variables'!$B$25*10^6/10^9</f>
        <v>11.249471560022211</v>
      </c>
      <c r="AB18" s="108">
        <f ca="1">(AB17-AB16)*'Main Variables'!$B$23*'Main Variables'!$B$25*10^6/10^9</f>
        <v>0</v>
      </c>
      <c r="AC18" s="108">
        <f ca="1">(AC17-AC16)*'Main Variables'!$B$23*'Main Variables'!$B$25*10^6/10^9</f>
        <v>0</v>
      </c>
      <c r="AD18" s="108">
        <f ca="1">(AD17-AD16)*'Main Variables'!$B$23*'Main Variables'!$B$25*10^6/10^9</f>
        <v>0</v>
      </c>
      <c r="AE18" s="108">
        <f ca="1">(AE17-AE16)*'Main Variables'!$B$23*'Main Variables'!$B$25*10^6/10^9</f>
        <v>0</v>
      </c>
      <c r="AF18" s="108">
        <f ca="1">(AF17-AF16)*'Main Variables'!$B$23*'Main Variables'!$B$25*10^6/10^9</f>
        <v>0</v>
      </c>
      <c r="AG18" s="108">
        <f ca="1">(AG17-AG16)*'Main Variables'!$B$23*'Main Variables'!$B$25*10^6/10^9</f>
        <v>0</v>
      </c>
      <c r="AH18" s="108">
        <f ca="1">(AH17-AH16)*'Main Variables'!$B$23*'Main Variables'!$B$25*10^6/10^9</f>
        <v>0</v>
      </c>
      <c r="AI18" s="108">
        <f ca="1">(AI17-AI16)*'Main Variables'!$B$23*'Main Variables'!$B$25*10^6/10^9</f>
        <v>0</v>
      </c>
      <c r="AJ18" s="108">
        <f ca="1">(AJ17-AJ16)*'Main Variables'!$B$23*'Main Variables'!$B$25*10^6/10^9</f>
        <v>0</v>
      </c>
      <c r="AK18" s="108">
        <f ca="1">(AK17-AK16)*'Main Variables'!$B$23*'Main Variables'!$B$25*10^6/10^9</f>
        <v>0</v>
      </c>
      <c r="AL18" s="108">
        <f ca="1">(AL17-AL16)*'Main Variables'!$B$23*'Main Variables'!$B$25*10^6/10^9</f>
        <v>0</v>
      </c>
      <c r="AM18" s="108">
        <f ca="1">(AM17-AM16)*'Main Variables'!$B$23*'Main Variables'!$B$25*10^6/10^9</f>
        <v>0</v>
      </c>
      <c r="AN18" s="108">
        <f ca="1">(AN17-AN16)*'Main Variables'!$B$23*'Main Variables'!$B$25*10^6/10^9</f>
        <v>0</v>
      </c>
      <c r="AO18" s="108">
        <f ca="1">(AO17-AO16)*'Main Variables'!$B$23*'Main Variables'!$B$25*10^6/10^9</f>
        <v>0</v>
      </c>
      <c r="AP18" s="108">
        <f ca="1">(AP17-AP16)*'Main Variables'!$B$23*'Main Variables'!$B$25*10^6/10^9</f>
        <v>0</v>
      </c>
      <c r="AQ18" s="120">
        <f ca="1">(AQ17-AQ16)*'Main Variables'!$B$23*'Main Variables'!$B$25*10^6/10^9</f>
        <v>0</v>
      </c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</row>
    <row r="19" spans="1:59" x14ac:dyDescent="0.25">
      <c r="B19" s="55" t="s">
        <v>174</v>
      </c>
      <c r="C19" s="108">
        <f>C16*10^6*'Main Variables'!$B$25*'Main Variables'!$B$23/10^9</f>
        <v>0</v>
      </c>
      <c r="D19" s="108">
        <f ca="1">D16*10^6*'Main Variables'!$B$25*'Main Variables'!$B$23/10^9</f>
        <v>0</v>
      </c>
      <c r="E19" s="108">
        <f ca="1">E16*10^6*'Main Variables'!$B$25*'Main Variables'!$B$23/10^9</f>
        <v>0</v>
      </c>
      <c r="F19" s="108">
        <f ca="1">F16*10^6*'Main Variables'!$B$25*'Main Variables'!$B$23/10^9</f>
        <v>0</v>
      </c>
      <c r="G19" s="108">
        <f ca="1">G16*10^6*'Main Variables'!$B$25*'Main Variables'!$B$23/10^9</f>
        <v>0</v>
      </c>
      <c r="H19" s="108">
        <f ca="1">H16*10^6*'Main Variables'!$B$25*'Main Variables'!$B$23/10^9</f>
        <v>0</v>
      </c>
      <c r="I19" s="108">
        <f ca="1">I16*10^6*'Main Variables'!$B$25*'Main Variables'!$B$23/10^9</f>
        <v>0</v>
      </c>
      <c r="J19" s="108">
        <f ca="1">J16*10^6*'Main Variables'!$B$25*'Main Variables'!$B$23/10^9</f>
        <v>0</v>
      </c>
      <c r="K19" s="108">
        <f ca="1">K16*10^6*'Main Variables'!$B$25*'Main Variables'!$B$23/10^9</f>
        <v>0</v>
      </c>
      <c r="L19" s="108">
        <f ca="1">L16*10^6*'Main Variables'!$B$25*'Main Variables'!$B$23/10^9</f>
        <v>0</v>
      </c>
      <c r="M19" s="108">
        <f ca="1">M16*10^6*'Main Variables'!$B$25*'Main Variables'!$B$23/10^9</f>
        <v>0</v>
      </c>
      <c r="N19" s="108">
        <f ca="1">N16*10^6*'Main Variables'!$B$25*'Main Variables'!$B$23/10^9</f>
        <v>0</v>
      </c>
      <c r="O19" s="108">
        <f ca="1">O16*10^6*'Main Variables'!$B$25*'Main Variables'!$B$23/10^9</f>
        <v>0</v>
      </c>
      <c r="P19" s="108">
        <f ca="1">P16*10^6*'Main Variables'!$B$25*'Main Variables'!$B$23/10^9</f>
        <v>0</v>
      </c>
      <c r="Q19" s="108">
        <f ca="1">Q16*10^6*'Main Variables'!$B$25*'Main Variables'!$B$23/10^9</f>
        <v>0</v>
      </c>
      <c r="R19" s="108">
        <f ca="1">R16*10^6*'Main Variables'!$B$25*'Main Variables'!$B$23/10^9</f>
        <v>0</v>
      </c>
      <c r="S19" s="108">
        <f ca="1">S16*10^6*'Main Variables'!$B$25*'Main Variables'!$B$23/10^9</f>
        <v>0</v>
      </c>
      <c r="T19" s="108">
        <f ca="1">T16*10^6*'Main Variables'!$B$25*'Main Variables'!$B$23/10^9</f>
        <v>0</v>
      </c>
      <c r="U19" s="108">
        <f ca="1">U16*10^6*'Main Variables'!$B$25*'Main Variables'!$B$23/10^9</f>
        <v>0</v>
      </c>
      <c r="V19" s="108">
        <f ca="1">V16*10^6*'Main Variables'!$B$25*'Main Variables'!$B$23/10^9</f>
        <v>0</v>
      </c>
      <c r="W19" s="108">
        <f ca="1">W16*10^6*'Main Variables'!$B$25*'Main Variables'!$B$23/10^9</f>
        <v>4.7347999999999999</v>
      </c>
      <c r="X19" s="108">
        <f ca="1">X16*10^6*'Main Variables'!$B$25*'Main Variables'!$B$23/10^9</f>
        <v>5.146163679999999</v>
      </c>
      <c r="Y19" s="108">
        <f ca="1">Y16*10^6*'Main Variables'!$B$25*'Main Variables'!$B$23/10^9</f>
        <v>4.9079761963664001</v>
      </c>
      <c r="Z19" s="108">
        <f ca="1">Z16*10^6*'Main Variables'!$B$25*'Main Variables'!$B$23/10^9</f>
        <v>5.4461858845488313</v>
      </c>
      <c r="AA19" s="108">
        <f ca="1">AA16*10^6*'Main Variables'!$B$25*'Main Variables'!$B$23/10^9</f>
        <v>5.8688280678420792</v>
      </c>
      <c r="AB19" s="108">
        <f ca="1">AB16*10^6*'Main Variables'!$B$25*'Main Variables'!$B$23/10^9</f>
        <v>6.3770814583115021</v>
      </c>
      <c r="AC19" s="108">
        <f ca="1">AC16*10^6*'Main Variables'!$B$25*'Main Variables'!$B$23/10^9</f>
        <v>6.9790578993935837</v>
      </c>
      <c r="AD19" s="108">
        <f ca="1">AD16*10^6*'Main Variables'!$B$25*'Main Variables'!$B$23/10^9</f>
        <v>7.6163638318008351</v>
      </c>
      <c r="AE19" s="108">
        <f ca="1">AE16*10^6*'Main Variables'!$B$25*'Main Variables'!$B$23/10^9</f>
        <v>8.3061428922278875</v>
      </c>
      <c r="AF19" s="108">
        <f ca="1">AF16*10^6*'Main Variables'!$B$25*'Main Variables'!$B$23/10^9</f>
        <v>9.0490601931765937</v>
      </c>
      <c r="AG19" s="108">
        <f ca="1">AG16*10^6*'Main Variables'!$B$25*'Main Variables'!$B$23/10^9</f>
        <v>9.8497668642031737</v>
      </c>
      <c r="AH19" s="108">
        <f ca="1">AH16*10^6*'Main Variables'!$B$25*'Main Variables'!$B$23/10^9</f>
        <v>10.712376967113709</v>
      </c>
      <c r="AI19" s="108">
        <f ca="1">AI16*10^6*'Main Variables'!$B$25*'Main Variables'!$B$23/10^9</f>
        <v>11.641497473216763</v>
      </c>
      <c r="AJ19" s="108">
        <f ca="1">AJ16*10^6*'Main Variables'!$B$25*'Main Variables'!$B$23/10^9</f>
        <v>12.642026346315049</v>
      </c>
      <c r="AK19" s="108">
        <f ca="1">AK16*10^6*'Main Variables'!$B$25*'Main Variables'!$B$23/10^9</f>
        <v>13.719226241621204</v>
      </c>
      <c r="AL19" s="108">
        <f ca="1">AL16*10^6*'Main Variables'!$B$25*'Main Variables'!$B$23/10^9</f>
        <v>14.878739042877983</v>
      </c>
      <c r="AM19" s="108">
        <f ca="1">AM16*10^6*'Main Variables'!$B$25*'Main Variables'!$B$23/10^9</f>
        <v>16.126615762082363</v>
      </c>
      <c r="AN19" s="108">
        <f ca="1">AN16*10^6*'Main Variables'!$B$25*'Main Variables'!$B$23/10^9</f>
        <v>17.469345404179851</v>
      </c>
      <c r="AO19" s="108">
        <f ca="1">AO16*10^6*'Main Variables'!$B$25*'Main Variables'!$B$23/10^9</f>
        <v>18.913886610203644</v>
      </c>
      <c r="AP19" s="108">
        <f ca="1">AP16*10^6*'Main Variables'!$B$25*'Main Variables'!$B$23/10^9</f>
        <v>20.46770141434758</v>
      </c>
      <c r="AQ19" s="120">
        <f ca="1">AQ16*10^6*'Main Variables'!$B$25*'Main Variables'!$B$23/10^9</f>
        <v>22.138791458406406</v>
      </c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</row>
    <row r="20" spans="1:59" x14ac:dyDescent="0.25">
      <c r="B20" s="55" t="s">
        <v>175</v>
      </c>
      <c r="C20" s="108">
        <f>C15/10^9</f>
        <v>0</v>
      </c>
      <c r="D20" s="108">
        <f>D15/10^9</f>
        <v>0.14521206</v>
      </c>
      <c r="E20" s="108">
        <f ca="1">E15/10^9</f>
        <v>0.98025149381760046</v>
      </c>
      <c r="F20" s="108">
        <f t="shared" ref="F20:AQ20" ca="1" si="9">F15/10^9</f>
        <v>1.0224296012270482</v>
      </c>
      <c r="G20" s="108">
        <f t="shared" ca="1" si="9"/>
        <v>1.2318163061140499</v>
      </c>
      <c r="H20" s="108">
        <f t="shared" ca="1" si="9"/>
        <v>1.3972505863918423</v>
      </c>
      <c r="I20" s="108">
        <f t="shared" ca="1" si="9"/>
        <v>1.5182555535948024</v>
      </c>
      <c r="J20" s="108">
        <f t="shared" ca="1" si="9"/>
        <v>1.6615741046876236</v>
      </c>
      <c r="K20" s="108">
        <f t="shared" ca="1" si="9"/>
        <v>1.8133039010751437</v>
      </c>
      <c r="L20" s="108">
        <f t="shared" ca="1" si="9"/>
        <v>1.9775264997816129</v>
      </c>
      <c r="M20" s="108">
        <f t="shared" ca="1" si="9"/>
        <v>2.1544002507914848</v>
      </c>
      <c r="N20" s="108">
        <f t="shared" ca="1" si="9"/>
        <v>2.3450324950294918</v>
      </c>
      <c r="O20" s="108">
        <f t="shared" ca="1" si="9"/>
        <v>2.5504027083304304</v>
      </c>
      <c r="P20" s="108">
        <f t="shared" ca="1" si="9"/>
        <v>2.7716077184234478</v>
      </c>
      <c r="Q20" s="108">
        <f t="shared" ca="1" si="9"/>
        <v>3.0098136325306948</v>
      </c>
      <c r="R20" s="108">
        <f t="shared" ca="1" si="9"/>
        <v>3.2662733836051689</v>
      </c>
      <c r="S20" s="108">
        <f t="shared" ca="1" si="9"/>
        <v>3.5423301913283964</v>
      </c>
      <c r="T20" s="108">
        <f t="shared" ca="1" si="9"/>
        <v>3.8394246806365686</v>
      </c>
      <c r="U20" s="108">
        <f t="shared" ca="1" si="9"/>
        <v>4.1591017538271311</v>
      </c>
      <c r="V20" s="108">
        <f t="shared" ca="1" si="9"/>
        <v>4.5030181241572844</v>
      </c>
      <c r="W20" s="108">
        <f t="shared" ca="1" si="9"/>
        <v>4.8729503527278668</v>
      </c>
      <c r="X20" s="108">
        <f t="shared" ca="1" si="9"/>
        <v>4.1435422864174063</v>
      </c>
      <c r="Y20" s="108">
        <f t="shared" ca="1" si="9"/>
        <v>4.6431081937509102</v>
      </c>
      <c r="Z20" s="108">
        <f t="shared" ca="1" si="9"/>
        <v>5.742778765616702</v>
      </c>
      <c r="AA20" s="108">
        <f t="shared" ca="1" si="9"/>
        <v>6.4591246198746761</v>
      </c>
      <c r="AB20" s="108">
        <f t="shared" ca="1" si="9"/>
        <v>3.3478427362626011</v>
      </c>
      <c r="AC20" s="108">
        <f t="shared" ca="1" si="9"/>
        <v>0</v>
      </c>
      <c r="AD20" s="108">
        <f t="shared" ca="1" si="9"/>
        <v>0</v>
      </c>
      <c r="AE20" s="108">
        <f t="shared" ca="1" si="9"/>
        <v>0</v>
      </c>
      <c r="AF20" s="108">
        <f t="shared" ca="1" si="9"/>
        <v>0</v>
      </c>
      <c r="AG20" s="108">
        <f t="shared" ca="1" si="9"/>
        <v>0</v>
      </c>
      <c r="AH20" s="108">
        <f t="shared" ca="1" si="9"/>
        <v>0.14521206</v>
      </c>
      <c r="AI20" s="108">
        <f t="shared" ca="1" si="9"/>
        <v>0.98025149381760046</v>
      </c>
      <c r="AJ20" s="108">
        <f t="shared" ca="1" si="9"/>
        <v>1.0224296012270482</v>
      </c>
      <c r="AK20" s="108">
        <f t="shared" ca="1" si="9"/>
        <v>1.2318163061140517</v>
      </c>
      <c r="AL20" s="108">
        <f t="shared" ca="1" si="9"/>
        <v>1.3972505863918392</v>
      </c>
      <c r="AM20" s="108">
        <f t="shared" ca="1" si="9"/>
        <v>1.5182555535948055</v>
      </c>
      <c r="AN20" s="108">
        <f t="shared" ca="1" si="9"/>
        <v>1.6615741046876256</v>
      </c>
      <c r="AO20" s="108">
        <f t="shared" ca="1" si="9"/>
        <v>1.8133039010751404</v>
      </c>
      <c r="AP20" s="108">
        <f t="shared" ca="1" si="9"/>
        <v>1.9775264997816109</v>
      </c>
      <c r="AQ20" s="120">
        <f t="shared" ca="1" si="9"/>
        <v>2.1544002507914866</v>
      </c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</row>
    <row r="21" spans="1:59" x14ac:dyDescent="0.25">
      <c r="B21" s="55" t="s">
        <v>172</v>
      </c>
      <c r="C21" s="74">
        <f>C12/10^9-C18-C19-C20</f>
        <v>0</v>
      </c>
      <c r="D21" s="74">
        <f ca="1">D12/10^9-D18-D19-D20</f>
        <v>4.163336342344337E-16</v>
      </c>
      <c r="E21" s="74">
        <f ca="1">E12/10^9-E18-E19-E20</f>
        <v>0</v>
      </c>
      <c r="F21" s="74">
        <f t="shared" ref="F21:AQ21" ca="1" si="10">F12/10^9-F18-F19-F20</f>
        <v>0</v>
      </c>
      <c r="G21" s="74">
        <f t="shared" ca="1" si="10"/>
        <v>0</v>
      </c>
      <c r="H21" s="74">
        <f t="shared" ca="1" si="10"/>
        <v>0</v>
      </c>
      <c r="I21" s="74">
        <f t="shared" ca="1" si="10"/>
        <v>0</v>
      </c>
      <c r="J21" s="74">
        <f t="shared" ca="1" si="10"/>
        <v>0</v>
      </c>
      <c r="K21" s="74">
        <f t="shared" ca="1" si="10"/>
        <v>0</v>
      </c>
      <c r="L21" s="74">
        <f t="shared" ca="1" si="10"/>
        <v>0</v>
      </c>
      <c r="M21" s="74">
        <f t="shared" ca="1" si="10"/>
        <v>0</v>
      </c>
      <c r="N21" s="74">
        <f t="shared" ca="1" si="10"/>
        <v>0</v>
      </c>
      <c r="O21" s="74">
        <f t="shared" ca="1" si="10"/>
        <v>0</v>
      </c>
      <c r="P21" s="74">
        <f t="shared" ca="1" si="10"/>
        <v>0</v>
      </c>
      <c r="Q21" s="74">
        <f t="shared" ca="1" si="10"/>
        <v>0</v>
      </c>
      <c r="R21" s="74">
        <f t="shared" ca="1" si="10"/>
        <v>0</v>
      </c>
      <c r="S21" s="74">
        <f t="shared" ca="1" si="10"/>
        <v>0</v>
      </c>
      <c r="T21" s="74">
        <f t="shared" ca="1" si="10"/>
        <v>3.5527136788005009E-15</v>
      </c>
      <c r="U21" s="74">
        <f t="shared" ca="1" si="10"/>
        <v>0</v>
      </c>
      <c r="V21" s="74">
        <f t="shared" ca="1" si="10"/>
        <v>0</v>
      </c>
      <c r="W21" s="74">
        <f t="shared" ca="1" si="10"/>
        <v>0</v>
      </c>
      <c r="X21" s="74">
        <f t="shared" ca="1" si="10"/>
        <v>0</v>
      </c>
      <c r="Y21" s="74">
        <f t="shared" ca="1" si="10"/>
        <v>0</v>
      </c>
      <c r="Z21" s="74">
        <f t="shared" ca="1" si="10"/>
        <v>0</v>
      </c>
      <c r="AA21" s="74">
        <f t="shared" ca="1" si="10"/>
        <v>11.496113689949812</v>
      </c>
      <c r="AB21" s="74">
        <f t="shared" ca="1" si="10"/>
        <v>26.622251184252683</v>
      </c>
      <c r="AC21" s="74">
        <f t="shared" ca="1" si="10"/>
        <v>29.665526071672996</v>
      </c>
      <c r="AD21" s="74">
        <f t="shared" ca="1" si="10"/>
        <v>29.334550989272739</v>
      </c>
      <c r="AE21" s="74">
        <f t="shared" ca="1" si="10"/>
        <v>28.960292704352895</v>
      </c>
      <c r="AF21" s="74">
        <f t="shared" ca="1" si="10"/>
        <v>28.542361802176615</v>
      </c>
      <c r="AG21" s="74">
        <f t="shared" ca="1" si="10"/>
        <v>28.076391121885628</v>
      </c>
      <c r="AH21" s="74">
        <f t="shared" ca="1" si="10"/>
        <v>27.413347029432767</v>
      </c>
      <c r="AI21" s="74">
        <f t="shared" ca="1" si="10"/>
        <v>26.004308502083504</v>
      </c>
      <c r="AJ21" s="74">
        <f t="shared" ca="1" si="10"/>
        <v>25.327376576524305</v>
      </c>
      <c r="AK21" s="74">
        <f t="shared" ca="1" si="10"/>
        <v>24.417538282928142</v>
      </c>
      <c r="AL21" s="74">
        <f t="shared" ca="1" si="10"/>
        <v>23.480641957188478</v>
      </c>
      <c r="AM21" s="74">
        <f t="shared" ca="1" si="10"/>
        <v>22.511452549249878</v>
      </c>
      <c r="AN21" s="74">
        <f t="shared" ca="1" si="10"/>
        <v>21.437087402882383</v>
      </c>
      <c r="AO21" s="74">
        <f t="shared" ca="1" si="10"/>
        <v>20.264849938698568</v>
      </c>
      <c r="AP21" s="74">
        <f t="shared" ca="1" si="10"/>
        <v>18.983567080222485</v>
      </c>
      <c r="AQ21" s="75">
        <f t="shared" ca="1" si="10"/>
        <v>17.585460465859335</v>
      </c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</row>
    <row r="22" spans="1:59" x14ac:dyDescent="0.25">
      <c r="B22" s="55" t="s">
        <v>120</v>
      </c>
      <c r="C22" s="9"/>
      <c r="D22" s="10">
        <f>SUMPRODUCT($A$30:$A$39,D30:D39)-D9*'Main Variables'!$B$28</f>
        <v>5740.4167369701618</v>
      </c>
      <c r="E22" s="10">
        <f ca="1">SUMPRODUCT($A$30:$A$39,E30:E39)-E9*'Main Variables'!$B$28</f>
        <v>9442.2197583825691</v>
      </c>
      <c r="F22" s="10">
        <f ca="1">SUMPRODUCT($A$30:$A$39,F30:F39)-F9*'Main Variables'!$B$28</f>
        <v>12611.717616398515</v>
      </c>
      <c r="G22" s="10">
        <f ca="1">SUMPRODUCT($A$30:$A$39,G30:G39)-G9*'Main Variables'!$B$28</f>
        <v>17522.952749912936</v>
      </c>
      <c r="H22" s="10">
        <f ca="1">SUMPRODUCT($A$30:$A$39,H30:H39)-H9*'Main Variables'!$B$28</f>
        <v>23816.381686564338</v>
      </c>
      <c r="I22" s="10">
        <f ca="1">SUMPRODUCT($A$30:$A$39,I30:I39)-I9*'Main Variables'!$B$28</f>
        <v>30654.835380757762</v>
      </c>
      <c r="J22" s="10">
        <f ca="1">SUMPRODUCT($A$30:$A$39,J30:J39)-J9*'Main Variables'!$B$28</f>
        <v>38138.817604615782</v>
      </c>
      <c r="K22" s="10">
        <f ca="1">SUMPRODUCT($A$30:$A$39,K30:K39)-K9*'Main Variables'!$B$28</f>
        <v>46306.213884933997</v>
      </c>
      <c r="L22" s="10">
        <f ca="1">SUMPRODUCT($A$30:$A$39,L30:L39)-L9*'Main Variables'!$B$28</f>
        <v>55213.293701489099</v>
      </c>
      <c r="M22" s="10">
        <f ca="1">SUMPRODUCT($A$30:$A$39,M30:M39)-M9*'Main Variables'!$B$28</f>
        <v>64917.03976644716</v>
      </c>
      <c r="N22" s="10">
        <f ca="1">SUMPRODUCT($A$30:$A$39,N30:N39)-N9*'Main Variables'!$B$28</f>
        <v>75479.422423746422</v>
      </c>
      <c r="O22" s="10">
        <f ca="1">SUMPRODUCT($A$30:$A$39,O30:O39)-O9*'Main Variables'!$B$28</f>
        <v>86966.823725304785</v>
      </c>
      <c r="P22" s="10">
        <f ca="1">SUMPRODUCT($A$30:$A$39,P30:P39)-P9*'Main Variables'!$B$28</f>
        <v>99450.566001782063</v>
      </c>
      <c r="Q22" s="10">
        <f ca="1">SUMPRODUCT($A$30:$A$39,Q30:Q39)-Q9*'Main Variables'!$B$28</f>
        <v>113007.22390794268</v>
      </c>
      <c r="R22" s="10">
        <f ca="1">SUMPRODUCT($A$30:$A$39,R30:R39)-R9*'Main Variables'!$B$28</f>
        <v>127719.01549893963</v>
      </c>
      <c r="S22" s="10">
        <f ca="1">SUMPRODUCT($A$30:$A$39,S30:S39)-S9*'Main Variables'!$B$28</f>
        <v>143674.20889545762</v>
      </c>
      <c r="T22" s="10">
        <f ca="1">SUMPRODUCT($A$30:$A$39,T30:T39)-T9*'Main Variables'!$B$28</f>
        <v>160967.56101177979</v>
      </c>
      <c r="U22" s="10">
        <f ca="1">SUMPRODUCT($A$30:$A$39,U30:U39)-U9*'Main Variables'!$B$28</f>
        <v>179700.78723686637</v>
      </c>
      <c r="V22" s="10">
        <f ca="1">SUMPRODUCT($A$30:$A$39,V30:V39)-V9*'Main Variables'!$B$28</f>
        <v>199983.06504790581</v>
      </c>
      <c r="W22" s="10">
        <f ca="1">SUMPRODUCT($A$30:$A$39,W30:W39)-W9*'Main Variables'!$B$28</f>
        <v>221931.57382321215</v>
      </c>
      <c r="X22" s="10">
        <f ca="1">SUMPRODUCT($A$30:$A$39,X30:X39)-X9*'Main Variables'!$B$28</f>
        <v>240594.71784301003</v>
      </c>
      <c r="Y22" s="10">
        <f ca="1">SUMPRODUCT($A$30:$A$39,Y30:Y39)-Y9*'Main Variables'!$B$28</f>
        <v>261507.98261251248</v>
      </c>
      <c r="Z22" s="10">
        <f ca="1">SUMPRODUCT($A$30:$A$39,Z30:Z39)-Z9*'Main Variables'!$B$28</f>
        <v>273161.64297672349</v>
      </c>
      <c r="AA22" s="10">
        <f ca="1">SUMPRODUCT($A$30:$A$39,AA30:AA39)-AA9*'Main Variables'!$B$28</f>
        <v>275740.8453696146</v>
      </c>
      <c r="AB22" s="10">
        <f ca="1">SUMPRODUCT($A$30:$A$39,AB30:AB39)-AB9*'Main Variables'!$B$28</f>
        <v>277077.67729414854</v>
      </c>
      <c r="AC22" s="10">
        <f ca="1">SUMPRODUCT($A$30:$A$39,AC30:AC39)-AC9*'Main Variables'!$B$28</f>
        <v>277077.67729414854</v>
      </c>
      <c r="AD22" s="10">
        <f ca="1">SUMPRODUCT($A$30:$A$39,AD30:AD39)-AD9*'Main Variables'!$B$28</f>
        <v>277077.67729414854</v>
      </c>
      <c r="AE22" s="10">
        <f ca="1">SUMPRODUCT($A$30:$A$39,AE30:AE39)-AE9*'Main Variables'!$B$28</f>
        <v>277077.67729414854</v>
      </c>
      <c r="AF22" s="10">
        <f ca="1">SUMPRODUCT($A$30:$A$39,AF30:AF39)-AF9*'Main Variables'!$B$28</f>
        <v>277077.67729414854</v>
      </c>
      <c r="AG22" s="10">
        <f ca="1">SUMPRODUCT($A$30:$A$39,AG30:AG39)-AG9*'Main Variables'!$B$28</f>
        <v>277077.67729414854</v>
      </c>
      <c r="AH22" s="10">
        <f ca="1">SUMPRODUCT($A$30:$A$39,AH30:AH39)-AH9*'Main Variables'!$B$28</f>
        <v>277077.67729414854</v>
      </c>
      <c r="AI22" s="10">
        <f ca="1">SUMPRODUCT($A$30:$A$39,AI30:AI39)-AI9*'Main Variables'!$B$28</f>
        <v>277077.67729414854</v>
      </c>
      <c r="AJ22" s="10">
        <f ca="1">SUMPRODUCT($A$30:$A$39,AJ30:AJ39)-AJ9*'Main Variables'!$B$28</f>
        <v>277077.67729414854</v>
      </c>
      <c r="AK22" s="10">
        <f ca="1">SUMPRODUCT($A$30:$A$39,AK30:AK39)-AK9*'Main Variables'!$B$28</f>
        <v>277077.67729414854</v>
      </c>
      <c r="AL22" s="10">
        <f ca="1">SUMPRODUCT($A$30:$A$39,AL30:AL39)-AL9*'Main Variables'!$B$28</f>
        <v>277077.67729414854</v>
      </c>
      <c r="AM22" s="10">
        <f ca="1">SUMPRODUCT($A$30:$A$39,AM30:AM39)-AM9*'Main Variables'!$B$28</f>
        <v>277077.67729414854</v>
      </c>
      <c r="AN22" s="10">
        <f ca="1">SUMPRODUCT($A$30:$A$39,AN30:AN39)-AN9*'Main Variables'!$B$28</f>
        <v>277077.67729414854</v>
      </c>
      <c r="AO22" s="10">
        <f ca="1">SUMPRODUCT($A$30:$A$39,AO30:AO39)-AO9*'Main Variables'!$B$28</f>
        <v>277077.67729414854</v>
      </c>
      <c r="AP22" s="10">
        <f ca="1">SUMPRODUCT($A$30:$A$39,AP30:AP39)-AP9*'Main Variables'!$B$28</f>
        <v>277077.67729414854</v>
      </c>
      <c r="AQ22" s="62">
        <f ca="1">SUMPRODUCT($A$30:$A$39,AQ30:AQ39)-AQ9*'Main Variables'!$B$28</f>
        <v>277077.67729414854</v>
      </c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</row>
    <row r="23" spans="1:59" x14ac:dyDescent="0.25">
      <c r="B23" s="55" t="s">
        <v>163</v>
      </c>
      <c r="C23" s="9"/>
      <c r="D23" s="121">
        <f>SUM($C$22:D$22)/SUM($C4:D4)</f>
        <v>5.9048725389909323E-2</v>
      </c>
      <c r="E23" s="121">
        <f ca="1">SUM($C$22:E$22)/SUM($C4:E4)</f>
        <v>0.10257118739218364</v>
      </c>
      <c r="F23" s="121">
        <f ca="1">SUM($C$22:F$22)/SUM($C4:F4)</f>
        <v>0.13872884564139204</v>
      </c>
      <c r="G23" s="121">
        <f ca="1">SUM($C$22:G$22)/SUM($C4:G4)</f>
        <v>0.17823927253115401</v>
      </c>
      <c r="H23" s="121">
        <f ca="1">SUM($C$22:H$22)/SUM($C4:H4)</f>
        <v>0.22318003434719971</v>
      </c>
      <c r="I23" s="121">
        <f ca="1">SUM($C$22:I$22)/SUM($C4:I4)</f>
        <v>0.27194144316063684</v>
      </c>
      <c r="J23" s="121">
        <f ca="1">SUM($C$22:J$22)/SUM($C4:J4)</f>
        <v>0.32389007668986536</v>
      </c>
      <c r="K23" s="121">
        <f ca="1">SUM($C$22:K$22)/SUM($C4:K4)</f>
        <v>0.37868349746257601</v>
      </c>
      <c r="L23" s="121">
        <f ca="1">SUM($C$22:L$22)/SUM($C4:L4)</f>
        <v>0.43615480831030101</v>
      </c>
      <c r="M23" s="121">
        <f ca="1">SUM($C$22:M$22)/SUM($C4:M4)</f>
        <v>0.49622869785522356</v>
      </c>
      <c r="N23" s="121">
        <f ca="1">SUM($C$22:N$22)/SUM($C4:N4)</f>
        <v>0.55888585691016934</v>
      </c>
      <c r="O23" s="121">
        <f ca="1">SUM($C$22:O$22)/SUM($C4:O4)</f>
        <v>0.62414260399960686</v>
      </c>
      <c r="P23" s="121">
        <f ca="1">SUM($C$22:P$22)/SUM($C4:P4)</f>
        <v>0.69203956443548764</v>
      </c>
      <c r="Q23" s="121">
        <f ca="1">SUM($C$22:Q$22)/SUM($C4:Q4)</f>
        <v>0.76263488537730717</v>
      </c>
      <c r="R23" s="121">
        <f ca="1">SUM($C$22:R$22)/SUM($C4:R4)</f>
        <v>0.83600006560141438</v>
      </c>
      <c r="S23" s="121">
        <f ca="1">SUM($C$22:S$22)/SUM($C4:S4)</f>
        <v>0.91221731348630541</v>
      </c>
      <c r="T23" s="121">
        <f ca="1">SUM($C$22:T$22)/SUM($C4:T4)</f>
        <v>0.99137784406963025</v>
      </c>
      <c r="U23" s="121">
        <f ca="1">SUM($C$22:U$22)/SUM($C4:U4)</f>
        <v>1.0735807712324548</v>
      </c>
      <c r="V23" s="121">
        <f ca="1">SUM($C$22:V$22)/SUM($C4:V4)</f>
        <v>1.1589323893734396</v>
      </c>
      <c r="W23" s="121">
        <f ca="1">SUM($C$22:W$22)/SUM($C4:W4)</f>
        <v>1.2475457172560382</v>
      </c>
      <c r="X23" s="121">
        <f ca="1">SUM($C$22:X$22)/SUM($C4:X4)</f>
        <v>1.3360682409957343</v>
      </c>
      <c r="Y23" s="121">
        <f ca="1">SUM($C$22:Y$22)/SUM($C4:Y4)</f>
        <v>1.4254486577555463</v>
      </c>
      <c r="Z23" s="121">
        <f ca="1">SUM($C$22:Z$22)/SUM($C4:Z4)</f>
        <v>1.5094188598151657</v>
      </c>
      <c r="AA23" s="121">
        <f ca="1">SUM($C$22:AA$22)/SUM($C4:AA4)</f>
        <v>1.5831878725953226</v>
      </c>
      <c r="AB23" s="121">
        <f ca="1">SUM($C$22:AB$22)/SUM($C4:AB4)</f>
        <v>1.6472806880198136</v>
      </c>
      <c r="AC23" s="121">
        <f ca="1">SUM($C$22:AC$22)/SUM($C4:AC4)</f>
        <v>1.7021400789596035</v>
      </c>
      <c r="AD23" s="121">
        <f ca="1">SUM($C$22:AD$22)/SUM($C4:AD4)</f>
        <v>1.7488400258971719</v>
      </c>
      <c r="AE23" s="121">
        <f ca="1">SUM($C$22:AE$22)/SUM($C4:AE4)</f>
        <v>1.7883058093839062</v>
      </c>
      <c r="AF23" s="121">
        <f ca="1">SUM($C$22:AF$22)/SUM($C4:AF4)</f>
        <v>1.8213387748197223</v>
      </c>
      <c r="AG23" s="121">
        <f ca="1">SUM($C$22:AG$22)/SUM($C4:AG4)</f>
        <v>1.8486363045025069</v>
      </c>
      <c r="AH23" s="121">
        <f ca="1">SUM($C$22:AH$22)/SUM($C4:AH4)</f>
        <v>1.8708080453675866</v>
      </c>
      <c r="AI23" s="121">
        <f ca="1">SUM($C$22:AI$22)/SUM($C4:AI4)</f>
        <v>1.8883891866743425</v>
      </c>
      <c r="AJ23" s="121">
        <f ca="1">SUM($C$22:AJ$22)/SUM($C4:AJ4)</f>
        <v>1.9018513950124452</v>
      </c>
      <c r="AK23" s="121">
        <f ca="1">SUM($C$22:AK$22)/SUM($C4:AK4)</f>
        <v>1.9116118751716038</v>
      </c>
      <c r="AL23" s="121">
        <f ca="1">SUM($C$22:AL$22)/SUM($C4:AL4)</f>
        <v>1.9180409212972642</v>
      </c>
      <c r="AM23" s="121">
        <f ca="1">SUM($C$22:AM$22)/SUM($C4:AM4)</f>
        <v>1.9214682439600868</v>
      </c>
      <c r="AN23" s="121">
        <f ca="1">SUM($C$22:AN$22)/SUM($C4:AN4)</f>
        <v>1.9221882986342962</v>
      </c>
      <c r="AO23" s="121">
        <f ca="1">SUM($C$22:AO$22)/SUM($C4:AO4)</f>
        <v>1.9204647948240516</v>
      </c>
      <c r="AP23" s="121">
        <f ca="1">SUM($C$22:AP$22)/SUM($C4:AP4)</f>
        <v>1.9165345292286176</v>
      </c>
      <c r="AQ23" s="122">
        <f ca="1">SUM($C$22:AQ$22)/SUM($C4:AQ4)</f>
        <v>1.9106106583579203</v>
      </c>
    </row>
    <row r="24" spans="1:59" x14ac:dyDescent="0.25">
      <c r="B24" s="55" t="s">
        <v>164</v>
      </c>
      <c r="C24" s="9"/>
      <c r="D24" s="121">
        <f>SUM($C$22:D$22)/SUM($C5:D5)</f>
        <v>2.426378269068822E-2</v>
      </c>
      <c r="E24" s="121">
        <f ca="1">SUM($C$22:E$22)/SUM($C5:E5)</f>
        <v>4.2147649839620445E-2</v>
      </c>
      <c r="F24" s="121">
        <f ca="1">SUM($C$22:F$22)/SUM($C5:F5)</f>
        <v>5.7005236630357274E-2</v>
      </c>
      <c r="G24" s="121">
        <f ca="1">SUM($C$22:G$22)/SUM($C5:G5)</f>
        <v>7.3240513611176464E-2</v>
      </c>
      <c r="H24" s="121">
        <f ca="1">SUM($C$22:H$22)/SUM($C5:H5)</f>
        <v>9.1707176040520852E-2</v>
      </c>
      <c r="I24" s="121">
        <f ca="1">SUM($C$22:I$22)/SUM($C5:I5)</f>
        <v>0.1117437851176616</v>
      </c>
      <c r="J24" s="121">
        <f ca="1">SUM($C$22:J$22)/SUM($C5:J5)</f>
        <v>0.13309006053187739</v>
      </c>
      <c r="K24" s="121">
        <f ca="1">SUM($C$22:K$22)/SUM($C5:K5)</f>
        <v>0.15560529089001965</v>
      </c>
      <c r="L24" s="121">
        <f ca="1">SUM($C$22:L$22)/SUM($C5:L5)</f>
        <v>0.17922089627608423</v>
      </c>
      <c r="M24" s="121">
        <f ca="1">SUM($C$22:M$22)/SUM($C5:M5)</f>
        <v>0.2039059304013339</v>
      </c>
      <c r="N24" s="121">
        <f ca="1">SUM($C$22:N$22)/SUM($C5:N5)</f>
        <v>0.22965245890446889</v>
      </c>
      <c r="O24" s="121">
        <f ca="1">SUM($C$22:O$22)/SUM($C5:O5)</f>
        <v>0.25646718724998357</v>
      </c>
      <c r="P24" s="121">
        <f ca="1">SUM($C$22:P$22)/SUM($C5:P5)</f>
        <v>0.28436680883361887</v>
      </c>
      <c r="Q24" s="121">
        <f ca="1">SUM($C$22:Q$22)/SUM($C5:Q5)</f>
        <v>0.31337521697454068</v>
      </c>
      <c r="R24" s="121">
        <f ca="1">SUM($C$22:R$22)/SUM($C5:R5)</f>
        <v>0.3435217913208366</v>
      </c>
      <c r="S24" s="121">
        <f ca="1">SUM($C$22:S$22)/SUM($C5:S5)</f>
        <v>0.37484031221607911</v>
      </c>
      <c r="T24" s="121">
        <f ca="1">SUM($C$22:T$22)/SUM($C5:T5)</f>
        <v>0.40736826094097406</v>
      </c>
      <c r="U24" s="121">
        <f ca="1">SUM($C$22:U$22)/SUM($C5:U5)</f>
        <v>0.44114636449946493</v>
      </c>
      <c r="V24" s="121">
        <f ca="1">SUM($C$22:V$22)/SUM($C5:V5)</f>
        <v>0.4762183004506067</v>
      </c>
      <c r="W24" s="121">
        <f ca="1">SUM($C$22:W$22)/SUM($C5:W5)</f>
        <v>0.51263050947027</v>
      </c>
      <c r="X24" s="121">
        <f ca="1">SUM($C$22:X$22)/SUM($C5:X5)</f>
        <v>0.54900540605048176</v>
      </c>
      <c r="Y24" s="121">
        <f ca="1">SUM($C$22:Y$22)/SUM($C5:Y5)</f>
        <v>0.58573282048225606</v>
      </c>
      <c r="Z24" s="121">
        <f ca="1">SUM($C$22:Z$22)/SUM($C5:Z5)</f>
        <v>0.62023711709178031</v>
      </c>
      <c r="AA24" s="121">
        <f ca="1">SUM($C$22:AA$22)/SUM($C5:AA5)</f>
        <v>0.65054963075884431</v>
      </c>
      <c r="AB24" s="121">
        <f ca="1">SUM($C$22:AB$22)/SUM($C5:AB5)</f>
        <v>0.67688608654557658</v>
      </c>
      <c r="AC24" s="121">
        <f ca="1">SUM($C$22:AC$22)/SUM($C5:AC5)</f>
        <v>0.69942842478432943</v>
      </c>
      <c r="AD24" s="121">
        <f ca="1">SUM($C$22:AD$22)/SUM($C5:AD5)</f>
        <v>0.71861795608543133</v>
      </c>
      <c r="AE24" s="121">
        <f ca="1">SUM($C$22:AE$22)/SUM($C5:AE5)</f>
        <v>0.73483488859187818</v>
      </c>
      <c r="AF24" s="121">
        <f ca="1">SUM($C$22:AF$22)/SUM($C5:AF5)</f>
        <v>0.74840850410468018</v>
      </c>
      <c r="AG24" s="121">
        <f ca="1">SUM($C$22:AG$22)/SUM($C5:AG5)</f>
        <v>0.75962536482169207</v>
      </c>
      <c r="AH24" s="121">
        <f ca="1">SUM($C$22:AH$22)/SUM($C5:AH5)</f>
        <v>0.76873598149753453</v>
      </c>
      <c r="AI24" s="121">
        <f ca="1">SUM($C$22:AI$22)/SUM($C5:AI5)</f>
        <v>0.77596026939375218</v>
      </c>
      <c r="AJ24" s="121">
        <f ca="1">SUM($C$22:AJ$22)/SUM($C5:AJ5)</f>
        <v>0.78149204159536378</v>
      </c>
      <c r="AK24" s="121">
        <f ca="1">SUM($C$22:AK$22)/SUM($C5:AK5)</f>
        <v>0.78550273222373534</v>
      </c>
      <c r="AL24" s="121">
        <f ca="1">SUM($C$22:AL$22)/SUM($C5:AL5)</f>
        <v>0.78814449929104102</v>
      </c>
      <c r="AM24" s="121">
        <f ca="1">SUM($C$22:AM$22)/SUM($C5:AM5)</f>
        <v>0.78955282456398246</v>
      </c>
      <c r="AN24" s="121">
        <f ca="1">SUM($C$22:AN$22)/SUM($C5:AN5)</f>
        <v>0.78984870309523048</v>
      </c>
      <c r="AO24" s="121">
        <f ca="1">SUM($C$22:AO$22)/SUM($C5:AO5)</f>
        <v>0.78914049607395764</v>
      </c>
      <c r="AP24" s="121">
        <f ca="1">SUM($C$22:AP$22)/SUM($C5:AP5)</f>
        <v>0.78752550591634463</v>
      </c>
      <c r="AQ24" s="122">
        <f ca="1">SUM($C$22:AQ$22)/SUM($C5:AQ5)</f>
        <v>0.78509132101997003</v>
      </c>
    </row>
    <row r="25" spans="1:59" ht="15.75" thickBot="1" x14ac:dyDescent="0.3">
      <c r="B25" s="65" t="s">
        <v>165</v>
      </c>
      <c r="C25" s="36"/>
      <c r="D25" s="123">
        <f>SUM($C$22:D$22)/SUM($C6:D6)</f>
        <v>7.5191542402978069E-3</v>
      </c>
      <c r="E25" s="123">
        <f ca="1">SUM($C$22:E$22)/SUM($C6:E6)</f>
        <v>1.3061223142745691E-2</v>
      </c>
      <c r="F25" s="123">
        <f ca="1">SUM($C$22:F$22)/SUM($C6:F6)</f>
        <v>1.7665471711170073E-2</v>
      </c>
      <c r="G25" s="123">
        <f ca="1">SUM($C$22:G$22)/SUM($C6:G6)</f>
        <v>2.2696655566916739E-2</v>
      </c>
      <c r="H25" s="123">
        <f ca="1">SUM($C$22:H$22)/SUM($C6:H6)</f>
        <v>2.8419328114715363E-2</v>
      </c>
      <c r="I25" s="123">
        <f ca="1">SUM($C$22:I$22)/SUM($C6:I6)</f>
        <v>3.4628514704627862E-2</v>
      </c>
      <c r="J25" s="123">
        <f ca="1">SUM($C$22:J$22)/SUM($C6:J6)</f>
        <v>4.124355652813394E-2</v>
      </c>
      <c r="K25" s="123">
        <f ca="1">SUM($C$22:K$22)/SUM($C6:K6)</f>
        <v>4.8220848238040265E-2</v>
      </c>
      <c r="L25" s="123">
        <f ca="1">SUM($C$22:L$22)/SUM($C6:L6)</f>
        <v>5.5539137461095886E-2</v>
      </c>
      <c r="M25" s="123">
        <f ca="1">SUM($C$22:M$22)/SUM($C6:M6)</f>
        <v>6.3188834187319839E-2</v>
      </c>
      <c r="N25" s="123">
        <f ca="1">SUM($C$22:N$22)/SUM($C6:N6)</f>
        <v>7.1167479620935239E-2</v>
      </c>
      <c r="O25" s="123">
        <f ca="1">SUM($C$22:O$22)/SUM($C6:O6)</f>
        <v>7.9477151732324045E-2</v>
      </c>
      <c r="P25" s="123">
        <f ca="1">SUM($C$22:P$22)/SUM($C6:P6)</f>
        <v>8.8123023672720388E-2</v>
      </c>
      <c r="Q25" s="123">
        <f ca="1">SUM($C$22:Q$22)/SUM($C6:Q6)</f>
        <v>9.7112499792649923E-2</v>
      </c>
      <c r="R25" s="123">
        <f ca="1">SUM($C$22:R$22)/SUM($C6:R6)</f>
        <v>0.10645468461255421</v>
      </c>
      <c r="S25" s="123">
        <f ca="1">SUM($C$22:S$22)/SUM($C6:S6)</f>
        <v>0.11616004639357991</v>
      </c>
      <c r="T25" s="123">
        <f ca="1">SUM($C$22:T$22)/SUM($C6:T6)</f>
        <v>0.12624020028800328</v>
      </c>
      <c r="U25" s="123">
        <f ca="1">SUM($C$22:U$22)/SUM($C6:U6)</f>
        <v>0.13670776727204642</v>
      </c>
      <c r="V25" s="123">
        <f ca="1">SUM($C$22:V$22)/SUM($C6:V6)</f>
        <v>0.14757628267561068</v>
      </c>
      <c r="W25" s="123">
        <f ca="1">SUM($C$22:W$22)/SUM($C6:W6)</f>
        <v>0.15886013809663224</v>
      </c>
      <c r="X25" s="123">
        <f ca="1">SUM($C$22:X$22)/SUM($C6:X6)</f>
        <v>0.17013243068794606</v>
      </c>
      <c r="Y25" s="123">
        <f ca="1">SUM($C$22:Y$22)/SUM($C6:Y6)</f>
        <v>0.18151396577174947</v>
      </c>
      <c r="Z25" s="123">
        <f ca="1">SUM($C$22:Z$22)/SUM($C6:Z6)</f>
        <v>0.1922065742354564</v>
      </c>
      <c r="AA25" s="123">
        <f ca="1">SUM($C$22:AA$22)/SUM($C6:AA6)</f>
        <v>0.20160018233767782</v>
      </c>
      <c r="AB25" s="123">
        <f ca="1">SUM($C$22:AB$22)/SUM($C6:AB6)</f>
        <v>0.20976164156799074</v>
      </c>
      <c r="AC25" s="123">
        <f ca="1">SUM($C$22:AC$22)/SUM($C6:AC6)</f>
        <v>0.21674733379557545</v>
      </c>
      <c r="AD25" s="123">
        <f ca="1">SUM($C$22:AD$22)/SUM($C6:AD6)</f>
        <v>0.22269401768618671</v>
      </c>
      <c r="AE25" s="123">
        <f ca="1">SUM($C$22:AE$22)/SUM($C6:AE6)</f>
        <v>0.22771951673449747</v>
      </c>
      <c r="AF25" s="123">
        <f ca="1">SUM($C$22:AF$22)/SUM($C6:AF6)</f>
        <v>0.23192587276481363</v>
      </c>
      <c r="AG25" s="123">
        <f ca="1">SUM($C$22:AG$22)/SUM($C6:AG6)</f>
        <v>0.23540188913449192</v>
      </c>
      <c r="AH25" s="123">
        <f ca="1">SUM($C$22:AH$22)/SUM($C6:AH6)</f>
        <v>0.23822519714393015</v>
      </c>
      <c r="AI25" s="123">
        <f ca="1">SUM($C$22:AI$22)/SUM($C6:AI6)</f>
        <v>0.24046394679234437</v>
      </c>
      <c r="AJ25" s="123">
        <f ca="1">SUM($C$22:AJ$22)/SUM($C6:AJ6)</f>
        <v>0.24217819922100925</v>
      </c>
      <c r="AK25" s="123">
        <f ca="1">SUM($C$22:AK$22)/SUM($C6:AK6)</f>
        <v>0.24342108050746325</v>
      </c>
      <c r="AL25" s="123">
        <f ca="1">SUM($C$22:AL$22)/SUM($C6:AL6)</f>
        <v>0.24423974321555095</v>
      </c>
      <c r="AM25" s="123">
        <f ca="1">SUM($C$22:AM$22)/SUM($C6:AM6)</f>
        <v>0.24467617207261538</v>
      </c>
      <c r="AN25" s="123">
        <f ca="1">SUM($C$22:AN$22)/SUM($C6:AN6)</f>
        <v>0.24476786248796437</v>
      </c>
      <c r="AO25" s="123">
        <f ca="1">SUM($C$22:AO$22)/SUM($C6:AO6)</f>
        <v>0.2445483947365879</v>
      </c>
      <c r="AP25" s="123">
        <f ca="1">SUM($C$22:AP$22)/SUM($C6:AP6)</f>
        <v>0.24404792206724127</v>
      </c>
      <c r="AQ25" s="124">
        <f ca="1">SUM($C$22:AQ$22)/SUM($C6:AQ6)</f>
        <v>0.24329358743118851</v>
      </c>
    </row>
    <row r="26" spans="1:59" ht="15.75" thickBot="1" x14ac:dyDescent="0.3"/>
    <row r="27" spans="1:59" ht="17.25" customHeight="1" thickBot="1" x14ac:dyDescent="0.35">
      <c r="B27" s="93" t="s">
        <v>155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5"/>
    </row>
    <row r="28" spans="1:59" ht="18.75" x14ac:dyDescent="0.3">
      <c r="B28" s="68" t="s">
        <v>157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70"/>
    </row>
    <row r="29" spans="1:59" ht="30" customHeight="1" x14ac:dyDescent="0.25">
      <c r="A29" s="2" t="s">
        <v>93</v>
      </c>
      <c r="B29" s="82" t="s">
        <v>156</v>
      </c>
      <c r="C29" s="83" t="s">
        <v>119</v>
      </c>
      <c r="D29" s="83" t="s">
        <v>158</v>
      </c>
      <c r="E29" s="83" t="s">
        <v>158</v>
      </c>
      <c r="F29" s="83" t="s">
        <v>158</v>
      </c>
      <c r="G29" s="83" t="s">
        <v>158</v>
      </c>
      <c r="H29" s="83" t="s">
        <v>158</v>
      </c>
      <c r="I29" s="83" t="s">
        <v>158</v>
      </c>
      <c r="J29" s="83" t="s">
        <v>158</v>
      </c>
      <c r="K29" s="83" t="s">
        <v>158</v>
      </c>
      <c r="L29" s="83" t="s">
        <v>158</v>
      </c>
      <c r="M29" s="83" t="s">
        <v>158</v>
      </c>
      <c r="N29" s="83" t="s">
        <v>158</v>
      </c>
      <c r="O29" s="83" t="s">
        <v>158</v>
      </c>
      <c r="P29" s="83" t="s">
        <v>158</v>
      </c>
      <c r="Q29" s="83" t="s">
        <v>158</v>
      </c>
      <c r="R29" s="83" t="s">
        <v>158</v>
      </c>
      <c r="S29" s="83" t="s">
        <v>158</v>
      </c>
      <c r="T29" s="83" t="s">
        <v>158</v>
      </c>
      <c r="U29" s="83" t="s">
        <v>158</v>
      </c>
      <c r="V29" s="83" t="s">
        <v>158</v>
      </c>
      <c r="W29" s="83" t="s">
        <v>158</v>
      </c>
      <c r="X29" s="83" t="s">
        <v>158</v>
      </c>
      <c r="Y29" s="83" t="s">
        <v>158</v>
      </c>
      <c r="Z29" s="83" t="s">
        <v>158</v>
      </c>
      <c r="AA29" s="83" t="s">
        <v>158</v>
      </c>
      <c r="AB29" s="83" t="s">
        <v>158</v>
      </c>
      <c r="AC29" s="83" t="s">
        <v>158</v>
      </c>
      <c r="AD29" s="83" t="s">
        <v>158</v>
      </c>
      <c r="AE29" s="83" t="s">
        <v>158</v>
      </c>
      <c r="AF29" s="83" t="s">
        <v>158</v>
      </c>
      <c r="AG29" s="83" t="s">
        <v>158</v>
      </c>
      <c r="AH29" s="83" t="s">
        <v>158</v>
      </c>
      <c r="AI29" s="83" t="s">
        <v>158</v>
      </c>
      <c r="AJ29" s="83" t="s">
        <v>158</v>
      </c>
      <c r="AK29" s="83" t="s">
        <v>158</v>
      </c>
      <c r="AL29" s="83" t="s">
        <v>158</v>
      </c>
      <c r="AM29" s="83" t="s">
        <v>158</v>
      </c>
      <c r="AN29" s="83" t="s">
        <v>158</v>
      </c>
      <c r="AO29" s="83" t="s">
        <v>158</v>
      </c>
      <c r="AP29" s="83" t="s">
        <v>158</v>
      </c>
      <c r="AQ29" s="96" t="s">
        <v>158</v>
      </c>
    </row>
    <row r="30" spans="1:59" x14ac:dyDescent="0.25">
      <c r="A30" s="1">
        <f>'Grid Sizes, Locations, and GHGs'!K5</f>
        <v>2890.7999999999997</v>
      </c>
      <c r="B30" s="88" t="str">
        <f>'Grid Sizes, Locations, and GHGs'!A5</f>
        <v>Onsite Usage Via Cogen</v>
      </c>
      <c r="C30" s="90">
        <f>'Grid Sizes, Locations, and GHGs'!H5</f>
        <v>0.16624999999999998</v>
      </c>
      <c r="D30" s="90">
        <f>MIN(D$9-SUM(D$29:D29),$C30)</f>
        <v>0.16624999999999998</v>
      </c>
      <c r="E30" s="90">
        <f ca="1">MIN(E$9-SUM(E$29:E29),$C30)</f>
        <v>0.16624999999999998</v>
      </c>
      <c r="F30" s="90">
        <f ca="1">MIN(F$9-SUM(F$29:F29),$C30)</f>
        <v>0.16624999999999998</v>
      </c>
      <c r="G30" s="90">
        <f ca="1">MIN(G$9-SUM(G$29:G29),$C30)</f>
        <v>0.16624999999999998</v>
      </c>
      <c r="H30" s="90">
        <f ca="1">MIN(H$9-SUM(H$29:H29),$C30)</f>
        <v>0.16624999999999998</v>
      </c>
      <c r="I30" s="90">
        <f ca="1">MIN(I$9-SUM(I$29:I29),$C30)</f>
        <v>0.16624999999999998</v>
      </c>
      <c r="J30" s="90">
        <f ca="1">MIN(J$9-SUM(J$29:J29),$C30)</f>
        <v>0.16624999999999998</v>
      </c>
      <c r="K30" s="90">
        <f ca="1">MIN(K$9-SUM(K$29:K29),$C30)</f>
        <v>0.16624999999999998</v>
      </c>
      <c r="L30" s="90">
        <f ca="1">MIN(L$9-SUM(L$29:L29),$C30)</f>
        <v>0.16624999999999998</v>
      </c>
      <c r="M30" s="90">
        <f ca="1">MIN(M$9-SUM(M$29:M29),$C30)</f>
        <v>0.16624999999999998</v>
      </c>
      <c r="N30" s="90">
        <f ca="1">MIN(N$9-SUM(N$29:N29),$C30)</f>
        <v>0.16624999999999998</v>
      </c>
      <c r="O30" s="90">
        <f ca="1">MIN(O$9-SUM(O$29:O29),$C30)</f>
        <v>0.16624999999999998</v>
      </c>
      <c r="P30" s="90">
        <f ca="1">MIN(P$9-SUM(P$29:P29),$C30)</f>
        <v>0.16624999999999998</v>
      </c>
      <c r="Q30" s="90">
        <f ca="1">MIN(Q$9-SUM(Q$29:Q29),$C30)</f>
        <v>0.16624999999999998</v>
      </c>
      <c r="R30" s="90">
        <f ca="1">MIN(R$9-SUM(R$29:R29),$C30)</f>
        <v>0.16624999999999998</v>
      </c>
      <c r="S30" s="90">
        <f ca="1">MIN(S$9-SUM(S$29:S29),$C30)</f>
        <v>0.16624999999999998</v>
      </c>
      <c r="T30" s="90">
        <f ca="1">MIN(T$9-SUM(T$29:T29),$C30)</f>
        <v>0.16624999999999998</v>
      </c>
      <c r="U30" s="90">
        <f ca="1">MIN(U$9-SUM(U$29:U29),$C30)</f>
        <v>0.16624999999999998</v>
      </c>
      <c r="V30" s="90">
        <f ca="1">MIN(V$9-SUM(V$29:V29),$C30)</f>
        <v>0.16624999999999998</v>
      </c>
      <c r="W30" s="90">
        <f ca="1">MIN(W$9-SUM(W$29:W29),$C30)</f>
        <v>0.16624999999999998</v>
      </c>
      <c r="X30" s="90">
        <f ca="1">MIN(X$9-SUM(X$29:X29),$C30)</f>
        <v>0.16624999999999998</v>
      </c>
      <c r="Y30" s="90">
        <f ca="1">MIN(Y$9-SUM(Y$29:Y29),$C30)</f>
        <v>0.16624999999999998</v>
      </c>
      <c r="Z30" s="90">
        <f ca="1">MIN(Z$9-SUM(Z$29:Z29),$C30)</f>
        <v>0.16624999999999998</v>
      </c>
      <c r="AA30" s="90">
        <f ca="1">MIN(AA$9-SUM(AA$29:AA29),$C30)</f>
        <v>0.16624999999999998</v>
      </c>
      <c r="AB30" s="90">
        <f ca="1">MIN(AB$9-SUM(AB$29:AB29),$C30)</f>
        <v>0.16624999999999998</v>
      </c>
      <c r="AC30" s="90">
        <f ca="1">MIN(AC$9-SUM(AC$29:AC29),$C30)</f>
        <v>0.16624999999999998</v>
      </c>
      <c r="AD30" s="90">
        <f ca="1">MIN(AD$9-SUM(AD$29:AD29),$C30)</f>
        <v>0.16624999999999998</v>
      </c>
      <c r="AE30" s="90">
        <f ca="1">MIN(AE$9-SUM(AE$29:AE29),$C30)</f>
        <v>0.16624999999999998</v>
      </c>
      <c r="AF30" s="90">
        <f ca="1">MIN(AF$9-SUM(AF$29:AF29),$C30)</f>
        <v>0.16624999999999998</v>
      </c>
      <c r="AG30" s="90">
        <f ca="1">MIN(AG$9-SUM(AG$29:AG29),$C30)</f>
        <v>0.16624999999999998</v>
      </c>
      <c r="AH30" s="90">
        <f ca="1">MIN(AH$9-SUM(AH$29:AH29),$C30)</f>
        <v>0.16624999999999998</v>
      </c>
      <c r="AI30" s="90">
        <f ca="1">MIN(AI$9-SUM(AI$29:AI29),$C30)</f>
        <v>0.16624999999999998</v>
      </c>
      <c r="AJ30" s="90">
        <f ca="1">MIN(AJ$9-SUM(AJ$29:AJ29),$C30)</f>
        <v>0.16624999999999998</v>
      </c>
      <c r="AK30" s="90">
        <f ca="1">MIN(AK$9-SUM(AK$29:AK29),$C30)</f>
        <v>0.16624999999999998</v>
      </c>
      <c r="AL30" s="90">
        <f ca="1">MIN(AL$9-SUM(AL$29:AL29),$C30)</f>
        <v>0.16624999999999998</v>
      </c>
      <c r="AM30" s="90">
        <f ca="1">MIN(AM$9-SUM(AM$29:AM29),$C30)</f>
        <v>0.16624999999999998</v>
      </c>
      <c r="AN30" s="90">
        <f ca="1">MIN(AN$9-SUM(AN$29:AN29),$C30)</f>
        <v>0.16624999999999998</v>
      </c>
      <c r="AO30" s="90">
        <f ca="1">MIN(AO$9-SUM(AO$29:AO29),$C30)</f>
        <v>0.16624999999999998</v>
      </c>
      <c r="AP30" s="90">
        <f ca="1">MIN(AP$9-SUM(AP$29:AP29),$C30)</f>
        <v>0.16624999999999998</v>
      </c>
      <c r="AQ30" s="91">
        <f ca="1">MIN(AQ$9-SUM(AQ$29:AQ29),$C30)</f>
        <v>0.16624999999999998</v>
      </c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</row>
    <row r="31" spans="1:59" x14ac:dyDescent="0.25">
      <c r="A31" s="1">
        <f>'Grid Sizes, Locations, and GHGs'!K6</f>
        <v>6847.732296000002</v>
      </c>
      <c r="B31" s="73" t="str">
        <f>'Grid Sizes, Locations, and GHGs'!A6</f>
        <v>Onsite Usage Electric Assist Direct</v>
      </c>
      <c r="C31" s="74">
        <f>'Grid Sizes, Locations, and GHGs'!H6</f>
        <v>0</v>
      </c>
      <c r="D31" s="74">
        <f>MIN(D$9-SUM(D$29:D30),$C31)</f>
        <v>0</v>
      </c>
      <c r="E31" s="74">
        <f ca="1">MIN(E$9-SUM(E$29:E30),$C31)</f>
        <v>0</v>
      </c>
      <c r="F31" s="74">
        <f ca="1">MIN(F$9-SUM(F$29:F30),$C31)</f>
        <v>0</v>
      </c>
      <c r="G31" s="74">
        <f ca="1">MIN(G$9-SUM(G$29:G30),$C31)</f>
        <v>0</v>
      </c>
      <c r="H31" s="74">
        <f ca="1">MIN(H$9-SUM(H$29:H30),$C31)</f>
        <v>0</v>
      </c>
      <c r="I31" s="74">
        <f ca="1">MIN(I$9-SUM(I$29:I30),$C31)</f>
        <v>0</v>
      </c>
      <c r="J31" s="74">
        <f ca="1">MIN(J$9-SUM(J$29:J30),$C31)</f>
        <v>0</v>
      </c>
      <c r="K31" s="74">
        <f ca="1">MIN(K$9-SUM(K$29:K30),$C31)</f>
        <v>0</v>
      </c>
      <c r="L31" s="74">
        <f ca="1">MIN(L$9-SUM(L$29:L30),$C31)</f>
        <v>0</v>
      </c>
      <c r="M31" s="74">
        <f ca="1">MIN(M$9-SUM(M$29:M30),$C31)</f>
        <v>0</v>
      </c>
      <c r="N31" s="74">
        <f ca="1">MIN(N$9-SUM(N$29:N30),$C31)</f>
        <v>0</v>
      </c>
      <c r="O31" s="74">
        <f ca="1">MIN(O$9-SUM(O$29:O30),$C31)</f>
        <v>0</v>
      </c>
      <c r="P31" s="74">
        <f ca="1">MIN(P$9-SUM(P$29:P30),$C31)</f>
        <v>0</v>
      </c>
      <c r="Q31" s="74">
        <f ca="1">MIN(Q$9-SUM(Q$29:Q30),$C31)</f>
        <v>0</v>
      </c>
      <c r="R31" s="74">
        <f ca="1">MIN(R$9-SUM(R$29:R30),$C31)</f>
        <v>0</v>
      </c>
      <c r="S31" s="74">
        <f ca="1">MIN(S$9-SUM(S$29:S30),$C31)</f>
        <v>0</v>
      </c>
      <c r="T31" s="74">
        <f ca="1">MIN(T$9-SUM(T$29:T30),$C31)</f>
        <v>0</v>
      </c>
      <c r="U31" s="74">
        <f ca="1">MIN(U$9-SUM(U$29:U30),$C31)</f>
        <v>0</v>
      </c>
      <c r="V31" s="74">
        <f ca="1">MIN(V$9-SUM(V$29:V30),$C31)</f>
        <v>0</v>
      </c>
      <c r="W31" s="74">
        <f ca="1">MIN(W$9-SUM(W$29:W30),$C31)</f>
        <v>0</v>
      </c>
      <c r="X31" s="74">
        <f ca="1">MIN(X$9-SUM(X$29:X30),$C31)</f>
        <v>0</v>
      </c>
      <c r="Y31" s="74">
        <f ca="1">MIN(Y$9-SUM(Y$29:Y30),$C31)</f>
        <v>0</v>
      </c>
      <c r="Z31" s="74">
        <f ca="1">MIN(Z$9-SUM(Z$29:Z30),$C31)</f>
        <v>0</v>
      </c>
      <c r="AA31" s="74">
        <f ca="1">MIN(AA$9-SUM(AA$29:AA30),$C31)</f>
        <v>0</v>
      </c>
      <c r="AB31" s="74">
        <f ca="1">MIN(AB$9-SUM(AB$29:AB30),$C31)</f>
        <v>0</v>
      </c>
      <c r="AC31" s="74">
        <f ca="1">MIN(AC$9-SUM(AC$29:AC30),$C31)</f>
        <v>0</v>
      </c>
      <c r="AD31" s="74">
        <f ca="1">MIN(AD$9-SUM(AD$29:AD30),$C31)</f>
        <v>0</v>
      </c>
      <c r="AE31" s="74">
        <f ca="1">MIN(AE$9-SUM(AE$29:AE30),$C31)</f>
        <v>0</v>
      </c>
      <c r="AF31" s="74">
        <f ca="1">MIN(AF$9-SUM(AF$29:AF30),$C31)</f>
        <v>0</v>
      </c>
      <c r="AG31" s="74">
        <f ca="1">MIN(AG$9-SUM(AG$29:AG30),$C31)</f>
        <v>0</v>
      </c>
      <c r="AH31" s="74">
        <f ca="1">MIN(AH$9-SUM(AH$29:AH30),$C31)</f>
        <v>0</v>
      </c>
      <c r="AI31" s="74">
        <f ca="1">MIN(AI$9-SUM(AI$29:AI30),$C31)</f>
        <v>0</v>
      </c>
      <c r="AJ31" s="74">
        <f ca="1">MIN(AJ$9-SUM(AJ$29:AJ30),$C31)</f>
        <v>0</v>
      </c>
      <c r="AK31" s="74">
        <f ca="1">MIN(AK$9-SUM(AK$29:AK30),$C31)</f>
        <v>0</v>
      </c>
      <c r="AL31" s="74">
        <f ca="1">MIN(AL$9-SUM(AL$29:AL30),$C31)</f>
        <v>0</v>
      </c>
      <c r="AM31" s="74">
        <f ca="1">MIN(AM$9-SUM(AM$29:AM30),$C31)</f>
        <v>0</v>
      </c>
      <c r="AN31" s="74">
        <f ca="1">MIN(AN$9-SUM(AN$29:AN30),$C31)</f>
        <v>0</v>
      </c>
      <c r="AO31" s="74">
        <f ca="1">MIN(AO$9-SUM(AO$29:AO30),$C31)</f>
        <v>0</v>
      </c>
      <c r="AP31" s="74">
        <f ca="1">MIN(AP$9-SUM(AP$29:AP30),$C31)</f>
        <v>0</v>
      </c>
      <c r="AQ31" s="75">
        <f ca="1">MIN(AQ$9-SUM(AQ$29:AQ30),$C31)</f>
        <v>0</v>
      </c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</row>
    <row r="32" spans="1:59" x14ac:dyDescent="0.25">
      <c r="A32" s="1">
        <f>'Grid Sizes, Locations, and GHGs'!K7</f>
        <v>6847.732296000002</v>
      </c>
      <c r="B32" s="73" t="str">
        <f>'Grid Sizes, Locations, and GHGs'!A7</f>
        <v>Onsite Usage Electric Assist Indirect</v>
      </c>
      <c r="C32" s="74">
        <f>'Grid Sizes, Locations, and GHGs'!H7</f>
        <v>0</v>
      </c>
      <c r="D32" s="74">
        <f>MIN(D$9-SUM(D$29:D31),$C32)</f>
        <v>0</v>
      </c>
      <c r="E32" s="74">
        <f ca="1">MIN(E$9-SUM(E$29:E31),$C32)</f>
        <v>0</v>
      </c>
      <c r="F32" s="74">
        <f ca="1">MIN(F$9-SUM(F$29:F31),$C32)</f>
        <v>0</v>
      </c>
      <c r="G32" s="74">
        <f ca="1">MIN(G$9-SUM(G$29:G31),$C32)</f>
        <v>0</v>
      </c>
      <c r="H32" s="74">
        <f ca="1">MIN(H$9-SUM(H$29:H31),$C32)</f>
        <v>0</v>
      </c>
      <c r="I32" s="74">
        <f ca="1">MIN(I$9-SUM(I$29:I31),$C32)</f>
        <v>0</v>
      </c>
      <c r="J32" s="74">
        <f ca="1">MIN(J$9-SUM(J$29:J31),$C32)</f>
        <v>0</v>
      </c>
      <c r="K32" s="74">
        <f ca="1">MIN(K$9-SUM(K$29:K31),$C32)</f>
        <v>0</v>
      </c>
      <c r="L32" s="74">
        <f ca="1">MIN(L$9-SUM(L$29:L31),$C32)</f>
        <v>0</v>
      </c>
      <c r="M32" s="74">
        <f ca="1">MIN(M$9-SUM(M$29:M31),$C32)</f>
        <v>0</v>
      </c>
      <c r="N32" s="74">
        <f ca="1">MIN(N$9-SUM(N$29:N31),$C32)</f>
        <v>0</v>
      </c>
      <c r="O32" s="74">
        <f ca="1">MIN(O$9-SUM(O$29:O31),$C32)</f>
        <v>0</v>
      </c>
      <c r="P32" s="74">
        <f ca="1">MIN(P$9-SUM(P$29:P31),$C32)</f>
        <v>0</v>
      </c>
      <c r="Q32" s="74">
        <f ca="1">MIN(Q$9-SUM(Q$29:Q31),$C32)</f>
        <v>0</v>
      </c>
      <c r="R32" s="74">
        <f ca="1">MIN(R$9-SUM(R$29:R31),$C32)</f>
        <v>0</v>
      </c>
      <c r="S32" s="74">
        <f ca="1">MIN(S$9-SUM(S$29:S31),$C32)</f>
        <v>0</v>
      </c>
      <c r="T32" s="74">
        <f ca="1">MIN(T$9-SUM(T$29:T31),$C32)</f>
        <v>0</v>
      </c>
      <c r="U32" s="74">
        <f ca="1">MIN(U$9-SUM(U$29:U31),$C32)</f>
        <v>0</v>
      </c>
      <c r="V32" s="74">
        <f ca="1">MIN(V$9-SUM(V$29:V31),$C32)</f>
        <v>0</v>
      </c>
      <c r="W32" s="74">
        <f ca="1">MIN(W$9-SUM(W$29:W31),$C32)</f>
        <v>0</v>
      </c>
      <c r="X32" s="74">
        <f ca="1">MIN(X$9-SUM(X$29:X31),$C32)</f>
        <v>0</v>
      </c>
      <c r="Y32" s="74">
        <f ca="1">MIN(Y$9-SUM(Y$29:Y31),$C32)</f>
        <v>0</v>
      </c>
      <c r="Z32" s="74">
        <f ca="1">MIN(Z$9-SUM(Z$29:Z31),$C32)</f>
        <v>0</v>
      </c>
      <c r="AA32" s="74">
        <f ca="1">MIN(AA$9-SUM(AA$29:AA31),$C32)</f>
        <v>0</v>
      </c>
      <c r="AB32" s="74">
        <f ca="1">MIN(AB$9-SUM(AB$29:AB31),$C32)</f>
        <v>0</v>
      </c>
      <c r="AC32" s="74">
        <f ca="1">MIN(AC$9-SUM(AC$29:AC31),$C32)</f>
        <v>0</v>
      </c>
      <c r="AD32" s="74">
        <f ca="1">MIN(AD$9-SUM(AD$29:AD31),$C32)</f>
        <v>0</v>
      </c>
      <c r="AE32" s="74">
        <f ca="1">MIN(AE$9-SUM(AE$29:AE31),$C32)</f>
        <v>0</v>
      </c>
      <c r="AF32" s="74">
        <f ca="1">MIN(AF$9-SUM(AF$29:AF31),$C32)</f>
        <v>0</v>
      </c>
      <c r="AG32" s="74">
        <f ca="1">MIN(AG$9-SUM(AG$29:AG31),$C32)</f>
        <v>0</v>
      </c>
      <c r="AH32" s="74">
        <f ca="1">MIN(AH$9-SUM(AH$29:AH31),$C32)</f>
        <v>0</v>
      </c>
      <c r="AI32" s="74">
        <f ca="1">MIN(AI$9-SUM(AI$29:AI31),$C32)</f>
        <v>0</v>
      </c>
      <c r="AJ32" s="74">
        <f ca="1">MIN(AJ$9-SUM(AJ$29:AJ31),$C32)</f>
        <v>0</v>
      </c>
      <c r="AK32" s="74">
        <f ca="1">MIN(AK$9-SUM(AK$29:AK31),$C32)</f>
        <v>0</v>
      </c>
      <c r="AL32" s="74">
        <f ca="1">MIN(AL$9-SUM(AL$29:AL31),$C32)</f>
        <v>0</v>
      </c>
      <c r="AM32" s="74">
        <f ca="1">MIN(AM$9-SUM(AM$29:AM31),$C32)</f>
        <v>0</v>
      </c>
      <c r="AN32" s="74">
        <f ca="1">MIN(AN$9-SUM(AN$29:AN31),$C32)</f>
        <v>0</v>
      </c>
      <c r="AO32" s="74">
        <f ca="1">MIN(AO$9-SUM(AO$29:AO31),$C32)</f>
        <v>0</v>
      </c>
      <c r="AP32" s="74">
        <f ca="1">MIN(AP$9-SUM(AP$29:AP31),$C32)</f>
        <v>0</v>
      </c>
      <c r="AQ32" s="75">
        <f ca="1">MIN(AQ$9-SUM(AQ$29:AQ31),$C32)</f>
        <v>0</v>
      </c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</row>
    <row r="33" spans="1:59" x14ac:dyDescent="0.25">
      <c r="A33" s="1">
        <f>'Grid Sizes, Locations, and GHGs'!K8</f>
        <v>6847.732296000002</v>
      </c>
      <c r="B33" s="73" t="str">
        <f>'Grid Sizes, Locations, and GHGs'!A8</f>
        <v>Alberta</v>
      </c>
      <c r="C33" s="74">
        <f>'Grid Sizes, Locations, and GHGs'!H8</f>
        <v>0.88799999999999979</v>
      </c>
      <c r="D33" s="74">
        <f>MIN(D$9-SUM(D$29:D32),$C33)</f>
        <v>0.78071000000000002</v>
      </c>
      <c r="E33" s="74">
        <f ca="1">MIN(E$9-SUM(E$29:E32),$C33)</f>
        <v>0.88799999999999979</v>
      </c>
      <c r="F33" s="74">
        <f ca="1">MIN(F$9-SUM(F$29:F32),$C33)</f>
        <v>0.88799999999999979</v>
      </c>
      <c r="G33" s="74">
        <f ca="1">MIN(G$9-SUM(G$29:G32),$C33)</f>
        <v>0.88799999999999979</v>
      </c>
      <c r="H33" s="74">
        <f ca="1">MIN(H$9-SUM(H$29:H32),$C33)</f>
        <v>0.88799999999999979</v>
      </c>
      <c r="I33" s="74">
        <f ca="1">MIN(I$9-SUM(I$29:I32),$C33)</f>
        <v>0.88799999999999979</v>
      </c>
      <c r="J33" s="74">
        <f ca="1">MIN(J$9-SUM(J$29:J32),$C33)</f>
        <v>0.88799999999999979</v>
      </c>
      <c r="K33" s="74">
        <f ca="1">MIN(K$9-SUM(K$29:K32),$C33)</f>
        <v>0.88799999999999979</v>
      </c>
      <c r="L33" s="74">
        <f ca="1">MIN(L$9-SUM(L$29:L32),$C33)</f>
        <v>0.88799999999999979</v>
      </c>
      <c r="M33" s="74">
        <f ca="1">MIN(M$9-SUM(M$29:M32),$C33)</f>
        <v>0.88799999999999979</v>
      </c>
      <c r="N33" s="74">
        <f ca="1">MIN(N$9-SUM(N$29:N32),$C33)</f>
        <v>0.88799999999999979</v>
      </c>
      <c r="O33" s="74">
        <f ca="1">MIN(O$9-SUM(O$29:O32),$C33)</f>
        <v>0.88799999999999979</v>
      </c>
      <c r="P33" s="74">
        <f ca="1">MIN(P$9-SUM(P$29:P32),$C33)</f>
        <v>0.88799999999999979</v>
      </c>
      <c r="Q33" s="74">
        <f ca="1">MIN(Q$9-SUM(Q$29:Q32),$C33)</f>
        <v>0.88799999999999979</v>
      </c>
      <c r="R33" s="74">
        <f ca="1">MIN(R$9-SUM(R$29:R32),$C33)</f>
        <v>0.88799999999999979</v>
      </c>
      <c r="S33" s="74">
        <f ca="1">MIN(S$9-SUM(S$29:S32),$C33)</f>
        <v>0.88799999999999979</v>
      </c>
      <c r="T33" s="74">
        <f ca="1">MIN(T$9-SUM(T$29:T32),$C33)</f>
        <v>0.88799999999999979</v>
      </c>
      <c r="U33" s="74">
        <f ca="1">MIN(U$9-SUM(U$29:U32),$C33)</f>
        <v>0.88799999999999979</v>
      </c>
      <c r="V33" s="74">
        <f ca="1">MIN(V$9-SUM(V$29:V32),$C33)</f>
        <v>0.88799999999999979</v>
      </c>
      <c r="W33" s="74">
        <f ca="1">MIN(W$9-SUM(W$29:W32),$C33)</f>
        <v>0.88799999999999979</v>
      </c>
      <c r="X33" s="74">
        <f ca="1">MIN(X$9-SUM(X$29:X32),$C33)</f>
        <v>0.88799999999999979</v>
      </c>
      <c r="Y33" s="74">
        <f ca="1">MIN(Y$9-SUM(Y$29:Y32),$C33)</f>
        <v>0.88799999999999979</v>
      </c>
      <c r="Z33" s="74">
        <f ca="1">MIN(Z$9-SUM(Z$29:Z32),$C33)</f>
        <v>0.88799999999999979</v>
      </c>
      <c r="AA33" s="74">
        <f ca="1">MIN(AA$9-SUM(AA$29:AA32),$C33)</f>
        <v>0.88799999999999979</v>
      </c>
      <c r="AB33" s="74">
        <f ca="1">MIN(AB$9-SUM(AB$29:AB32),$C33)</f>
        <v>0.88799999999999979</v>
      </c>
      <c r="AC33" s="74">
        <f ca="1">MIN(AC$9-SUM(AC$29:AC32),$C33)</f>
        <v>0.88799999999999979</v>
      </c>
      <c r="AD33" s="74">
        <f ca="1">MIN(AD$9-SUM(AD$29:AD32),$C33)</f>
        <v>0.88799999999999979</v>
      </c>
      <c r="AE33" s="74">
        <f ca="1">MIN(AE$9-SUM(AE$29:AE32),$C33)</f>
        <v>0.88799999999999979</v>
      </c>
      <c r="AF33" s="74">
        <f ca="1">MIN(AF$9-SUM(AF$29:AF32),$C33)</f>
        <v>0.88799999999999979</v>
      </c>
      <c r="AG33" s="74">
        <f ca="1">MIN(AG$9-SUM(AG$29:AG32),$C33)</f>
        <v>0.88799999999999979</v>
      </c>
      <c r="AH33" s="74">
        <f ca="1">MIN(AH$9-SUM(AH$29:AH32),$C33)</f>
        <v>0.88799999999999979</v>
      </c>
      <c r="AI33" s="74">
        <f ca="1">MIN(AI$9-SUM(AI$29:AI32),$C33)</f>
        <v>0.88799999999999979</v>
      </c>
      <c r="AJ33" s="74">
        <f ca="1">MIN(AJ$9-SUM(AJ$29:AJ32),$C33)</f>
        <v>0.88799999999999979</v>
      </c>
      <c r="AK33" s="74">
        <f ca="1">MIN(AK$9-SUM(AK$29:AK32),$C33)</f>
        <v>0.88799999999999979</v>
      </c>
      <c r="AL33" s="74">
        <f ca="1">MIN(AL$9-SUM(AL$29:AL32),$C33)</f>
        <v>0.88799999999999979</v>
      </c>
      <c r="AM33" s="74">
        <f ca="1">MIN(AM$9-SUM(AM$29:AM32),$C33)</f>
        <v>0.88799999999999979</v>
      </c>
      <c r="AN33" s="74">
        <f ca="1">MIN(AN$9-SUM(AN$29:AN32),$C33)</f>
        <v>0.88799999999999979</v>
      </c>
      <c r="AO33" s="74">
        <f ca="1">MIN(AO$9-SUM(AO$29:AO32),$C33)</f>
        <v>0.88799999999999979</v>
      </c>
      <c r="AP33" s="74">
        <f ca="1">MIN(AP$9-SUM(AP$29:AP32),$C33)</f>
        <v>0.88799999999999979</v>
      </c>
      <c r="AQ33" s="75">
        <f ca="1">MIN(AQ$9-SUM(AQ$29:AQ32),$C33)</f>
        <v>0.88799999999999979</v>
      </c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</row>
    <row r="34" spans="1:59" x14ac:dyDescent="0.25">
      <c r="A34" s="1">
        <f>'Grid Sizes, Locations, and GHGs'!K9</f>
        <v>3320.0294584837543</v>
      </c>
      <c r="B34" s="73" t="str">
        <f>'Grid Sizes, Locations, and GHGs'!A9</f>
        <v>California</v>
      </c>
      <c r="C34" s="74">
        <f>'Grid Sizes, Locations, and GHGs'!H9</f>
        <v>2.3390999999999997</v>
      </c>
      <c r="D34" s="74">
        <f>MIN(D$9-SUM(D$29:D33),$C34)</f>
        <v>0</v>
      </c>
      <c r="E34" s="74">
        <f ca="1">MIN(E$9-SUM(E$29:E33),$C34)</f>
        <v>0.92194273600000054</v>
      </c>
      <c r="F34" s="74">
        <f ca="1">MIN(F$9-SUM(F$29:F33),$C34)</f>
        <v>1.9035379752732804</v>
      </c>
      <c r="G34" s="74">
        <f ca="1">MIN(G$9-SUM(G$29:G33),$C34)</f>
        <v>2.3390999999999997</v>
      </c>
      <c r="H34" s="74">
        <f ca="1">MIN(H$9-SUM(H$29:H33),$C34)</f>
        <v>2.3390999999999997</v>
      </c>
      <c r="I34" s="74">
        <f ca="1">MIN(I$9-SUM(I$29:I33),$C34)</f>
        <v>2.3390999999999997</v>
      </c>
      <c r="J34" s="74">
        <f ca="1">MIN(J$9-SUM(J$29:J33),$C34)</f>
        <v>2.3390999999999997</v>
      </c>
      <c r="K34" s="74">
        <f ca="1">MIN(K$9-SUM(K$29:K33),$C34)</f>
        <v>2.3390999999999997</v>
      </c>
      <c r="L34" s="74">
        <f ca="1">MIN(L$9-SUM(L$29:L33),$C34)</f>
        <v>2.3390999999999997</v>
      </c>
      <c r="M34" s="74">
        <f ca="1">MIN(M$9-SUM(M$29:M33),$C34)</f>
        <v>2.3390999999999997</v>
      </c>
      <c r="N34" s="74">
        <f ca="1">MIN(N$9-SUM(N$29:N33),$C34)</f>
        <v>2.3390999999999997</v>
      </c>
      <c r="O34" s="74">
        <f ca="1">MIN(O$9-SUM(O$29:O33),$C34)</f>
        <v>2.3390999999999997</v>
      </c>
      <c r="P34" s="74">
        <f ca="1">MIN(P$9-SUM(P$29:P33),$C34)</f>
        <v>2.3390999999999997</v>
      </c>
      <c r="Q34" s="74">
        <f ca="1">MIN(Q$9-SUM(Q$29:Q33),$C34)</f>
        <v>2.3390999999999997</v>
      </c>
      <c r="R34" s="74">
        <f ca="1">MIN(R$9-SUM(R$29:R33),$C34)</f>
        <v>2.3390999999999997</v>
      </c>
      <c r="S34" s="74">
        <f ca="1">MIN(S$9-SUM(S$29:S33),$C34)</f>
        <v>2.3390999999999997</v>
      </c>
      <c r="T34" s="74">
        <f ca="1">MIN(T$9-SUM(T$29:T33),$C34)</f>
        <v>2.3390999999999997</v>
      </c>
      <c r="U34" s="74">
        <f ca="1">MIN(U$9-SUM(U$29:U33),$C34)</f>
        <v>2.3390999999999997</v>
      </c>
      <c r="V34" s="74">
        <f ca="1">MIN(V$9-SUM(V$29:V33),$C34)</f>
        <v>2.3390999999999997</v>
      </c>
      <c r="W34" s="74">
        <f ca="1">MIN(W$9-SUM(W$29:W33),$C34)</f>
        <v>2.3390999999999997</v>
      </c>
      <c r="X34" s="74">
        <f ca="1">MIN(X$9-SUM(X$29:X33),$C34)</f>
        <v>2.3390999999999997</v>
      </c>
      <c r="Y34" s="74">
        <f ca="1">MIN(Y$9-SUM(Y$29:Y33),$C34)</f>
        <v>2.3390999999999997</v>
      </c>
      <c r="Z34" s="74">
        <f ca="1">MIN(Z$9-SUM(Z$29:Z33),$C34)</f>
        <v>2.3390999999999997</v>
      </c>
      <c r="AA34" s="74">
        <f ca="1">MIN(AA$9-SUM(AA$29:AA33),$C34)</f>
        <v>2.3390999999999997</v>
      </c>
      <c r="AB34" s="74">
        <f ca="1">MIN(AB$9-SUM(AB$29:AB33),$C34)</f>
        <v>2.3390999999999997</v>
      </c>
      <c r="AC34" s="74">
        <f ca="1">MIN(AC$9-SUM(AC$29:AC33),$C34)</f>
        <v>2.3390999999999997</v>
      </c>
      <c r="AD34" s="74">
        <f ca="1">MIN(AD$9-SUM(AD$29:AD33),$C34)</f>
        <v>2.3390999999999997</v>
      </c>
      <c r="AE34" s="74">
        <f ca="1">MIN(AE$9-SUM(AE$29:AE33),$C34)</f>
        <v>2.3390999999999997</v>
      </c>
      <c r="AF34" s="74">
        <f ca="1">MIN(AF$9-SUM(AF$29:AF33),$C34)</f>
        <v>2.3390999999999997</v>
      </c>
      <c r="AG34" s="74">
        <f ca="1">MIN(AG$9-SUM(AG$29:AG33),$C34)</f>
        <v>2.3390999999999997</v>
      </c>
      <c r="AH34" s="74">
        <f ca="1">MIN(AH$9-SUM(AH$29:AH33),$C34)</f>
        <v>2.3390999999999997</v>
      </c>
      <c r="AI34" s="74">
        <f ca="1">MIN(AI$9-SUM(AI$29:AI33),$C34)</f>
        <v>2.3390999999999997</v>
      </c>
      <c r="AJ34" s="74">
        <f ca="1">MIN(AJ$9-SUM(AJ$29:AJ33),$C34)</f>
        <v>2.3390999999999997</v>
      </c>
      <c r="AK34" s="74">
        <f ca="1">MIN(AK$9-SUM(AK$29:AK33),$C34)</f>
        <v>2.3390999999999997</v>
      </c>
      <c r="AL34" s="74">
        <f ca="1">MIN(AL$9-SUM(AL$29:AL33),$C34)</f>
        <v>2.3390999999999997</v>
      </c>
      <c r="AM34" s="74">
        <f ca="1">MIN(AM$9-SUM(AM$29:AM33),$C34)</f>
        <v>2.3390999999999997</v>
      </c>
      <c r="AN34" s="74">
        <f ca="1">MIN(AN$9-SUM(AN$29:AN33),$C34)</f>
        <v>2.3390999999999997</v>
      </c>
      <c r="AO34" s="74">
        <f ca="1">MIN(AO$9-SUM(AO$29:AO33),$C34)</f>
        <v>2.3390999999999997</v>
      </c>
      <c r="AP34" s="74">
        <f ca="1">MIN(AP$9-SUM(AP$29:AP33),$C34)</f>
        <v>2.3390999999999997</v>
      </c>
      <c r="AQ34" s="75">
        <f ca="1">MIN(AQ$9-SUM(AQ$29:AQ33),$C34)</f>
        <v>2.3390999999999997</v>
      </c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</row>
    <row r="35" spans="1:59" x14ac:dyDescent="0.25">
      <c r="A35" s="1">
        <f>'Grid Sizes, Locations, and GHGs'!K10</f>
        <v>5452.8464670658686</v>
      </c>
      <c r="B35" s="73" t="str">
        <f>'Grid Sizes, Locations, and GHGs'!A10</f>
        <v>USA (excluding California)</v>
      </c>
      <c r="C35" s="74">
        <f>'Grid Sizes, Locations, and GHGs'!H10</f>
        <v>48.074099999999994</v>
      </c>
      <c r="D35" s="74">
        <f>MIN(D$9-SUM(D$29:D34),$C35)</f>
        <v>0</v>
      </c>
      <c r="E35" s="74">
        <f ca="1">MIN(E$9-SUM(E$29:E34),$C35)</f>
        <v>0</v>
      </c>
      <c r="F35" s="74">
        <f ca="1">MIN(F$9-SUM(F$29:F34),$C35)</f>
        <v>0</v>
      </c>
      <c r="G35" s="74">
        <f ca="1">MIN(G$9-SUM(G$29:G34),$C35)</f>
        <v>0.65367515218304684</v>
      </c>
      <c r="H35" s="74">
        <f ca="1">MIN(H$9-SUM(H$29:H34),$C35)</f>
        <v>1.8274407657514629</v>
      </c>
      <c r="I35" s="74">
        <f ca="1">MIN(I$9-SUM(I$29:I34),$C35)</f>
        <v>3.1028570574137633</v>
      </c>
      <c r="J35" s="74">
        <f ca="1">MIN(J$9-SUM(J$29:J34),$C35)</f>
        <v>4.4986686372924805</v>
      </c>
      <c r="K35" s="74">
        <f ca="1">MIN(K$9-SUM(K$29:K34),$C35)</f>
        <v>6.0219414036526473</v>
      </c>
      <c r="L35" s="74">
        <f ca="1">MIN(L$9-SUM(L$29:L34),$C35)</f>
        <v>7.6831699820982227</v>
      </c>
      <c r="M35" s="74">
        <f ca="1">MIN(M$9-SUM(M$29:M34),$C35)</f>
        <v>9.4929820207335425</v>
      </c>
      <c r="N35" s="74">
        <f ca="1">MIN(N$9-SUM(N$29:N34),$C35)</f>
        <v>11.462935393574178</v>
      </c>
      <c r="O35" s="74">
        <f ca="1">MIN(O$9-SUM(O$29:O34),$C35)</f>
        <v>13.605410786996918</v>
      </c>
      <c r="P35" s="74">
        <f ca="1">MIN(P$9-SUM(P$29:P34),$C35)</f>
        <v>15.933710281640272</v>
      </c>
      <c r="Q35" s="74">
        <f ca="1">MIN(Q$9-SUM(Q$29:Q34),$C35)</f>
        <v>18.462115550903288</v>
      </c>
      <c r="R35" s="74">
        <f ca="1">MIN(R$9-SUM(R$29:R34),$C35)</f>
        <v>21.205960799227523</v>
      </c>
      <c r="S35" s="74">
        <f ca="1">MIN(S$9-SUM(S$29:S34),$C35)</f>
        <v>24.181708607803124</v>
      </c>
      <c r="T35" s="74">
        <f ca="1">MIN(T$9-SUM(T$29:T34),$C35)</f>
        <v>27.407031760219596</v>
      </c>
      <c r="U35" s="74">
        <f ca="1">MIN(U$9-SUM(U$29:U34),$C35)</f>
        <v>30.900900841055559</v>
      </c>
      <c r="V35" s="74">
        <f ca="1">MIN(V$9-SUM(V$29:V34),$C35)</f>
        <v>34.683678163096289</v>
      </c>
      <c r="W35" s="74">
        <f ca="1">MIN(W$9-SUM(W$29:W34),$C35)</f>
        <v>38.777218445965801</v>
      </c>
      <c r="X35" s="74">
        <f ca="1">MIN(X$9-SUM(X$29:X34),$C35)</f>
        <v>42.25801673764709</v>
      </c>
      <c r="Y35" s="74">
        <f ca="1">MIN(Y$9-SUM(Y$29:Y34),$C35)</f>
        <v>46.158477249870636</v>
      </c>
      <c r="Z35" s="74">
        <f ca="1">MIN(Z$9-SUM(Z$29:Z34),$C35)</f>
        <v>48.074099999999994</v>
      </c>
      <c r="AA35" s="74">
        <f ca="1">MIN(AA$9-SUM(AA$29:AA34),$C35)</f>
        <v>48.074099999999994</v>
      </c>
      <c r="AB35" s="74">
        <f ca="1">MIN(AB$9-SUM(AB$29:AB34),$C35)</f>
        <v>48.074099999999994</v>
      </c>
      <c r="AC35" s="74">
        <f ca="1">MIN(AC$9-SUM(AC$29:AC34),$C35)</f>
        <v>48.074099999999994</v>
      </c>
      <c r="AD35" s="74">
        <f ca="1">MIN(AD$9-SUM(AD$29:AD34),$C35)</f>
        <v>48.074099999999994</v>
      </c>
      <c r="AE35" s="74">
        <f ca="1">MIN(AE$9-SUM(AE$29:AE34),$C35)</f>
        <v>48.074099999999994</v>
      </c>
      <c r="AF35" s="74">
        <f ca="1">MIN(AF$9-SUM(AF$29:AF34),$C35)</f>
        <v>48.074099999999994</v>
      </c>
      <c r="AG35" s="74">
        <f ca="1">MIN(AG$9-SUM(AG$29:AG34),$C35)</f>
        <v>48.074099999999994</v>
      </c>
      <c r="AH35" s="74">
        <f ca="1">MIN(AH$9-SUM(AH$29:AH34),$C35)</f>
        <v>48.074099999999994</v>
      </c>
      <c r="AI35" s="74">
        <f ca="1">MIN(AI$9-SUM(AI$29:AI34),$C35)</f>
        <v>48.074099999999994</v>
      </c>
      <c r="AJ35" s="74">
        <f ca="1">MIN(AJ$9-SUM(AJ$29:AJ34),$C35)</f>
        <v>48.074099999999994</v>
      </c>
      <c r="AK35" s="74">
        <f ca="1">MIN(AK$9-SUM(AK$29:AK34),$C35)</f>
        <v>48.074099999999994</v>
      </c>
      <c r="AL35" s="74">
        <f ca="1">MIN(AL$9-SUM(AL$29:AL34),$C35)</f>
        <v>48.074099999999994</v>
      </c>
      <c r="AM35" s="74">
        <f ca="1">MIN(AM$9-SUM(AM$29:AM34),$C35)</f>
        <v>48.074099999999994</v>
      </c>
      <c r="AN35" s="74">
        <f ca="1">MIN(AN$9-SUM(AN$29:AN34),$C35)</f>
        <v>48.074099999999994</v>
      </c>
      <c r="AO35" s="74">
        <f ca="1">MIN(AO$9-SUM(AO$29:AO34),$C35)</f>
        <v>48.074099999999994</v>
      </c>
      <c r="AP35" s="74">
        <f ca="1">MIN(AP$9-SUM(AP$29:AP34),$C35)</f>
        <v>48.074099999999994</v>
      </c>
      <c r="AQ35" s="75">
        <f ca="1">MIN(AQ$9-SUM(AQ$29:AQ34),$C35)</f>
        <v>48.074099999999994</v>
      </c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</row>
    <row r="36" spans="1:59" x14ac:dyDescent="0.25">
      <c r="A36" s="1">
        <f>'Grid Sizes, Locations, and GHGs'!K11</f>
        <v>685.27943188637732</v>
      </c>
      <c r="B36" s="73" t="str">
        <f>'Grid Sizes, Locations, and GHGs'!A11</f>
        <v>Canada (excluding Alberta)</v>
      </c>
      <c r="C36" s="74">
        <f>'Grid Sizes, Locations, and GHGs'!H11</f>
        <v>8.9175999999999984</v>
      </c>
      <c r="D36" s="74">
        <f>MIN(D$9-SUM(D$29:D35),$C36)</f>
        <v>0</v>
      </c>
      <c r="E36" s="74">
        <f ca="1">MIN(E$9-SUM(E$29:E35),$C36)</f>
        <v>0</v>
      </c>
      <c r="F36" s="74">
        <f ca="1">MIN(F$9-SUM(F$29:F35),$C36)</f>
        <v>0</v>
      </c>
      <c r="G36" s="74">
        <f ca="1">MIN(G$9-SUM(G$29:G35),$C36)</f>
        <v>0</v>
      </c>
      <c r="H36" s="74">
        <f ca="1">MIN(H$9-SUM(H$29:H35),$C36)</f>
        <v>0</v>
      </c>
      <c r="I36" s="74">
        <f ca="1">MIN(I$9-SUM(I$29:I35),$C36)</f>
        <v>0</v>
      </c>
      <c r="J36" s="74">
        <f ca="1">MIN(J$9-SUM(J$29:J35),$C36)</f>
        <v>-8.8817841970012523E-16</v>
      </c>
      <c r="K36" s="74">
        <f ca="1">MIN(K$9-SUM(K$29:K35),$C36)</f>
        <v>0</v>
      </c>
      <c r="L36" s="74">
        <f ca="1">MIN(L$9-SUM(L$29:L35),$C36)</f>
        <v>0</v>
      </c>
      <c r="M36" s="74">
        <f ca="1">MIN(M$9-SUM(M$29:M35),$C36)</f>
        <v>0</v>
      </c>
      <c r="N36" s="74">
        <f ca="1">MIN(N$9-SUM(N$29:N35),$C36)</f>
        <v>0</v>
      </c>
      <c r="O36" s="74">
        <f ca="1">MIN(O$9-SUM(O$29:O35),$C36)</f>
        <v>0</v>
      </c>
      <c r="P36" s="74">
        <f ca="1">MIN(P$9-SUM(P$29:P35),$C36)</f>
        <v>0</v>
      </c>
      <c r="Q36" s="74">
        <f ca="1">MIN(Q$9-SUM(Q$29:Q35),$C36)</f>
        <v>0</v>
      </c>
      <c r="R36" s="74">
        <f ca="1">MIN(R$9-SUM(R$29:R35),$C36)</f>
        <v>0</v>
      </c>
      <c r="S36" s="74">
        <f ca="1">MIN(S$9-SUM(S$29:S35),$C36)</f>
        <v>0</v>
      </c>
      <c r="T36" s="74">
        <f ca="1">MIN(T$9-SUM(T$29:T35),$C36)</f>
        <v>0</v>
      </c>
      <c r="U36" s="74">
        <f ca="1">MIN(U$9-SUM(U$29:U35),$C36)</f>
        <v>0</v>
      </c>
      <c r="V36" s="74">
        <f ca="1">MIN(V$9-SUM(V$29:V35),$C36)</f>
        <v>0</v>
      </c>
      <c r="W36" s="74">
        <f ca="1">MIN(W$9-SUM(W$29:W35),$C36)</f>
        <v>0</v>
      </c>
      <c r="X36" s="74">
        <f ca="1">MIN(X$9-SUM(X$29:X35),$C36)</f>
        <v>0</v>
      </c>
      <c r="Y36" s="74">
        <f ca="1">MIN(Y$9-SUM(Y$29:Y35),$C36)</f>
        <v>0</v>
      </c>
      <c r="Z36" s="74">
        <f ca="1">MIN(Z$9-SUM(Z$29:Z35),$C36)</f>
        <v>2.3268961316281676</v>
      </c>
      <c r="AA36" s="74">
        <f ca="1">MIN(AA$9-SUM(AA$29:AA35),$C36)</f>
        <v>6.6677056879955572</v>
      </c>
      <c r="AB36" s="74">
        <f ca="1">MIN(AB$9-SUM(AB$29:AB35),$C36)</f>
        <v>8.9175999999999931</v>
      </c>
      <c r="AC36" s="74">
        <f ca="1">MIN(AC$9-SUM(AC$29:AC35),$C36)</f>
        <v>8.9175999999999931</v>
      </c>
      <c r="AD36" s="74">
        <f ca="1">MIN(AD$9-SUM(AD$29:AD35),$C36)</f>
        <v>8.9175999999999931</v>
      </c>
      <c r="AE36" s="74">
        <f ca="1">MIN(AE$9-SUM(AE$29:AE35),$C36)</f>
        <v>8.9175999999999931</v>
      </c>
      <c r="AF36" s="74">
        <f ca="1">MIN(AF$9-SUM(AF$29:AF35),$C36)</f>
        <v>8.9175999999999931</v>
      </c>
      <c r="AG36" s="74">
        <f ca="1">MIN(AG$9-SUM(AG$29:AG35),$C36)</f>
        <v>8.9175999999999931</v>
      </c>
      <c r="AH36" s="74">
        <f ca="1">MIN(AH$9-SUM(AH$29:AH35),$C36)</f>
        <v>8.9175999999999931</v>
      </c>
      <c r="AI36" s="74">
        <f ca="1">MIN(AI$9-SUM(AI$29:AI35),$C36)</f>
        <v>8.9175999999999931</v>
      </c>
      <c r="AJ36" s="74">
        <f ca="1">MIN(AJ$9-SUM(AJ$29:AJ35),$C36)</f>
        <v>8.9175999999999931</v>
      </c>
      <c r="AK36" s="74">
        <f ca="1">MIN(AK$9-SUM(AK$29:AK35),$C36)</f>
        <v>8.9175999999999931</v>
      </c>
      <c r="AL36" s="74">
        <f ca="1">MIN(AL$9-SUM(AL$29:AL35),$C36)</f>
        <v>8.9175999999999931</v>
      </c>
      <c r="AM36" s="74">
        <f ca="1">MIN(AM$9-SUM(AM$29:AM35),$C36)</f>
        <v>8.9175999999999931</v>
      </c>
      <c r="AN36" s="74">
        <f ca="1">MIN(AN$9-SUM(AN$29:AN35),$C36)</f>
        <v>8.9175999999999931</v>
      </c>
      <c r="AO36" s="74">
        <f ca="1">MIN(AO$9-SUM(AO$29:AO35),$C36)</f>
        <v>8.9175999999999931</v>
      </c>
      <c r="AP36" s="74">
        <f ca="1">MIN(AP$9-SUM(AP$29:AP35),$C36)</f>
        <v>8.9175999999999931</v>
      </c>
      <c r="AQ36" s="75">
        <f ca="1">MIN(AQ$9-SUM(AQ$29:AQ35),$C36)</f>
        <v>8.9175999999999931</v>
      </c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</row>
    <row r="37" spans="1:59" x14ac:dyDescent="0.25">
      <c r="A37" s="1">
        <f>'Grid Sizes, Locations, and GHGs'!K12</f>
        <v>0</v>
      </c>
      <c r="B37" s="73" t="str">
        <f>'Grid Sizes, Locations, and GHGs'!A12</f>
        <v>unused</v>
      </c>
      <c r="C37" s="74">
        <f>'Grid Sizes, Locations, and GHGs'!H12</f>
        <v>0</v>
      </c>
      <c r="D37" s="74">
        <f>MIN(D$9-SUM(D$29:D36),$C37)</f>
        <v>0</v>
      </c>
      <c r="E37" s="74">
        <f ca="1">MIN(E$9-SUM(E$29:E36),$C37)</f>
        <v>0</v>
      </c>
      <c r="F37" s="74">
        <f ca="1">MIN(F$9-SUM(F$29:F36),$C37)</f>
        <v>0</v>
      </c>
      <c r="G37" s="74">
        <f ca="1">MIN(G$9-SUM(G$29:G36),$C37)</f>
        <v>0</v>
      </c>
      <c r="H37" s="74">
        <f ca="1">MIN(H$9-SUM(H$29:H36),$C37)</f>
        <v>0</v>
      </c>
      <c r="I37" s="74">
        <f ca="1">MIN(I$9-SUM(I$29:I36),$C37)</f>
        <v>0</v>
      </c>
      <c r="J37" s="74">
        <f ca="1">MIN(J$9-SUM(J$29:J36),$C37)</f>
        <v>0</v>
      </c>
      <c r="K37" s="74">
        <f ca="1">MIN(K$9-SUM(K$29:K36),$C37)</f>
        <v>0</v>
      </c>
      <c r="L37" s="74">
        <f ca="1">MIN(L$9-SUM(L$29:L36),$C37)</f>
        <v>0</v>
      </c>
      <c r="M37" s="74">
        <f ca="1">MIN(M$9-SUM(M$29:M36),$C37)</f>
        <v>0</v>
      </c>
      <c r="N37" s="74">
        <f ca="1">MIN(N$9-SUM(N$29:N36),$C37)</f>
        <v>0</v>
      </c>
      <c r="O37" s="74">
        <f ca="1">MIN(O$9-SUM(O$29:O36),$C37)</f>
        <v>0</v>
      </c>
      <c r="P37" s="74">
        <f ca="1">MIN(P$9-SUM(P$29:P36),$C37)</f>
        <v>0</v>
      </c>
      <c r="Q37" s="74">
        <f ca="1">MIN(Q$9-SUM(Q$29:Q36),$C37)</f>
        <v>0</v>
      </c>
      <c r="R37" s="74">
        <f ca="1">MIN(R$9-SUM(R$29:R36),$C37)</f>
        <v>0</v>
      </c>
      <c r="S37" s="74">
        <f ca="1">MIN(S$9-SUM(S$29:S36),$C37)</f>
        <v>0</v>
      </c>
      <c r="T37" s="74">
        <f ca="1">MIN(T$9-SUM(T$29:T36),$C37)</f>
        <v>0</v>
      </c>
      <c r="U37" s="74">
        <f ca="1">MIN(U$9-SUM(U$29:U36),$C37)</f>
        <v>0</v>
      </c>
      <c r="V37" s="74">
        <f ca="1">MIN(V$9-SUM(V$29:V36),$C37)</f>
        <v>0</v>
      </c>
      <c r="W37" s="74">
        <f ca="1">MIN(W$9-SUM(W$29:W36),$C37)</f>
        <v>0</v>
      </c>
      <c r="X37" s="74">
        <f ca="1">MIN(X$9-SUM(X$29:X36),$C37)</f>
        <v>0</v>
      </c>
      <c r="Y37" s="74">
        <f ca="1">MIN(Y$9-SUM(Y$29:Y36),$C37)</f>
        <v>0</v>
      </c>
      <c r="Z37" s="74">
        <f ca="1">MIN(Z$9-SUM(Z$29:Z36),$C37)</f>
        <v>0</v>
      </c>
      <c r="AA37" s="74">
        <f ca="1">MIN(AA$9-SUM(AA$29:AA36),$C37)</f>
        <v>0</v>
      </c>
      <c r="AB37" s="74">
        <f ca="1">MIN(AB$9-SUM(AB$29:AB36),$C37)</f>
        <v>0</v>
      </c>
      <c r="AC37" s="74">
        <f ca="1">MIN(AC$9-SUM(AC$29:AC36),$C37)</f>
        <v>0</v>
      </c>
      <c r="AD37" s="74">
        <f ca="1">MIN(AD$9-SUM(AD$29:AD36),$C37)</f>
        <v>0</v>
      </c>
      <c r="AE37" s="74">
        <f ca="1">MIN(AE$9-SUM(AE$29:AE36),$C37)</f>
        <v>0</v>
      </c>
      <c r="AF37" s="74">
        <f ca="1">MIN(AF$9-SUM(AF$29:AF36),$C37)</f>
        <v>0</v>
      </c>
      <c r="AG37" s="74">
        <f ca="1">MIN(AG$9-SUM(AG$29:AG36),$C37)</f>
        <v>0</v>
      </c>
      <c r="AH37" s="74">
        <f ca="1">MIN(AH$9-SUM(AH$29:AH36),$C37)</f>
        <v>0</v>
      </c>
      <c r="AI37" s="74">
        <f ca="1">MIN(AI$9-SUM(AI$29:AI36),$C37)</f>
        <v>0</v>
      </c>
      <c r="AJ37" s="74">
        <f ca="1">MIN(AJ$9-SUM(AJ$29:AJ36),$C37)</f>
        <v>0</v>
      </c>
      <c r="AK37" s="74">
        <f ca="1">MIN(AK$9-SUM(AK$29:AK36),$C37)</f>
        <v>0</v>
      </c>
      <c r="AL37" s="74">
        <f ca="1">MIN(AL$9-SUM(AL$29:AL36),$C37)</f>
        <v>0</v>
      </c>
      <c r="AM37" s="74">
        <f ca="1">MIN(AM$9-SUM(AM$29:AM36),$C37)</f>
        <v>0</v>
      </c>
      <c r="AN37" s="74">
        <f ca="1">MIN(AN$9-SUM(AN$29:AN36),$C37)</f>
        <v>0</v>
      </c>
      <c r="AO37" s="74">
        <f ca="1">MIN(AO$9-SUM(AO$29:AO36),$C37)</f>
        <v>0</v>
      </c>
      <c r="AP37" s="74">
        <f ca="1">MIN(AP$9-SUM(AP$29:AP36),$C37)</f>
        <v>0</v>
      </c>
      <c r="AQ37" s="75">
        <f ca="1">MIN(AQ$9-SUM(AQ$29:AQ36),$C37)</f>
        <v>0</v>
      </c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</row>
    <row r="38" spans="1:59" x14ac:dyDescent="0.25">
      <c r="A38" s="1">
        <f>'Grid Sizes, Locations, and GHGs'!K13</f>
        <v>0</v>
      </c>
      <c r="B38" s="73" t="str">
        <f>'Grid Sizes, Locations, and GHGs'!A13</f>
        <v>unused</v>
      </c>
      <c r="C38" s="74">
        <f>'Grid Sizes, Locations, and GHGs'!H13</f>
        <v>0</v>
      </c>
      <c r="D38" s="74">
        <f>MIN(D$9-SUM(D$29:D37),$C38)</f>
        <v>0</v>
      </c>
      <c r="E38" s="74">
        <f ca="1">MIN(E$9-SUM(E$29:E37),$C38)</f>
        <v>0</v>
      </c>
      <c r="F38" s="74">
        <f ca="1">MIN(F$9-SUM(F$29:F37),$C38)</f>
        <v>0</v>
      </c>
      <c r="G38" s="74">
        <f ca="1">MIN(G$9-SUM(G$29:G37),$C38)</f>
        <v>0</v>
      </c>
      <c r="H38" s="74">
        <f ca="1">MIN(H$9-SUM(H$29:H37),$C38)</f>
        <v>0</v>
      </c>
      <c r="I38" s="74">
        <f ca="1">MIN(I$9-SUM(I$29:I37),$C38)</f>
        <v>0</v>
      </c>
      <c r="J38" s="74">
        <f ca="1">MIN(J$9-SUM(J$29:J37),$C38)</f>
        <v>0</v>
      </c>
      <c r="K38" s="74">
        <f ca="1">MIN(K$9-SUM(K$29:K37),$C38)</f>
        <v>0</v>
      </c>
      <c r="L38" s="74">
        <f ca="1">MIN(L$9-SUM(L$29:L37),$C38)</f>
        <v>0</v>
      </c>
      <c r="M38" s="74">
        <f ca="1">MIN(M$9-SUM(M$29:M37),$C38)</f>
        <v>0</v>
      </c>
      <c r="N38" s="74">
        <f ca="1">MIN(N$9-SUM(N$29:N37),$C38)</f>
        <v>0</v>
      </c>
      <c r="O38" s="74">
        <f ca="1">MIN(O$9-SUM(O$29:O37),$C38)</f>
        <v>0</v>
      </c>
      <c r="P38" s="74">
        <f ca="1">MIN(P$9-SUM(P$29:P37),$C38)</f>
        <v>0</v>
      </c>
      <c r="Q38" s="74">
        <f ca="1">MIN(Q$9-SUM(Q$29:Q37),$C38)</f>
        <v>0</v>
      </c>
      <c r="R38" s="74">
        <f ca="1">MIN(R$9-SUM(R$29:R37),$C38)</f>
        <v>0</v>
      </c>
      <c r="S38" s="74">
        <f ca="1">MIN(S$9-SUM(S$29:S37),$C38)</f>
        <v>0</v>
      </c>
      <c r="T38" s="74">
        <f ca="1">MIN(T$9-SUM(T$29:T37),$C38)</f>
        <v>0</v>
      </c>
      <c r="U38" s="74">
        <f ca="1">MIN(U$9-SUM(U$29:U37),$C38)</f>
        <v>0</v>
      </c>
      <c r="V38" s="74">
        <f ca="1">MIN(V$9-SUM(V$29:V37),$C38)</f>
        <v>0</v>
      </c>
      <c r="W38" s="74">
        <f ca="1">MIN(W$9-SUM(W$29:W37),$C38)</f>
        <v>0</v>
      </c>
      <c r="X38" s="74">
        <f ca="1">MIN(X$9-SUM(X$29:X37),$C38)</f>
        <v>0</v>
      </c>
      <c r="Y38" s="74">
        <f ca="1">MIN(Y$9-SUM(Y$29:Y37),$C38)</f>
        <v>0</v>
      </c>
      <c r="Z38" s="74">
        <f ca="1">MIN(Z$9-SUM(Z$29:Z37),$C38)</f>
        <v>0</v>
      </c>
      <c r="AA38" s="74">
        <f ca="1">MIN(AA$9-SUM(AA$29:AA37),$C38)</f>
        <v>0</v>
      </c>
      <c r="AB38" s="74">
        <f ca="1">MIN(AB$9-SUM(AB$29:AB37),$C38)</f>
        <v>0</v>
      </c>
      <c r="AC38" s="74">
        <f ca="1">MIN(AC$9-SUM(AC$29:AC37),$C38)</f>
        <v>0</v>
      </c>
      <c r="AD38" s="74">
        <f ca="1">MIN(AD$9-SUM(AD$29:AD37),$C38)</f>
        <v>0</v>
      </c>
      <c r="AE38" s="74">
        <f ca="1">MIN(AE$9-SUM(AE$29:AE37),$C38)</f>
        <v>0</v>
      </c>
      <c r="AF38" s="74">
        <f ca="1">MIN(AF$9-SUM(AF$29:AF37),$C38)</f>
        <v>0</v>
      </c>
      <c r="AG38" s="74">
        <f ca="1">MIN(AG$9-SUM(AG$29:AG37),$C38)</f>
        <v>0</v>
      </c>
      <c r="AH38" s="74">
        <f ca="1">MIN(AH$9-SUM(AH$29:AH37),$C38)</f>
        <v>0</v>
      </c>
      <c r="AI38" s="74">
        <f ca="1">MIN(AI$9-SUM(AI$29:AI37),$C38)</f>
        <v>0</v>
      </c>
      <c r="AJ38" s="74">
        <f ca="1">MIN(AJ$9-SUM(AJ$29:AJ37),$C38)</f>
        <v>0</v>
      </c>
      <c r="AK38" s="74">
        <f ca="1">MIN(AK$9-SUM(AK$29:AK37),$C38)</f>
        <v>0</v>
      </c>
      <c r="AL38" s="74">
        <f ca="1">MIN(AL$9-SUM(AL$29:AL37),$C38)</f>
        <v>0</v>
      </c>
      <c r="AM38" s="74">
        <f ca="1">MIN(AM$9-SUM(AM$29:AM37),$C38)</f>
        <v>0</v>
      </c>
      <c r="AN38" s="74">
        <f ca="1">MIN(AN$9-SUM(AN$29:AN37),$C38)</f>
        <v>0</v>
      </c>
      <c r="AO38" s="74">
        <f ca="1">MIN(AO$9-SUM(AO$29:AO37),$C38)</f>
        <v>0</v>
      </c>
      <c r="AP38" s="74">
        <f ca="1">MIN(AP$9-SUM(AP$29:AP37),$C38)</f>
        <v>0</v>
      </c>
      <c r="AQ38" s="75">
        <f ca="1">MIN(AQ$9-SUM(AQ$29:AQ37),$C38)</f>
        <v>0</v>
      </c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</row>
    <row r="39" spans="1:59" x14ac:dyDescent="0.25">
      <c r="A39" s="1">
        <f>'Grid Sizes, Locations, and GHGs'!K14</f>
        <v>0</v>
      </c>
      <c r="B39" s="84" t="str">
        <f>'Grid Sizes, Locations, and GHGs'!A14</f>
        <v>unused</v>
      </c>
      <c r="C39" s="85">
        <f>'Grid Sizes, Locations, and GHGs'!H14</f>
        <v>0</v>
      </c>
      <c r="D39" s="85">
        <f>MIN(D$9-SUM(D$29:D38),$C39)</f>
        <v>0</v>
      </c>
      <c r="E39" s="85">
        <f ca="1">MIN(E$9-SUM(E$29:E38),$C39)</f>
        <v>0</v>
      </c>
      <c r="F39" s="85">
        <f ca="1">MIN(F$9-SUM(F$29:F38),$C39)</f>
        <v>0</v>
      </c>
      <c r="G39" s="85">
        <f ca="1">MIN(G$9-SUM(G$29:G38),$C39)</f>
        <v>0</v>
      </c>
      <c r="H39" s="85">
        <f ca="1">MIN(H$9-SUM(H$29:H38),$C39)</f>
        <v>0</v>
      </c>
      <c r="I39" s="85">
        <f ca="1">MIN(I$9-SUM(I$29:I38),$C39)</f>
        <v>0</v>
      </c>
      <c r="J39" s="85">
        <f ca="1">MIN(J$9-SUM(J$29:J38),$C39)</f>
        <v>0</v>
      </c>
      <c r="K39" s="85">
        <f ca="1">MIN(K$9-SUM(K$29:K38),$C39)</f>
        <v>0</v>
      </c>
      <c r="L39" s="85">
        <f ca="1">MIN(L$9-SUM(L$29:L38),$C39)</f>
        <v>0</v>
      </c>
      <c r="M39" s="85">
        <f ca="1">MIN(M$9-SUM(M$29:M38),$C39)</f>
        <v>0</v>
      </c>
      <c r="N39" s="85">
        <f ca="1">MIN(N$9-SUM(N$29:N38),$C39)</f>
        <v>0</v>
      </c>
      <c r="O39" s="85">
        <f ca="1">MIN(O$9-SUM(O$29:O38),$C39)</f>
        <v>0</v>
      </c>
      <c r="P39" s="85">
        <f ca="1">MIN(P$9-SUM(P$29:P38),$C39)</f>
        <v>0</v>
      </c>
      <c r="Q39" s="85">
        <f ca="1">MIN(Q$9-SUM(Q$29:Q38),$C39)</f>
        <v>0</v>
      </c>
      <c r="R39" s="85">
        <f ca="1">MIN(R$9-SUM(R$29:R38),$C39)</f>
        <v>0</v>
      </c>
      <c r="S39" s="85">
        <f ca="1">MIN(S$9-SUM(S$29:S38),$C39)</f>
        <v>0</v>
      </c>
      <c r="T39" s="85">
        <f ca="1">MIN(T$9-SUM(T$29:T38),$C39)</f>
        <v>0</v>
      </c>
      <c r="U39" s="85">
        <f ca="1">MIN(U$9-SUM(U$29:U38),$C39)</f>
        <v>0</v>
      </c>
      <c r="V39" s="85">
        <f ca="1">MIN(V$9-SUM(V$29:V38),$C39)</f>
        <v>0</v>
      </c>
      <c r="W39" s="85">
        <f ca="1">MIN(W$9-SUM(W$29:W38),$C39)</f>
        <v>0</v>
      </c>
      <c r="X39" s="85">
        <f ca="1">MIN(X$9-SUM(X$29:X38),$C39)</f>
        <v>0</v>
      </c>
      <c r="Y39" s="85">
        <f ca="1">MIN(Y$9-SUM(Y$29:Y38),$C39)</f>
        <v>0</v>
      </c>
      <c r="Z39" s="85">
        <f ca="1">MIN(Z$9-SUM(Z$29:Z38),$C39)</f>
        <v>0</v>
      </c>
      <c r="AA39" s="85">
        <f ca="1">MIN(AA$9-SUM(AA$29:AA38),$C39)</f>
        <v>0</v>
      </c>
      <c r="AB39" s="85">
        <f ca="1">MIN(AB$9-SUM(AB$29:AB38),$C39)</f>
        <v>0</v>
      </c>
      <c r="AC39" s="85">
        <f ca="1">MIN(AC$9-SUM(AC$29:AC38),$C39)</f>
        <v>0</v>
      </c>
      <c r="AD39" s="85">
        <f ca="1">MIN(AD$9-SUM(AD$29:AD38),$C39)</f>
        <v>0</v>
      </c>
      <c r="AE39" s="85">
        <f ca="1">MIN(AE$9-SUM(AE$29:AE38),$C39)</f>
        <v>0</v>
      </c>
      <c r="AF39" s="85">
        <f ca="1">MIN(AF$9-SUM(AF$29:AF38),$C39)</f>
        <v>0</v>
      </c>
      <c r="AG39" s="85">
        <f ca="1">MIN(AG$9-SUM(AG$29:AG38),$C39)</f>
        <v>0</v>
      </c>
      <c r="AH39" s="85">
        <f ca="1">MIN(AH$9-SUM(AH$29:AH38),$C39)</f>
        <v>0</v>
      </c>
      <c r="AI39" s="85">
        <f ca="1">MIN(AI$9-SUM(AI$29:AI38),$C39)</f>
        <v>0</v>
      </c>
      <c r="AJ39" s="85">
        <f ca="1">MIN(AJ$9-SUM(AJ$29:AJ38),$C39)</f>
        <v>0</v>
      </c>
      <c r="AK39" s="85">
        <f ca="1">MIN(AK$9-SUM(AK$29:AK38),$C39)</f>
        <v>0</v>
      </c>
      <c r="AL39" s="85">
        <f ca="1">MIN(AL$9-SUM(AL$29:AL38),$C39)</f>
        <v>0</v>
      </c>
      <c r="AM39" s="85">
        <f ca="1">MIN(AM$9-SUM(AM$29:AM38),$C39)</f>
        <v>0</v>
      </c>
      <c r="AN39" s="85">
        <f ca="1">MIN(AN$9-SUM(AN$29:AN38),$C39)</f>
        <v>0</v>
      </c>
      <c r="AO39" s="85">
        <f ca="1">MIN(AO$9-SUM(AO$29:AO38),$C39)</f>
        <v>0</v>
      </c>
      <c r="AP39" s="85">
        <f ca="1">MIN(AP$9-SUM(AP$29:AP38),$C39)</f>
        <v>0</v>
      </c>
      <c r="AQ39" s="86">
        <f ca="1">MIN(AQ$9-SUM(AQ$29:AQ38),$C39)</f>
        <v>0</v>
      </c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</row>
    <row r="40" spans="1:59" x14ac:dyDescent="0.25">
      <c r="A40" s="1"/>
      <c r="B40" s="73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5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</row>
    <row r="41" spans="1:59" ht="18.75" x14ac:dyDescent="0.3">
      <c r="B41" s="76" t="s">
        <v>162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8"/>
    </row>
    <row r="42" spans="1:59" ht="26.25" customHeight="1" x14ac:dyDescent="0.25">
      <c r="A42" s="72" t="s">
        <v>98</v>
      </c>
      <c r="B42" s="71" t="s">
        <v>156</v>
      </c>
      <c r="C42" s="72" t="s">
        <v>159</v>
      </c>
      <c r="D42" s="72" t="s">
        <v>159</v>
      </c>
      <c r="E42" s="72" t="s">
        <v>159</v>
      </c>
      <c r="F42" s="72" t="s">
        <v>159</v>
      </c>
      <c r="G42" s="72" t="s">
        <v>159</v>
      </c>
      <c r="H42" s="72" t="s">
        <v>159</v>
      </c>
      <c r="I42" s="72" t="s">
        <v>159</v>
      </c>
      <c r="J42" s="72" t="s">
        <v>159</v>
      </c>
      <c r="K42" s="72" t="s">
        <v>159</v>
      </c>
      <c r="L42" s="72" t="s">
        <v>159</v>
      </c>
      <c r="M42" s="72" t="s">
        <v>159</v>
      </c>
      <c r="N42" s="72" t="s">
        <v>159</v>
      </c>
      <c r="O42" s="72" t="s">
        <v>159</v>
      </c>
      <c r="P42" s="72" t="s">
        <v>159</v>
      </c>
      <c r="Q42" s="72" t="s">
        <v>159</v>
      </c>
      <c r="R42" s="72" t="s">
        <v>159</v>
      </c>
      <c r="S42" s="72" t="s">
        <v>159</v>
      </c>
      <c r="T42" s="72" t="s">
        <v>159</v>
      </c>
      <c r="U42" s="72" t="s">
        <v>159</v>
      </c>
      <c r="V42" s="72" t="s">
        <v>159</v>
      </c>
      <c r="W42" s="72" t="s">
        <v>159</v>
      </c>
      <c r="X42" s="72" t="s">
        <v>159</v>
      </c>
      <c r="Y42" s="72" t="s">
        <v>159</v>
      </c>
      <c r="Z42" s="72" t="s">
        <v>159</v>
      </c>
      <c r="AA42" s="72" t="s">
        <v>159</v>
      </c>
      <c r="AB42" s="72" t="s">
        <v>159</v>
      </c>
      <c r="AC42" s="72" t="s">
        <v>159</v>
      </c>
      <c r="AD42" s="72" t="s">
        <v>159</v>
      </c>
      <c r="AE42" s="72" t="s">
        <v>159</v>
      </c>
      <c r="AF42" s="72" t="s">
        <v>159</v>
      </c>
      <c r="AG42" s="72" t="s">
        <v>159</v>
      </c>
      <c r="AH42" s="72" t="s">
        <v>159</v>
      </c>
      <c r="AI42" s="72" t="s">
        <v>159</v>
      </c>
      <c r="AJ42" s="72" t="s">
        <v>159</v>
      </c>
      <c r="AK42" s="72" t="s">
        <v>159</v>
      </c>
      <c r="AL42" s="72" t="s">
        <v>159</v>
      </c>
      <c r="AM42" s="72" t="s">
        <v>159</v>
      </c>
      <c r="AN42" s="72" t="s">
        <v>159</v>
      </c>
      <c r="AO42" s="72" t="s">
        <v>159</v>
      </c>
      <c r="AP42" s="72" t="s">
        <v>159</v>
      </c>
      <c r="AQ42" s="97" t="s">
        <v>159</v>
      </c>
    </row>
    <row r="43" spans="1:59" x14ac:dyDescent="0.25">
      <c r="A43" s="89">
        <f>'Grid Sizes, Locations, and GHGs'!D5</f>
        <v>0</v>
      </c>
      <c r="B43" s="88" t="str">
        <f>'Grid Sizes, Locations, and GHGs'!A5</f>
        <v>Onsite Usage Via Cogen</v>
      </c>
      <c r="C43" s="89">
        <v>0</v>
      </c>
      <c r="D43" s="89">
        <v>0</v>
      </c>
      <c r="E43" s="90">
        <f ca="1">D43+D56-IF(E$2-1&gt;='Main Variables'!$B$34,OFFSET('Cumulative 40yr Model'!E56,0,-'Main Variables'!$B$34,1,1),0)</f>
        <v>0.16624999999999998</v>
      </c>
      <c r="F43" s="90">
        <f ca="1">E43+E56-IF(F$2-1&gt;='Main Variables'!$B$34,OFFSET('Cumulative 40yr Model'!F56,0,-'Main Variables'!$B$34,1,1),0)</f>
        <v>0.16624999999999998</v>
      </c>
      <c r="G43" s="90">
        <f ca="1">F43+F56-IF(G$2-1&gt;='Main Variables'!$B$34,OFFSET('Cumulative 40yr Model'!G56,0,-'Main Variables'!$B$34,1,1),0)</f>
        <v>0.16624999999999998</v>
      </c>
      <c r="H43" s="90">
        <f ca="1">G43+G56-IF(H$2-1&gt;='Main Variables'!$B$34,OFFSET('Cumulative 40yr Model'!H56,0,-'Main Variables'!$B$34,1,1),0)</f>
        <v>0.16624999999999998</v>
      </c>
      <c r="I43" s="90">
        <f ca="1">H43+H56-IF(I$2-1&gt;='Main Variables'!$B$34,OFFSET('Cumulative 40yr Model'!I56,0,-'Main Variables'!$B$34,1,1),0)</f>
        <v>0.16624999999999998</v>
      </c>
      <c r="J43" s="90">
        <f ca="1">I43+I56-IF(J$2-1&gt;='Main Variables'!$B$34,OFFSET('Cumulative 40yr Model'!J56,0,-'Main Variables'!$B$34,1,1),0)</f>
        <v>0.16624999999999998</v>
      </c>
      <c r="K43" s="90">
        <f ca="1">J43+J56-IF(K$2-1&gt;='Main Variables'!$B$34,OFFSET('Cumulative 40yr Model'!K56,0,-'Main Variables'!$B$34,1,1),0)</f>
        <v>0.16624999999999998</v>
      </c>
      <c r="L43" s="90">
        <f ca="1">K43+K56-IF(L$2-1&gt;='Main Variables'!$B$34,OFFSET('Cumulative 40yr Model'!L56,0,-'Main Variables'!$B$34,1,1),0)</f>
        <v>0.16624999999999998</v>
      </c>
      <c r="M43" s="90">
        <f ca="1">L43+L56-IF(M$2-1&gt;='Main Variables'!$B$34,OFFSET('Cumulative 40yr Model'!M56,0,-'Main Variables'!$B$34,1,1),0)</f>
        <v>0.16624999999999998</v>
      </c>
      <c r="N43" s="90">
        <f ca="1">M43+M56-IF(N$2-1&gt;='Main Variables'!$B$34,OFFSET('Cumulative 40yr Model'!N56,0,-'Main Variables'!$B$34,1,1),0)</f>
        <v>0.16624999999999998</v>
      </c>
      <c r="O43" s="90">
        <f ca="1">N43+N56-IF(O$2-1&gt;='Main Variables'!$B$34,OFFSET('Cumulative 40yr Model'!O56,0,-'Main Variables'!$B$34,1,1),0)</f>
        <v>0.16624999999999998</v>
      </c>
      <c r="P43" s="90">
        <f ca="1">O43+O56-IF(P$2-1&gt;='Main Variables'!$B$34,OFFSET('Cumulative 40yr Model'!P56,0,-'Main Variables'!$B$34,1,1),0)</f>
        <v>0.16624999999999998</v>
      </c>
      <c r="Q43" s="90">
        <f ca="1">P43+P56-IF(Q$2-1&gt;='Main Variables'!$B$34,OFFSET('Cumulative 40yr Model'!Q56,0,-'Main Variables'!$B$34,1,1),0)</f>
        <v>0.16624999999999998</v>
      </c>
      <c r="R43" s="90">
        <f ca="1">Q43+Q56-IF(R$2-1&gt;='Main Variables'!$B$34,OFFSET('Cumulative 40yr Model'!R56,0,-'Main Variables'!$B$34,1,1),0)</f>
        <v>0.16624999999999998</v>
      </c>
      <c r="S43" s="90">
        <f ca="1">R43+R56-IF(S$2-1&gt;='Main Variables'!$B$34,OFFSET('Cumulative 40yr Model'!S56,0,-'Main Variables'!$B$34,1,1),0)</f>
        <v>0.16624999999999998</v>
      </c>
      <c r="T43" s="90">
        <f ca="1">S43+S56-IF(T$2-1&gt;='Main Variables'!$B$34,OFFSET('Cumulative 40yr Model'!T56,0,-'Main Variables'!$B$34,1,1),0)</f>
        <v>0.16624999999999998</v>
      </c>
      <c r="U43" s="90">
        <f ca="1">T43+T56-IF(U$2-1&gt;='Main Variables'!$B$34,OFFSET('Cumulative 40yr Model'!U56,0,-'Main Variables'!$B$34,1,1),0)</f>
        <v>0.16624999999999998</v>
      </c>
      <c r="V43" s="90">
        <f ca="1">U43+U56-IF(V$2-1&gt;='Main Variables'!$B$34,OFFSET('Cumulative 40yr Model'!V56,0,-'Main Variables'!$B$34,1,1),0)</f>
        <v>0.16624999999999998</v>
      </c>
      <c r="W43" s="90">
        <f ca="1">V43+V56-IF(W$2-1&gt;='Main Variables'!$B$34,OFFSET('Cumulative 40yr Model'!W56,0,-'Main Variables'!$B$34,1,1),0)</f>
        <v>0.16624999999999998</v>
      </c>
      <c r="X43" s="90">
        <f ca="1">W43+W56-IF(X$2-1&gt;='Main Variables'!$B$34,OFFSET('Cumulative 40yr Model'!X56,0,-'Main Variables'!$B$34,1,1),0)</f>
        <v>0.16624999999999998</v>
      </c>
      <c r="Y43" s="90">
        <f ca="1">X43+X56-IF(Y$2-1&gt;='Main Variables'!$B$34,OFFSET('Cumulative 40yr Model'!Y56,0,-'Main Variables'!$B$34,1,1),0)</f>
        <v>0.16624999999999998</v>
      </c>
      <c r="Z43" s="90">
        <f ca="1">Y43+Y56-IF(Z$2-1&gt;='Main Variables'!$B$34,OFFSET('Cumulative 40yr Model'!Z56,0,-'Main Variables'!$B$34,1,1),0)</f>
        <v>0.16624999999999998</v>
      </c>
      <c r="AA43" s="90">
        <f ca="1">Z43+Z56-IF(AA$2-1&gt;='Main Variables'!$B$34,OFFSET('Cumulative 40yr Model'!AA56,0,-'Main Variables'!$B$34,1,1),0)</f>
        <v>0.16624999999999998</v>
      </c>
      <c r="AB43" s="90">
        <f ca="1">AA43+AA56-IF(AB$2-1&gt;='Main Variables'!$B$34,OFFSET('Cumulative 40yr Model'!AB56,0,-'Main Variables'!$B$34,1,1),0)</f>
        <v>0.16624999999999998</v>
      </c>
      <c r="AC43" s="90">
        <f ca="1">AB43+AB56-IF(AC$2-1&gt;='Main Variables'!$B$34,OFFSET('Cumulative 40yr Model'!AC56,0,-'Main Variables'!$B$34,1,1),0)</f>
        <v>0.16624999999999998</v>
      </c>
      <c r="AD43" s="90">
        <f ca="1">AC43+AC56-IF(AD$2-1&gt;='Main Variables'!$B$34,OFFSET('Cumulative 40yr Model'!AD56,0,-'Main Variables'!$B$34,1,1),0)</f>
        <v>0.16624999999999998</v>
      </c>
      <c r="AE43" s="90">
        <f ca="1">AD43+AD56-IF(AE$2-1&gt;='Main Variables'!$B$34,OFFSET('Cumulative 40yr Model'!AE56,0,-'Main Variables'!$B$34,1,1),0)</f>
        <v>0.16624999999999998</v>
      </c>
      <c r="AF43" s="90">
        <f ca="1">AE43+AE56-IF(AF$2-1&gt;='Main Variables'!$B$34,OFFSET('Cumulative 40yr Model'!AF56,0,-'Main Variables'!$B$34,1,1),0)</f>
        <v>0.16624999999999998</v>
      </c>
      <c r="AG43" s="90">
        <f ca="1">AF43+AF56-IF(AG$2-1&gt;='Main Variables'!$B$34,OFFSET('Cumulative 40yr Model'!AG56,0,-'Main Variables'!$B$34,1,1),0)</f>
        <v>0.16624999999999998</v>
      </c>
      <c r="AH43" s="90">
        <f ca="1">AG43+AG56-IF(AH$2-1&gt;='Main Variables'!$B$34,OFFSET('Cumulative 40yr Model'!AH56,0,-'Main Variables'!$B$34,1,1),0)</f>
        <v>0</v>
      </c>
      <c r="AI43" s="90">
        <f ca="1">AH43+AH56-IF(AI$2-1&gt;='Main Variables'!$B$34,OFFSET('Cumulative 40yr Model'!AI56,0,-'Main Variables'!$B$34,1,1),0)</f>
        <v>0.16624999999999998</v>
      </c>
      <c r="AJ43" s="90">
        <f ca="1">AI43+AI56-IF(AJ$2-1&gt;='Main Variables'!$B$34,OFFSET('Cumulative 40yr Model'!AJ56,0,-'Main Variables'!$B$34,1,1),0)</f>
        <v>0.16624999999999998</v>
      </c>
      <c r="AK43" s="90">
        <f ca="1">AJ43+AJ56-IF(AK$2-1&gt;='Main Variables'!$B$34,OFFSET('Cumulative 40yr Model'!AK56,0,-'Main Variables'!$B$34,1,1),0)</f>
        <v>0.16624999999999998</v>
      </c>
      <c r="AL43" s="90">
        <f ca="1">AK43+AK56-IF(AL$2-1&gt;='Main Variables'!$B$34,OFFSET('Cumulative 40yr Model'!AL56,0,-'Main Variables'!$B$34,1,1),0)</f>
        <v>0.16624999999999998</v>
      </c>
      <c r="AM43" s="90">
        <f ca="1">AL43+AL56-IF(AM$2-1&gt;='Main Variables'!$B$34,OFFSET('Cumulative 40yr Model'!AM56,0,-'Main Variables'!$B$34,1,1),0)</f>
        <v>0.16624999999999998</v>
      </c>
      <c r="AN43" s="90">
        <f ca="1">AM43+AM56-IF(AN$2-1&gt;='Main Variables'!$B$34,OFFSET('Cumulative 40yr Model'!AN56,0,-'Main Variables'!$B$34,1,1),0)</f>
        <v>0.16624999999999998</v>
      </c>
      <c r="AO43" s="90">
        <f ca="1">AN43+AN56-IF(AO$2-1&gt;='Main Variables'!$B$34,OFFSET('Cumulative 40yr Model'!AO56,0,-'Main Variables'!$B$34,1,1),0)</f>
        <v>0.16624999999999998</v>
      </c>
      <c r="AP43" s="90">
        <f ca="1">AO43+AO56-IF(AP$2-1&gt;='Main Variables'!$B$34,OFFSET('Cumulative 40yr Model'!AP56,0,-'Main Variables'!$B$34,1,1),0)</f>
        <v>0.16624999999999998</v>
      </c>
      <c r="AQ43" s="91">
        <f ca="1">AP43+AP56-IF(AQ$2-1&gt;='Main Variables'!$B$34,OFFSET('Cumulative 40yr Model'!AQ56,0,-'Main Variables'!$B$34,1,1),0)</f>
        <v>0.16624999999999998</v>
      </c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</row>
    <row r="44" spans="1:59" x14ac:dyDescent="0.25">
      <c r="A44" s="9">
        <f>'Grid Sizes, Locations, and GHGs'!D6</f>
        <v>0</v>
      </c>
      <c r="B44" s="73" t="str">
        <f>'Grid Sizes, Locations, and GHGs'!A6</f>
        <v>Onsite Usage Electric Assist Direct</v>
      </c>
      <c r="C44" s="9">
        <v>0</v>
      </c>
      <c r="D44" s="9">
        <v>0</v>
      </c>
      <c r="E44" s="74">
        <f ca="1">D44+D57-IF(E$2-1&gt;='Main Variables'!$B$34,OFFSET('Cumulative 40yr Model'!E57,0,-'Main Variables'!$B$34,1,1),0)</f>
        <v>0</v>
      </c>
      <c r="F44" s="74">
        <f ca="1">E44+E57-IF(F$2-1&gt;='Main Variables'!$B$34,OFFSET('Cumulative 40yr Model'!F57,0,-'Main Variables'!$B$34,1,1),0)</f>
        <v>0</v>
      </c>
      <c r="G44" s="74">
        <f ca="1">F44+F57-IF(G$2-1&gt;='Main Variables'!$B$34,OFFSET('Cumulative 40yr Model'!G57,0,-'Main Variables'!$B$34,1,1),0)</f>
        <v>0</v>
      </c>
      <c r="H44" s="74">
        <f ca="1">G44+G57-IF(H$2-1&gt;='Main Variables'!$B$34,OFFSET('Cumulative 40yr Model'!H57,0,-'Main Variables'!$B$34,1,1),0)</f>
        <v>0</v>
      </c>
      <c r="I44" s="74">
        <f ca="1">H44+H57-IF(I$2-1&gt;='Main Variables'!$B$34,OFFSET('Cumulative 40yr Model'!I57,0,-'Main Variables'!$B$34,1,1),0)</f>
        <v>0</v>
      </c>
      <c r="J44" s="74">
        <f ca="1">I44+I57-IF(J$2-1&gt;='Main Variables'!$B$34,OFFSET('Cumulative 40yr Model'!J57,0,-'Main Variables'!$B$34,1,1),0)</f>
        <v>0</v>
      </c>
      <c r="K44" s="74">
        <f ca="1">J44+J57-IF(K$2-1&gt;='Main Variables'!$B$34,OFFSET('Cumulative 40yr Model'!K57,0,-'Main Variables'!$B$34,1,1),0)</f>
        <v>0</v>
      </c>
      <c r="L44" s="74">
        <f ca="1">K44+K57-IF(L$2-1&gt;='Main Variables'!$B$34,OFFSET('Cumulative 40yr Model'!L57,0,-'Main Variables'!$B$34,1,1),0)</f>
        <v>0</v>
      </c>
      <c r="M44" s="74">
        <f ca="1">L44+L57-IF(M$2-1&gt;='Main Variables'!$B$34,OFFSET('Cumulative 40yr Model'!M57,0,-'Main Variables'!$B$34,1,1),0)</f>
        <v>0</v>
      </c>
      <c r="N44" s="74">
        <f ca="1">M44+M57-IF(N$2-1&gt;='Main Variables'!$B$34,OFFSET('Cumulative 40yr Model'!N57,0,-'Main Variables'!$B$34,1,1),0)</f>
        <v>0</v>
      </c>
      <c r="O44" s="74">
        <f ca="1">N44+N57-IF(O$2-1&gt;='Main Variables'!$B$34,OFFSET('Cumulative 40yr Model'!O57,0,-'Main Variables'!$B$34,1,1),0)</f>
        <v>0</v>
      </c>
      <c r="P44" s="74">
        <f ca="1">O44+O57-IF(P$2-1&gt;='Main Variables'!$B$34,OFFSET('Cumulative 40yr Model'!P57,0,-'Main Variables'!$B$34,1,1),0)</f>
        <v>0</v>
      </c>
      <c r="Q44" s="74">
        <f ca="1">P44+P57-IF(Q$2-1&gt;='Main Variables'!$B$34,OFFSET('Cumulative 40yr Model'!Q57,0,-'Main Variables'!$B$34,1,1),0)</f>
        <v>0</v>
      </c>
      <c r="R44" s="74">
        <f ca="1">Q44+Q57-IF(R$2-1&gt;='Main Variables'!$B$34,OFFSET('Cumulative 40yr Model'!R57,0,-'Main Variables'!$B$34,1,1),0)</f>
        <v>0</v>
      </c>
      <c r="S44" s="74">
        <f ca="1">R44+R57-IF(S$2-1&gt;='Main Variables'!$B$34,OFFSET('Cumulative 40yr Model'!S57,0,-'Main Variables'!$B$34,1,1),0)</f>
        <v>0</v>
      </c>
      <c r="T44" s="74">
        <f ca="1">S44+S57-IF(T$2-1&gt;='Main Variables'!$B$34,OFFSET('Cumulative 40yr Model'!T57,0,-'Main Variables'!$B$34,1,1),0)</f>
        <v>0</v>
      </c>
      <c r="U44" s="74">
        <f ca="1">T44+T57-IF(U$2-1&gt;='Main Variables'!$B$34,OFFSET('Cumulative 40yr Model'!U57,0,-'Main Variables'!$B$34,1,1),0)</f>
        <v>0</v>
      </c>
      <c r="V44" s="74">
        <f ca="1">U44+U57-IF(V$2-1&gt;='Main Variables'!$B$34,OFFSET('Cumulative 40yr Model'!V57,0,-'Main Variables'!$B$34,1,1),0)</f>
        <v>0</v>
      </c>
      <c r="W44" s="74">
        <f ca="1">V44+V57-IF(W$2-1&gt;='Main Variables'!$B$34,OFFSET('Cumulative 40yr Model'!W57,0,-'Main Variables'!$B$34,1,1),0)</f>
        <v>0</v>
      </c>
      <c r="X44" s="74">
        <f ca="1">W44+W57-IF(X$2-1&gt;='Main Variables'!$B$34,OFFSET('Cumulative 40yr Model'!X57,0,-'Main Variables'!$B$34,1,1),0)</f>
        <v>0</v>
      </c>
      <c r="Y44" s="74">
        <f ca="1">X44+X57-IF(Y$2-1&gt;='Main Variables'!$B$34,OFFSET('Cumulative 40yr Model'!Y57,0,-'Main Variables'!$B$34,1,1),0)</f>
        <v>0</v>
      </c>
      <c r="Z44" s="74">
        <f ca="1">Y44+Y57-IF(Z$2-1&gt;='Main Variables'!$B$34,OFFSET('Cumulative 40yr Model'!Z57,0,-'Main Variables'!$B$34,1,1),0)</f>
        <v>0</v>
      </c>
      <c r="AA44" s="74">
        <f ca="1">Z44+Z57-IF(AA$2-1&gt;='Main Variables'!$B$34,OFFSET('Cumulative 40yr Model'!AA57,0,-'Main Variables'!$B$34,1,1),0)</f>
        <v>0</v>
      </c>
      <c r="AB44" s="74">
        <f ca="1">AA44+AA57-IF(AB$2-1&gt;='Main Variables'!$B$34,OFFSET('Cumulative 40yr Model'!AB57,0,-'Main Variables'!$B$34,1,1),0)</f>
        <v>0</v>
      </c>
      <c r="AC44" s="74">
        <f ca="1">AB44+AB57-IF(AC$2-1&gt;='Main Variables'!$B$34,OFFSET('Cumulative 40yr Model'!AC57,0,-'Main Variables'!$B$34,1,1),0)</f>
        <v>0</v>
      </c>
      <c r="AD44" s="74">
        <f ca="1">AC44+AC57-IF(AD$2-1&gt;='Main Variables'!$B$34,OFFSET('Cumulative 40yr Model'!AD57,0,-'Main Variables'!$B$34,1,1),0)</f>
        <v>0</v>
      </c>
      <c r="AE44" s="74">
        <f ca="1">AD44+AD57-IF(AE$2-1&gt;='Main Variables'!$B$34,OFFSET('Cumulative 40yr Model'!AE57,0,-'Main Variables'!$B$34,1,1),0)</f>
        <v>0</v>
      </c>
      <c r="AF44" s="74">
        <f ca="1">AE44+AE57-IF(AF$2-1&gt;='Main Variables'!$B$34,OFFSET('Cumulative 40yr Model'!AF57,0,-'Main Variables'!$B$34,1,1),0)</f>
        <v>0</v>
      </c>
      <c r="AG44" s="74">
        <f ca="1">AF44+AF57-IF(AG$2-1&gt;='Main Variables'!$B$34,OFFSET('Cumulative 40yr Model'!AG57,0,-'Main Variables'!$B$34,1,1),0)</f>
        <v>0</v>
      </c>
      <c r="AH44" s="74">
        <f ca="1">AG44+AG57-IF(AH$2-1&gt;='Main Variables'!$B$34,OFFSET('Cumulative 40yr Model'!AH57,0,-'Main Variables'!$B$34,1,1),0)</f>
        <v>0</v>
      </c>
      <c r="AI44" s="74">
        <f ca="1">AH44+AH57-IF(AI$2-1&gt;='Main Variables'!$B$34,OFFSET('Cumulative 40yr Model'!AI57,0,-'Main Variables'!$B$34,1,1),0)</f>
        <v>0</v>
      </c>
      <c r="AJ44" s="74">
        <f ca="1">AI44+AI57-IF(AJ$2-1&gt;='Main Variables'!$B$34,OFFSET('Cumulative 40yr Model'!AJ57,0,-'Main Variables'!$B$34,1,1),0)</f>
        <v>0</v>
      </c>
      <c r="AK44" s="74">
        <f ca="1">AJ44+AJ57-IF(AK$2-1&gt;='Main Variables'!$B$34,OFFSET('Cumulative 40yr Model'!AK57,0,-'Main Variables'!$B$34,1,1),0)</f>
        <v>0</v>
      </c>
      <c r="AL44" s="74">
        <f ca="1">AK44+AK57-IF(AL$2-1&gt;='Main Variables'!$B$34,OFFSET('Cumulative 40yr Model'!AL57,0,-'Main Variables'!$B$34,1,1),0)</f>
        <v>0</v>
      </c>
      <c r="AM44" s="74">
        <f ca="1">AL44+AL57-IF(AM$2-1&gt;='Main Variables'!$B$34,OFFSET('Cumulative 40yr Model'!AM57,0,-'Main Variables'!$B$34,1,1),0)</f>
        <v>0</v>
      </c>
      <c r="AN44" s="74">
        <f ca="1">AM44+AM57-IF(AN$2-1&gt;='Main Variables'!$B$34,OFFSET('Cumulative 40yr Model'!AN57,0,-'Main Variables'!$B$34,1,1),0)</f>
        <v>0</v>
      </c>
      <c r="AO44" s="74">
        <f ca="1">AN44+AN57-IF(AO$2-1&gt;='Main Variables'!$B$34,OFFSET('Cumulative 40yr Model'!AO57,0,-'Main Variables'!$B$34,1,1),0)</f>
        <v>0</v>
      </c>
      <c r="AP44" s="74">
        <f ca="1">AO44+AO57-IF(AP$2-1&gt;='Main Variables'!$B$34,OFFSET('Cumulative 40yr Model'!AP57,0,-'Main Variables'!$B$34,1,1),0)</f>
        <v>0</v>
      </c>
      <c r="AQ44" s="75">
        <f ca="1">AP44+AP57-IF(AQ$2-1&gt;='Main Variables'!$B$34,OFFSET('Cumulative 40yr Model'!AQ57,0,-'Main Variables'!$B$34,1,1),0)</f>
        <v>0</v>
      </c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</row>
    <row r="45" spans="1:59" x14ac:dyDescent="0.25">
      <c r="A45" s="9">
        <f>'Grid Sizes, Locations, and GHGs'!D7</f>
        <v>0</v>
      </c>
      <c r="B45" s="73" t="str">
        <f>'Grid Sizes, Locations, and GHGs'!A7</f>
        <v>Onsite Usage Electric Assist Indirect</v>
      </c>
      <c r="C45" s="9">
        <v>0</v>
      </c>
      <c r="D45" s="9">
        <v>0</v>
      </c>
      <c r="E45" s="74">
        <f ca="1">D45+D58-IF(E$2-1&gt;='Main Variables'!$B$34,OFFSET('Cumulative 40yr Model'!E58,0,-'Main Variables'!$B$34,1,1),0)</f>
        <v>0</v>
      </c>
      <c r="F45" s="74">
        <f ca="1">E45+E58-IF(F$2-1&gt;='Main Variables'!$B$34,OFFSET('Cumulative 40yr Model'!F58,0,-'Main Variables'!$B$34,1,1),0)</f>
        <v>0</v>
      </c>
      <c r="G45" s="74">
        <f ca="1">F45+F58-IF(G$2-1&gt;='Main Variables'!$B$34,OFFSET('Cumulative 40yr Model'!G58,0,-'Main Variables'!$B$34,1,1),0)</f>
        <v>0</v>
      </c>
      <c r="H45" s="74">
        <f ca="1">G45+G58-IF(H$2-1&gt;='Main Variables'!$B$34,OFFSET('Cumulative 40yr Model'!H58,0,-'Main Variables'!$B$34,1,1),0)</f>
        <v>0</v>
      </c>
      <c r="I45" s="74">
        <f ca="1">H45+H58-IF(I$2-1&gt;='Main Variables'!$B$34,OFFSET('Cumulative 40yr Model'!I58,0,-'Main Variables'!$B$34,1,1),0)</f>
        <v>0</v>
      </c>
      <c r="J45" s="74">
        <f ca="1">I45+I58-IF(J$2-1&gt;='Main Variables'!$B$34,OFFSET('Cumulative 40yr Model'!J58,0,-'Main Variables'!$B$34,1,1),0)</f>
        <v>0</v>
      </c>
      <c r="K45" s="74">
        <f ca="1">J45+J58-IF(K$2-1&gt;='Main Variables'!$B$34,OFFSET('Cumulative 40yr Model'!K58,0,-'Main Variables'!$B$34,1,1),0)</f>
        <v>0</v>
      </c>
      <c r="L45" s="74">
        <f ca="1">K45+K58-IF(L$2-1&gt;='Main Variables'!$B$34,OFFSET('Cumulative 40yr Model'!L58,0,-'Main Variables'!$B$34,1,1),0)</f>
        <v>0</v>
      </c>
      <c r="M45" s="74">
        <f ca="1">L45+L58-IF(M$2-1&gt;='Main Variables'!$B$34,OFFSET('Cumulative 40yr Model'!M58,0,-'Main Variables'!$B$34,1,1),0)</f>
        <v>0</v>
      </c>
      <c r="N45" s="74">
        <f ca="1">M45+M58-IF(N$2-1&gt;='Main Variables'!$B$34,OFFSET('Cumulative 40yr Model'!N58,0,-'Main Variables'!$B$34,1,1),0)</f>
        <v>0</v>
      </c>
      <c r="O45" s="74">
        <f ca="1">N45+N58-IF(O$2-1&gt;='Main Variables'!$B$34,OFFSET('Cumulative 40yr Model'!O58,0,-'Main Variables'!$B$34,1,1),0)</f>
        <v>0</v>
      </c>
      <c r="P45" s="74">
        <f ca="1">O45+O58-IF(P$2-1&gt;='Main Variables'!$B$34,OFFSET('Cumulative 40yr Model'!P58,0,-'Main Variables'!$B$34,1,1),0)</f>
        <v>0</v>
      </c>
      <c r="Q45" s="74">
        <f ca="1">P45+P58-IF(Q$2-1&gt;='Main Variables'!$B$34,OFFSET('Cumulative 40yr Model'!Q58,0,-'Main Variables'!$B$34,1,1),0)</f>
        <v>0</v>
      </c>
      <c r="R45" s="74">
        <f ca="1">Q45+Q58-IF(R$2-1&gt;='Main Variables'!$B$34,OFFSET('Cumulative 40yr Model'!R58,0,-'Main Variables'!$B$34,1,1),0)</f>
        <v>0</v>
      </c>
      <c r="S45" s="74">
        <f ca="1">R45+R58-IF(S$2-1&gt;='Main Variables'!$B$34,OFFSET('Cumulative 40yr Model'!S58,0,-'Main Variables'!$B$34,1,1),0)</f>
        <v>0</v>
      </c>
      <c r="T45" s="74">
        <f ca="1">S45+S58-IF(T$2-1&gt;='Main Variables'!$B$34,OFFSET('Cumulative 40yr Model'!T58,0,-'Main Variables'!$B$34,1,1),0)</f>
        <v>0</v>
      </c>
      <c r="U45" s="74">
        <f ca="1">T45+T58-IF(U$2-1&gt;='Main Variables'!$B$34,OFFSET('Cumulative 40yr Model'!U58,0,-'Main Variables'!$B$34,1,1),0)</f>
        <v>0</v>
      </c>
      <c r="V45" s="74">
        <f ca="1">U45+U58-IF(V$2-1&gt;='Main Variables'!$B$34,OFFSET('Cumulative 40yr Model'!V58,0,-'Main Variables'!$B$34,1,1),0)</f>
        <v>0</v>
      </c>
      <c r="W45" s="74">
        <f ca="1">V45+V58-IF(W$2-1&gt;='Main Variables'!$B$34,OFFSET('Cumulative 40yr Model'!W58,0,-'Main Variables'!$B$34,1,1),0)</f>
        <v>0</v>
      </c>
      <c r="X45" s="74">
        <f ca="1">W45+W58-IF(X$2-1&gt;='Main Variables'!$B$34,OFFSET('Cumulative 40yr Model'!X58,0,-'Main Variables'!$B$34,1,1),0)</f>
        <v>0</v>
      </c>
      <c r="Y45" s="74">
        <f ca="1">X45+X58-IF(Y$2-1&gt;='Main Variables'!$B$34,OFFSET('Cumulative 40yr Model'!Y58,0,-'Main Variables'!$B$34,1,1),0)</f>
        <v>0</v>
      </c>
      <c r="Z45" s="74">
        <f ca="1">Y45+Y58-IF(Z$2-1&gt;='Main Variables'!$B$34,OFFSET('Cumulative 40yr Model'!Z58,0,-'Main Variables'!$B$34,1,1),0)</f>
        <v>0</v>
      </c>
      <c r="AA45" s="74">
        <f ca="1">Z45+Z58-IF(AA$2-1&gt;='Main Variables'!$B$34,OFFSET('Cumulative 40yr Model'!AA58,0,-'Main Variables'!$B$34,1,1),0)</f>
        <v>0</v>
      </c>
      <c r="AB45" s="74">
        <f ca="1">AA45+AA58-IF(AB$2-1&gt;='Main Variables'!$B$34,OFFSET('Cumulative 40yr Model'!AB58,0,-'Main Variables'!$B$34,1,1),0)</f>
        <v>0</v>
      </c>
      <c r="AC45" s="74">
        <f ca="1">AB45+AB58-IF(AC$2-1&gt;='Main Variables'!$B$34,OFFSET('Cumulative 40yr Model'!AC58,0,-'Main Variables'!$B$34,1,1),0)</f>
        <v>0</v>
      </c>
      <c r="AD45" s="74">
        <f ca="1">AC45+AC58-IF(AD$2-1&gt;='Main Variables'!$B$34,OFFSET('Cumulative 40yr Model'!AD58,0,-'Main Variables'!$B$34,1,1),0)</f>
        <v>0</v>
      </c>
      <c r="AE45" s="74">
        <f ca="1">AD45+AD58-IF(AE$2-1&gt;='Main Variables'!$B$34,OFFSET('Cumulative 40yr Model'!AE58,0,-'Main Variables'!$B$34,1,1),0)</f>
        <v>0</v>
      </c>
      <c r="AF45" s="74">
        <f ca="1">AE45+AE58-IF(AF$2-1&gt;='Main Variables'!$B$34,OFFSET('Cumulative 40yr Model'!AF58,0,-'Main Variables'!$B$34,1,1),0)</f>
        <v>0</v>
      </c>
      <c r="AG45" s="74">
        <f ca="1">AF45+AF58-IF(AG$2-1&gt;='Main Variables'!$B$34,OFFSET('Cumulative 40yr Model'!AG58,0,-'Main Variables'!$B$34,1,1),0)</f>
        <v>0</v>
      </c>
      <c r="AH45" s="74">
        <f ca="1">AG45+AG58-IF(AH$2-1&gt;='Main Variables'!$B$34,OFFSET('Cumulative 40yr Model'!AH58,0,-'Main Variables'!$B$34,1,1),0)</f>
        <v>0</v>
      </c>
      <c r="AI45" s="74">
        <f ca="1">AH45+AH58-IF(AI$2-1&gt;='Main Variables'!$B$34,OFFSET('Cumulative 40yr Model'!AI58,0,-'Main Variables'!$B$34,1,1),0)</f>
        <v>0</v>
      </c>
      <c r="AJ45" s="74">
        <f ca="1">AI45+AI58-IF(AJ$2-1&gt;='Main Variables'!$B$34,OFFSET('Cumulative 40yr Model'!AJ58,0,-'Main Variables'!$B$34,1,1),0)</f>
        <v>0</v>
      </c>
      <c r="AK45" s="74">
        <f ca="1">AJ45+AJ58-IF(AK$2-1&gt;='Main Variables'!$B$34,OFFSET('Cumulative 40yr Model'!AK58,0,-'Main Variables'!$B$34,1,1),0)</f>
        <v>0</v>
      </c>
      <c r="AL45" s="74">
        <f ca="1">AK45+AK58-IF(AL$2-1&gt;='Main Variables'!$B$34,OFFSET('Cumulative 40yr Model'!AL58,0,-'Main Variables'!$B$34,1,1),0)</f>
        <v>0</v>
      </c>
      <c r="AM45" s="74">
        <f ca="1">AL45+AL58-IF(AM$2-1&gt;='Main Variables'!$B$34,OFFSET('Cumulative 40yr Model'!AM58,0,-'Main Variables'!$B$34,1,1),0)</f>
        <v>0</v>
      </c>
      <c r="AN45" s="74">
        <f ca="1">AM45+AM58-IF(AN$2-1&gt;='Main Variables'!$B$34,OFFSET('Cumulative 40yr Model'!AN58,0,-'Main Variables'!$B$34,1,1),0)</f>
        <v>0</v>
      </c>
      <c r="AO45" s="74">
        <f ca="1">AN45+AN58-IF(AO$2-1&gt;='Main Variables'!$B$34,OFFSET('Cumulative 40yr Model'!AO58,0,-'Main Variables'!$B$34,1,1),0)</f>
        <v>0</v>
      </c>
      <c r="AP45" s="74">
        <f ca="1">AO45+AO58-IF(AP$2-1&gt;='Main Variables'!$B$34,OFFSET('Cumulative 40yr Model'!AP58,0,-'Main Variables'!$B$34,1,1),0)</f>
        <v>0</v>
      </c>
      <c r="AQ45" s="75">
        <f ca="1">AP45+AP58-IF(AQ$2-1&gt;='Main Variables'!$B$34,OFFSET('Cumulative 40yr Model'!AQ58,0,-'Main Variables'!$B$34,1,1),0)</f>
        <v>0</v>
      </c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</row>
    <row r="46" spans="1:59" x14ac:dyDescent="0.25">
      <c r="A46" s="9">
        <f>'Grid Sizes, Locations, and GHGs'!D8</f>
        <v>500</v>
      </c>
      <c r="B46" s="73" t="str">
        <f>'Grid Sizes, Locations, and GHGs'!A8</f>
        <v>Alberta</v>
      </c>
      <c r="C46" s="9">
        <v>0</v>
      </c>
      <c r="D46" s="9">
        <v>0</v>
      </c>
      <c r="E46" s="74">
        <f ca="1">D46+D59-IF(E$2-1&gt;='Main Variables'!$B$34,OFFSET('Cumulative 40yr Model'!E59,0,-'Main Variables'!$B$34,1,1),0)</f>
        <v>0.78071000000000002</v>
      </c>
      <c r="F46" s="74">
        <f ca="1">E46+E59-IF(F$2-1&gt;='Main Variables'!$B$34,OFFSET('Cumulative 40yr Model'!F59,0,-'Main Variables'!$B$34,1,1),0)</f>
        <v>0.88799999999999979</v>
      </c>
      <c r="G46" s="74">
        <f ca="1">F46+F59-IF(G$2-1&gt;='Main Variables'!$B$34,OFFSET('Cumulative 40yr Model'!G59,0,-'Main Variables'!$B$34,1,1),0)</f>
        <v>0.88799999999999979</v>
      </c>
      <c r="H46" s="74">
        <f ca="1">G46+G59-IF(H$2-1&gt;='Main Variables'!$B$34,OFFSET('Cumulative 40yr Model'!H59,0,-'Main Variables'!$B$34,1,1),0)</f>
        <v>0.88799999999999979</v>
      </c>
      <c r="I46" s="74">
        <f ca="1">H46+H59-IF(I$2-1&gt;='Main Variables'!$B$34,OFFSET('Cumulative 40yr Model'!I59,0,-'Main Variables'!$B$34,1,1),0)</f>
        <v>0.88799999999999979</v>
      </c>
      <c r="J46" s="74">
        <f ca="1">I46+I59-IF(J$2-1&gt;='Main Variables'!$B$34,OFFSET('Cumulative 40yr Model'!J59,0,-'Main Variables'!$B$34,1,1),0)</f>
        <v>0.88799999999999979</v>
      </c>
      <c r="K46" s="74">
        <f ca="1">J46+J59-IF(K$2-1&gt;='Main Variables'!$B$34,OFFSET('Cumulative 40yr Model'!K59,0,-'Main Variables'!$B$34,1,1),0)</f>
        <v>0.88799999999999979</v>
      </c>
      <c r="L46" s="74">
        <f ca="1">K46+K59-IF(L$2-1&gt;='Main Variables'!$B$34,OFFSET('Cumulative 40yr Model'!L59,0,-'Main Variables'!$B$34,1,1),0)</f>
        <v>0.88799999999999979</v>
      </c>
      <c r="M46" s="74">
        <f ca="1">L46+L59-IF(M$2-1&gt;='Main Variables'!$B$34,OFFSET('Cumulative 40yr Model'!M59,0,-'Main Variables'!$B$34,1,1),0)</f>
        <v>0.88799999999999979</v>
      </c>
      <c r="N46" s="74">
        <f ca="1">M46+M59-IF(N$2-1&gt;='Main Variables'!$B$34,OFFSET('Cumulative 40yr Model'!N59,0,-'Main Variables'!$B$34,1,1),0)</f>
        <v>0.88799999999999979</v>
      </c>
      <c r="O46" s="74">
        <f ca="1">N46+N59-IF(O$2-1&gt;='Main Variables'!$B$34,OFFSET('Cumulative 40yr Model'!O59,0,-'Main Variables'!$B$34,1,1),0)</f>
        <v>0.88799999999999979</v>
      </c>
      <c r="P46" s="74">
        <f ca="1">O46+O59-IF(P$2-1&gt;='Main Variables'!$B$34,OFFSET('Cumulative 40yr Model'!P59,0,-'Main Variables'!$B$34,1,1),0)</f>
        <v>0.88799999999999979</v>
      </c>
      <c r="Q46" s="74">
        <f ca="1">P46+P59-IF(Q$2-1&gt;='Main Variables'!$B$34,OFFSET('Cumulative 40yr Model'!Q59,0,-'Main Variables'!$B$34,1,1),0)</f>
        <v>0.88799999999999979</v>
      </c>
      <c r="R46" s="74">
        <f ca="1">Q46+Q59-IF(R$2-1&gt;='Main Variables'!$B$34,OFFSET('Cumulative 40yr Model'!R59,0,-'Main Variables'!$B$34,1,1),0)</f>
        <v>0.88799999999999979</v>
      </c>
      <c r="S46" s="74">
        <f ca="1">R46+R59-IF(S$2-1&gt;='Main Variables'!$B$34,OFFSET('Cumulative 40yr Model'!S59,0,-'Main Variables'!$B$34,1,1),0)</f>
        <v>0.88799999999999979</v>
      </c>
      <c r="T46" s="74">
        <f ca="1">S46+S59-IF(T$2-1&gt;='Main Variables'!$B$34,OFFSET('Cumulative 40yr Model'!T59,0,-'Main Variables'!$B$34,1,1),0)</f>
        <v>0.88799999999999979</v>
      </c>
      <c r="U46" s="74">
        <f ca="1">T46+T59-IF(U$2-1&gt;='Main Variables'!$B$34,OFFSET('Cumulative 40yr Model'!U59,0,-'Main Variables'!$B$34,1,1),0)</f>
        <v>0.88799999999999979</v>
      </c>
      <c r="V46" s="74">
        <f ca="1">U46+U59-IF(V$2-1&gt;='Main Variables'!$B$34,OFFSET('Cumulative 40yr Model'!V59,0,-'Main Variables'!$B$34,1,1),0)</f>
        <v>0.88799999999999979</v>
      </c>
      <c r="W46" s="74">
        <f ca="1">V46+V59-IF(W$2-1&gt;='Main Variables'!$B$34,OFFSET('Cumulative 40yr Model'!W59,0,-'Main Variables'!$B$34,1,1),0)</f>
        <v>0.88799999999999979</v>
      </c>
      <c r="X46" s="74">
        <f ca="1">W46+W59-IF(X$2-1&gt;='Main Variables'!$B$34,OFFSET('Cumulative 40yr Model'!X59,0,-'Main Variables'!$B$34,1,1),0)</f>
        <v>0.88799999999999979</v>
      </c>
      <c r="Y46" s="74">
        <f ca="1">X46+X59-IF(Y$2-1&gt;='Main Variables'!$B$34,OFFSET('Cumulative 40yr Model'!Y59,0,-'Main Variables'!$B$34,1,1),0)</f>
        <v>0.88799999999999979</v>
      </c>
      <c r="Z46" s="74">
        <f ca="1">Y46+Y59-IF(Z$2-1&gt;='Main Variables'!$B$34,OFFSET('Cumulative 40yr Model'!Z59,0,-'Main Variables'!$B$34,1,1),0)</f>
        <v>0.88799999999999979</v>
      </c>
      <c r="AA46" s="74">
        <f ca="1">Z46+Z59-IF(AA$2-1&gt;='Main Variables'!$B$34,OFFSET('Cumulative 40yr Model'!AA59,0,-'Main Variables'!$B$34,1,1),0)</f>
        <v>0.88799999999999979</v>
      </c>
      <c r="AB46" s="74">
        <f ca="1">AA46+AA59-IF(AB$2-1&gt;='Main Variables'!$B$34,OFFSET('Cumulative 40yr Model'!AB59,0,-'Main Variables'!$B$34,1,1),0)</f>
        <v>0.88799999999999979</v>
      </c>
      <c r="AC46" s="74">
        <f ca="1">AB46+AB59-IF(AC$2-1&gt;='Main Variables'!$B$34,OFFSET('Cumulative 40yr Model'!AC59,0,-'Main Variables'!$B$34,1,1),0)</f>
        <v>0.88799999999999979</v>
      </c>
      <c r="AD46" s="74">
        <f ca="1">AC46+AC59-IF(AD$2-1&gt;='Main Variables'!$B$34,OFFSET('Cumulative 40yr Model'!AD59,0,-'Main Variables'!$B$34,1,1),0)</f>
        <v>0.88799999999999979</v>
      </c>
      <c r="AE46" s="74">
        <f ca="1">AD46+AD59-IF(AE$2-1&gt;='Main Variables'!$B$34,OFFSET('Cumulative 40yr Model'!AE59,0,-'Main Variables'!$B$34,1,1),0)</f>
        <v>0.88799999999999979</v>
      </c>
      <c r="AF46" s="74">
        <f ca="1">AE46+AE59-IF(AF$2-1&gt;='Main Variables'!$B$34,OFFSET('Cumulative 40yr Model'!AF59,0,-'Main Variables'!$B$34,1,1),0)</f>
        <v>0.88799999999999979</v>
      </c>
      <c r="AG46" s="74">
        <f ca="1">AF46+AF59-IF(AG$2-1&gt;='Main Variables'!$B$34,OFFSET('Cumulative 40yr Model'!AG59,0,-'Main Variables'!$B$34,1,1),0)</f>
        <v>0.88799999999999979</v>
      </c>
      <c r="AH46" s="74">
        <f ca="1">AG46+AG59-IF(AH$2-1&gt;='Main Variables'!$B$34,OFFSET('Cumulative 40yr Model'!AH59,0,-'Main Variables'!$B$34,1,1),0)</f>
        <v>0.10728999999999977</v>
      </c>
      <c r="AI46" s="74">
        <f ca="1">AH46+AH59-IF(AI$2-1&gt;='Main Variables'!$B$34,OFFSET('Cumulative 40yr Model'!AI59,0,-'Main Variables'!$B$34,1,1),0)</f>
        <v>0.78071000000000002</v>
      </c>
      <c r="AJ46" s="74">
        <f ca="1">AI46+AI59-IF(AJ$2-1&gt;='Main Variables'!$B$34,OFFSET('Cumulative 40yr Model'!AJ59,0,-'Main Variables'!$B$34,1,1),0)</f>
        <v>0.88799999999999979</v>
      </c>
      <c r="AK46" s="74">
        <f ca="1">AJ46+AJ59-IF(AK$2-1&gt;='Main Variables'!$B$34,OFFSET('Cumulative 40yr Model'!AK59,0,-'Main Variables'!$B$34,1,1),0)</f>
        <v>0.88799999999999979</v>
      </c>
      <c r="AL46" s="74">
        <f ca="1">AK46+AK59-IF(AL$2-1&gt;='Main Variables'!$B$34,OFFSET('Cumulative 40yr Model'!AL59,0,-'Main Variables'!$B$34,1,1),0)</f>
        <v>0.88799999999999979</v>
      </c>
      <c r="AM46" s="74">
        <f ca="1">AL46+AL59-IF(AM$2-1&gt;='Main Variables'!$B$34,OFFSET('Cumulative 40yr Model'!AM59,0,-'Main Variables'!$B$34,1,1),0)</f>
        <v>0.88799999999999979</v>
      </c>
      <c r="AN46" s="74">
        <f ca="1">AM46+AM59-IF(AN$2-1&gt;='Main Variables'!$B$34,OFFSET('Cumulative 40yr Model'!AN59,0,-'Main Variables'!$B$34,1,1),0)</f>
        <v>0.88799999999999979</v>
      </c>
      <c r="AO46" s="74">
        <f ca="1">AN46+AN59-IF(AO$2-1&gt;='Main Variables'!$B$34,OFFSET('Cumulative 40yr Model'!AO59,0,-'Main Variables'!$B$34,1,1),0)</f>
        <v>0.88799999999999979</v>
      </c>
      <c r="AP46" s="74">
        <f ca="1">AO46+AO59-IF(AP$2-1&gt;='Main Variables'!$B$34,OFFSET('Cumulative 40yr Model'!AP59,0,-'Main Variables'!$B$34,1,1),0)</f>
        <v>0.88799999999999979</v>
      </c>
      <c r="AQ46" s="75">
        <f ca="1">AP46+AP59-IF(AQ$2-1&gt;='Main Variables'!$B$34,OFFSET('Cumulative 40yr Model'!AQ59,0,-'Main Variables'!$B$34,1,1),0)</f>
        <v>0.88799999999999979</v>
      </c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</row>
    <row r="47" spans="1:59" x14ac:dyDescent="0.25">
      <c r="A47" s="9">
        <f>'Grid Sizes, Locations, and GHGs'!D9</f>
        <v>2800</v>
      </c>
      <c r="B47" s="73" t="str">
        <f>'Grid Sizes, Locations, and GHGs'!A9</f>
        <v>California</v>
      </c>
      <c r="C47" s="9">
        <v>0</v>
      </c>
      <c r="D47" s="9">
        <v>0</v>
      </c>
      <c r="E47" s="74">
        <f ca="1">D47+D60-IF(E$2-1&gt;='Main Variables'!$B$34,OFFSET('Cumulative 40yr Model'!E60,0,-'Main Variables'!$B$34,1,1),0)</f>
        <v>0</v>
      </c>
      <c r="F47" s="74">
        <f ca="1">E47+E60-IF(F$2-1&gt;='Main Variables'!$B$34,OFFSET('Cumulative 40yr Model'!F60,0,-'Main Variables'!$B$34,1,1),0)</f>
        <v>0.92194273600000054</v>
      </c>
      <c r="G47" s="74">
        <f ca="1">F47+F60-IF(G$2-1&gt;='Main Variables'!$B$34,OFFSET('Cumulative 40yr Model'!G60,0,-'Main Variables'!$B$34,1,1),0)</f>
        <v>1.9035379752732804</v>
      </c>
      <c r="H47" s="74">
        <f ca="1">G47+G60-IF(H$2-1&gt;='Main Variables'!$B$34,OFFSET('Cumulative 40yr Model'!H60,0,-'Main Variables'!$B$34,1,1),0)</f>
        <v>2.3390999999999997</v>
      </c>
      <c r="I47" s="74">
        <f ca="1">H47+H60-IF(I$2-1&gt;='Main Variables'!$B$34,OFFSET('Cumulative 40yr Model'!I60,0,-'Main Variables'!$B$34,1,1),0)</f>
        <v>2.3390999999999997</v>
      </c>
      <c r="J47" s="74">
        <f ca="1">I47+I60-IF(J$2-1&gt;='Main Variables'!$B$34,OFFSET('Cumulative 40yr Model'!J60,0,-'Main Variables'!$B$34,1,1),0)</f>
        <v>2.3390999999999997</v>
      </c>
      <c r="K47" s="74">
        <f ca="1">J47+J60-IF(K$2-1&gt;='Main Variables'!$B$34,OFFSET('Cumulative 40yr Model'!K60,0,-'Main Variables'!$B$34,1,1),0)</f>
        <v>2.3390999999999997</v>
      </c>
      <c r="L47" s="74">
        <f ca="1">K47+K60-IF(L$2-1&gt;='Main Variables'!$B$34,OFFSET('Cumulative 40yr Model'!L60,0,-'Main Variables'!$B$34,1,1),0)</f>
        <v>2.3390999999999997</v>
      </c>
      <c r="M47" s="74">
        <f ca="1">L47+L60-IF(M$2-1&gt;='Main Variables'!$B$34,OFFSET('Cumulative 40yr Model'!M60,0,-'Main Variables'!$B$34,1,1),0)</f>
        <v>2.3390999999999997</v>
      </c>
      <c r="N47" s="74">
        <f ca="1">M47+M60-IF(N$2-1&gt;='Main Variables'!$B$34,OFFSET('Cumulative 40yr Model'!N60,0,-'Main Variables'!$B$34,1,1),0)</f>
        <v>2.3390999999999997</v>
      </c>
      <c r="O47" s="74">
        <f ca="1">N47+N60-IF(O$2-1&gt;='Main Variables'!$B$34,OFFSET('Cumulative 40yr Model'!O60,0,-'Main Variables'!$B$34,1,1),0)</f>
        <v>2.3390999999999997</v>
      </c>
      <c r="P47" s="74">
        <f ca="1">O47+O60-IF(P$2-1&gt;='Main Variables'!$B$34,OFFSET('Cumulative 40yr Model'!P60,0,-'Main Variables'!$B$34,1,1),0)</f>
        <v>2.3390999999999997</v>
      </c>
      <c r="Q47" s="74">
        <f ca="1">P47+P60-IF(Q$2-1&gt;='Main Variables'!$B$34,OFFSET('Cumulative 40yr Model'!Q60,0,-'Main Variables'!$B$34,1,1),0)</f>
        <v>2.3390999999999997</v>
      </c>
      <c r="R47" s="74">
        <f ca="1">Q47+Q60-IF(R$2-1&gt;='Main Variables'!$B$34,OFFSET('Cumulative 40yr Model'!R60,0,-'Main Variables'!$B$34,1,1),0)</f>
        <v>2.3390999999999997</v>
      </c>
      <c r="S47" s="74">
        <f ca="1">R47+R60-IF(S$2-1&gt;='Main Variables'!$B$34,OFFSET('Cumulative 40yr Model'!S60,0,-'Main Variables'!$B$34,1,1),0)</f>
        <v>2.3390999999999997</v>
      </c>
      <c r="T47" s="74">
        <f ca="1">S47+S60-IF(T$2-1&gt;='Main Variables'!$B$34,OFFSET('Cumulative 40yr Model'!T60,0,-'Main Variables'!$B$34,1,1),0)</f>
        <v>2.3390999999999997</v>
      </c>
      <c r="U47" s="74">
        <f ca="1">T47+T60-IF(U$2-1&gt;='Main Variables'!$B$34,OFFSET('Cumulative 40yr Model'!U60,0,-'Main Variables'!$B$34,1,1),0)</f>
        <v>2.3390999999999997</v>
      </c>
      <c r="V47" s="74">
        <f ca="1">U47+U60-IF(V$2-1&gt;='Main Variables'!$B$34,OFFSET('Cumulative 40yr Model'!V60,0,-'Main Variables'!$B$34,1,1),0)</f>
        <v>2.3390999999999997</v>
      </c>
      <c r="W47" s="74">
        <f ca="1">V47+V60-IF(W$2-1&gt;='Main Variables'!$B$34,OFFSET('Cumulative 40yr Model'!W60,0,-'Main Variables'!$B$34,1,1),0)</f>
        <v>2.3390999999999997</v>
      </c>
      <c r="X47" s="74">
        <f ca="1">W47+W60-IF(X$2-1&gt;='Main Variables'!$B$34,OFFSET('Cumulative 40yr Model'!X60,0,-'Main Variables'!$B$34,1,1),0)</f>
        <v>2.3390999999999997</v>
      </c>
      <c r="Y47" s="74">
        <f ca="1">X47+X60-IF(Y$2-1&gt;='Main Variables'!$B$34,OFFSET('Cumulative 40yr Model'!Y60,0,-'Main Variables'!$B$34,1,1),0)</f>
        <v>2.3390999999999997</v>
      </c>
      <c r="Z47" s="74">
        <f ca="1">Y47+Y60-IF(Z$2-1&gt;='Main Variables'!$B$34,OFFSET('Cumulative 40yr Model'!Z60,0,-'Main Variables'!$B$34,1,1),0)</f>
        <v>2.3390999999999997</v>
      </c>
      <c r="AA47" s="74">
        <f ca="1">Z47+Z60-IF(AA$2-1&gt;='Main Variables'!$B$34,OFFSET('Cumulative 40yr Model'!AA60,0,-'Main Variables'!$B$34,1,1),0)</f>
        <v>2.3390999999999997</v>
      </c>
      <c r="AB47" s="74">
        <f ca="1">AA47+AA60-IF(AB$2-1&gt;='Main Variables'!$B$34,OFFSET('Cumulative 40yr Model'!AB60,0,-'Main Variables'!$B$34,1,1),0)</f>
        <v>2.3390999999999997</v>
      </c>
      <c r="AC47" s="74">
        <f ca="1">AB47+AB60-IF(AC$2-1&gt;='Main Variables'!$B$34,OFFSET('Cumulative 40yr Model'!AC60,0,-'Main Variables'!$B$34,1,1),0)</f>
        <v>2.3390999999999997</v>
      </c>
      <c r="AD47" s="74">
        <f ca="1">AC47+AC60-IF(AD$2-1&gt;='Main Variables'!$B$34,OFFSET('Cumulative 40yr Model'!AD60,0,-'Main Variables'!$B$34,1,1),0)</f>
        <v>2.3390999999999997</v>
      </c>
      <c r="AE47" s="74">
        <f ca="1">AD47+AD60-IF(AE$2-1&gt;='Main Variables'!$B$34,OFFSET('Cumulative 40yr Model'!AE60,0,-'Main Variables'!$B$34,1,1),0)</f>
        <v>2.3390999999999997</v>
      </c>
      <c r="AF47" s="74">
        <f ca="1">AE47+AE60-IF(AF$2-1&gt;='Main Variables'!$B$34,OFFSET('Cumulative 40yr Model'!AF60,0,-'Main Variables'!$B$34,1,1),0)</f>
        <v>2.3390999999999997</v>
      </c>
      <c r="AG47" s="74">
        <f ca="1">AF47+AF60-IF(AG$2-1&gt;='Main Variables'!$B$34,OFFSET('Cumulative 40yr Model'!AG60,0,-'Main Variables'!$B$34,1,1),0)</f>
        <v>2.3390999999999997</v>
      </c>
      <c r="AH47" s="74">
        <f ca="1">AG47+AG60-IF(AH$2-1&gt;='Main Variables'!$B$34,OFFSET('Cumulative 40yr Model'!AH60,0,-'Main Variables'!$B$34,1,1),0)</f>
        <v>2.3390999999999997</v>
      </c>
      <c r="AI47" s="74">
        <f ca="1">AH47+AH60-IF(AI$2-1&gt;='Main Variables'!$B$34,OFFSET('Cumulative 40yr Model'!AI60,0,-'Main Variables'!$B$34,1,1),0)</f>
        <v>1.4171572639999992</v>
      </c>
      <c r="AJ47" s="74">
        <f ca="1">AI47+AI60-IF(AJ$2-1&gt;='Main Variables'!$B$34,OFFSET('Cumulative 40yr Model'!AJ60,0,-'Main Variables'!$B$34,1,1),0)</f>
        <v>1.3575047607267199</v>
      </c>
      <c r="AK47" s="74">
        <f ca="1">AJ47+AJ60-IF(AK$2-1&gt;='Main Variables'!$B$34,OFFSET('Cumulative 40yr Model'!AK60,0,-'Main Variables'!$B$34,1,1),0)</f>
        <v>1.9035379752732804</v>
      </c>
      <c r="AL47" s="74">
        <f ca="1">AK47+AK60-IF(AL$2-1&gt;='Main Variables'!$B$34,OFFSET('Cumulative 40yr Model'!AL60,0,-'Main Variables'!$B$34,1,1),0)</f>
        <v>2.3390999999999997</v>
      </c>
      <c r="AM47" s="74">
        <f ca="1">AL47+AL60-IF(AM$2-1&gt;='Main Variables'!$B$34,OFFSET('Cumulative 40yr Model'!AM60,0,-'Main Variables'!$B$34,1,1),0)</f>
        <v>2.3390999999999997</v>
      </c>
      <c r="AN47" s="74">
        <f ca="1">AM47+AM60-IF(AN$2-1&gt;='Main Variables'!$B$34,OFFSET('Cumulative 40yr Model'!AN60,0,-'Main Variables'!$B$34,1,1),0)</f>
        <v>2.3390999999999997</v>
      </c>
      <c r="AO47" s="74">
        <f ca="1">AN47+AN60-IF(AO$2-1&gt;='Main Variables'!$B$34,OFFSET('Cumulative 40yr Model'!AO60,0,-'Main Variables'!$B$34,1,1),0)</f>
        <v>2.3390999999999997</v>
      </c>
      <c r="AP47" s="74">
        <f ca="1">AO47+AO60-IF(AP$2-1&gt;='Main Variables'!$B$34,OFFSET('Cumulative 40yr Model'!AP60,0,-'Main Variables'!$B$34,1,1),0)</f>
        <v>2.3390999999999997</v>
      </c>
      <c r="AQ47" s="75">
        <f ca="1">AP47+AP60-IF(AQ$2-1&gt;='Main Variables'!$B$34,OFFSET('Cumulative 40yr Model'!AQ60,0,-'Main Variables'!$B$34,1,1),0)</f>
        <v>2.3390999999999997</v>
      </c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</row>
    <row r="48" spans="1:59" x14ac:dyDescent="0.25">
      <c r="A48" s="9">
        <f>'Grid Sizes, Locations, and GHGs'!D10</f>
        <v>3200</v>
      </c>
      <c r="B48" s="73" t="str">
        <f>'Grid Sizes, Locations, and GHGs'!A10</f>
        <v>USA (excluding California)</v>
      </c>
      <c r="C48" s="9">
        <v>0</v>
      </c>
      <c r="D48" s="9">
        <v>0</v>
      </c>
      <c r="E48" s="74">
        <f ca="1">D48+D61-IF(E$2-1&gt;='Main Variables'!$B$34,OFFSET('Cumulative 40yr Model'!E61,0,-'Main Variables'!$B$34,1,1),0)</f>
        <v>0</v>
      </c>
      <c r="F48" s="74">
        <f ca="1">E48+E61-IF(F$2-1&gt;='Main Variables'!$B$34,OFFSET('Cumulative 40yr Model'!F61,0,-'Main Variables'!$B$34,1,1),0)</f>
        <v>0</v>
      </c>
      <c r="G48" s="74">
        <f ca="1">F48+F61-IF(G$2-1&gt;='Main Variables'!$B$34,OFFSET('Cumulative 40yr Model'!G61,0,-'Main Variables'!$B$34,1,1),0)</f>
        <v>0</v>
      </c>
      <c r="H48" s="74">
        <f ca="1">G48+G61-IF(H$2-1&gt;='Main Variables'!$B$34,OFFSET('Cumulative 40yr Model'!H61,0,-'Main Variables'!$B$34,1,1),0)</f>
        <v>0.65367515218304684</v>
      </c>
      <c r="I48" s="74">
        <f ca="1">H48+H61-IF(I$2-1&gt;='Main Variables'!$B$34,OFFSET('Cumulative 40yr Model'!I61,0,-'Main Variables'!$B$34,1,1),0)</f>
        <v>1.8274407657514629</v>
      </c>
      <c r="J48" s="74">
        <f ca="1">I48+I61-IF(J$2-1&gt;='Main Variables'!$B$34,OFFSET('Cumulative 40yr Model'!J61,0,-'Main Variables'!$B$34,1,1),0)</f>
        <v>3.1028570574137633</v>
      </c>
      <c r="K48" s="74">
        <f ca="1">J48+J61-IF(K$2-1&gt;='Main Variables'!$B$34,OFFSET('Cumulative 40yr Model'!K61,0,-'Main Variables'!$B$34,1,1),0)</f>
        <v>4.4986686372924805</v>
      </c>
      <c r="L48" s="74">
        <f ca="1">K48+K61-IF(L$2-1&gt;='Main Variables'!$B$34,OFFSET('Cumulative 40yr Model'!L61,0,-'Main Variables'!$B$34,1,1),0)</f>
        <v>6.0219414036526473</v>
      </c>
      <c r="M48" s="74">
        <f ca="1">L48+L61-IF(M$2-1&gt;='Main Variables'!$B$34,OFFSET('Cumulative 40yr Model'!M61,0,-'Main Variables'!$B$34,1,1),0)</f>
        <v>7.6831699820982227</v>
      </c>
      <c r="N48" s="74">
        <f ca="1">M48+M61-IF(N$2-1&gt;='Main Variables'!$B$34,OFFSET('Cumulative 40yr Model'!N61,0,-'Main Variables'!$B$34,1,1),0)</f>
        <v>9.4929820207335425</v>
      </c>
      <c r="O48" s="74">
        <f ca="1">N48+N61-IF(O$2-1&gt;='Main Variables'!$B$34,OFFSET('Cumulative 40yr Model'!O61,0,-'Main Variables'!$B$34,1,1),0)</f>
        <v>11.462935393574178</v>
      </c>
      <c r="P48" s="74">
        <f ca="1">O48+O61-IF(P$2-1&gt;='Main Variables'!$B$34,OFFSET('Cumulative 40yr Model'!P61,0,-'Main Variables'!$B$34,1,1),0)</f>
        <v>13.605410786996918</v>
      </c>
      <c r="Q48" s="74">
        <f ca="1">P48+P61-IF(Q$2-1&gt;='Main Variables'!$B$34,OFFSET('Cumulative 40yr Model'!Q61,0,-'Main Variables'!$B$34,1,1),0)</f>
        <v>15.933710281640272</v>
      </c>
      <c r="R48" s="74">
        <f ca="1">Q48+Q61-IF(R$2-1&gt;='Main Variables'!$B$34,OFFSET('Cumulative 40yr Model'!R61,0,-'Main Variables'!$B$34,1,1),0)</f>
        <v>18.462115550903288</v>
      </c>
      <c r="S48" s="74">
        <f ca="1">R48+R61-IF(S$2-1&gt;='Main Variables'!$B$34,OFFSET('Cumulative 40yr Model'!S61,0,-'Main Variables'!$B$34,1,1),0)</f>
        <v>21.205960799227523</v>
      </c>
      <c r="T48" s="74">
        <f ca="1">S48+S61-IF(T$2-1&gt;='Main Variables'!$B$34,OFFSET('Cumulative 40yr Model'!T61,0,-'Main Variables'!$B$34,1,1),0)</f>
        <v>24.181708607803124</v>
      </c>
      <c r="U48" s="74">
        <f ca="1">T48+T61-IF(U$2-1&gt;='Main Variables'!$B$34,OFFSET('Cumulative 40yr Model'!U61,0,-'Main Variables'!$B$34,1,1),0)</f>
        <v>27.407031760219596</v>
      </c>
      <c r="V48" s="74">
        <f ca="1">U48+U61-IF(V$2-1&gt;='Main Variables'!$B$34,OFFSET('Cumulative 40yr Model'!V61,0,-'Main Variables'!$B$34,1,1),0)</f>
        <v>30.900900841055559</v>
      </c>
      <c r="W48" s="74">
        <f ca="1">V48+V61-IF(W$2-1&gt;='Main Variables'!$B$34,OFFSET('Cumulative 40yr Model'!W61,0,-'Main Variables'!$B$34,1,1),0)</f>
        <v>34.683678163096289</v>
      </c>
      <c r="X48" s="74">
        <f ca="1">W48+W61-IF(X$2-1&gt;='Main Variables'!$B$34,OFFSET('Cumulative 40yr Model'!X61,0,-'Main Variables'!$B$34,1,1),0)</f>
        <v>38.777218445965801</v>
      </c>
      <c r="Y48" s="74">
        <f ca="1">X48+X61-IF(Y$2-1&gt;='Main Variables'!$B$34,OFFSET('Cumulative 40yr Model'!Y61,0,-'Main Variables'!$B$34,1,1),0)</f>
        <v>42.25801673764709</v>
      </c>
      <c r="Z48" s="74">
        <f ca="1">Y48+Y61-IF(Z$2-1&gt;='Main Variables'!$B$34,OFFSET('Cumulative 40yr Model'!Z61,0,-'Main Variables'!$B$34,1,1),0)</f>
        <v>46.158477249870636</v>
      </c>
      <c r="AA48" s="74">
        <f ca="1">Z48+Z61-IF(AA$2-1&gt;='Main Variables'!$B$34,OFFSET('Cumulative 40yr Model'!AA61,0,-'Main Variables'!$B$34,1,1),0)</f>
        <v>48.074099999999994</v>
      </c>
      <c r="AB48" s="74">
        <f ca="1">AA48+AA61-IF(AB$2-1&gt;='Main Variables'!$B$34,OFFSET('Cumulative 40yr Model'!AB61,0,-'Main Variables'!$B$34,1,1),0)</f>
        <v>48.074099999999994</v>
      </c>
      <c r="AC48" s="74">
        <f ca="1">AB48+AB61-IF(AC$2-1&gt;='Main Variables'!$B$34,OFFSET('Cumulative 40yr Model'!AC61,0,-'Main Variables'!$B$34,1,1),0)</f>
        <v>48.074099999999994</v>
      </c>
      <c r="AD48" s="74">
        <f ca="1">AC48+AC61-IF(AD$2-1&gt;='Main Variables'!$B$34,OFFSET('Cumulative 40yr Model'!AD61,0,-'Main Variables'!$B$34,1,1),0)</f>
        <v>48.074099999999994</v>
      </c>
      <c r="AE48" s="74">
        <f ca="1">AD48+AD61-IF(AE$2-1&gt;='Main Variables'!$B$34,OFFSET('Cumulative 40yr Model'!AE61,0,-'Main Variables'!$B$34,1,1),0)</f>
        <v>48.074099999999994</v>
      </c>
      <c r="AF48" s="74">
        <f ca="1">AE48+AE61-IF(AF$2-1&gt;='Main Variables'!$B$34,OFFSET('Cumulative 40yr Model'!AF61,0,-'Main Variables'!$B$34,1,1),0)</f>
        <v>48.074099999999994</v>
      </c>
      <c r="AG48" s="74">
        <f ca="1">AF48+AF61-IF(AG$2-1&gt;='Main Variables'!$B$34,OFFSET('Cumulative 40yr Model'!AG61,0,-'Main Variables'!$B$34,1,1),0)</f>
        <v>48.074099999999994</v>
      </c>
      <c r="AH48" s="74">
        <f ca="1">AG48+AG61-IF(AH$2-1&gt;='Main Variables'!$B$34,OFFSET('Cumulative 40yr Model'!AH61,0,-'Main Variables'!$B$34,1,1),0)</f>
        <v>48.074099999999994</v>
      </c>
      <c r="AI48" s="74">
        <f ca="1">AH48+AH61-IF(AI$2-1&gt;='Main Variables'!$B$34,OFFSET('Cumulative 40yr Model'!AI61,0,-'Main Variables'!$B$34,1,1),0)</f>
        <v>48.074099999999994</v>
      </c>
      <c r="AJ48" s="74">
        <f ca="1">AI48+AI61-IF(AJ$2-1&gt;='Main Variables'!$B$34,OFFSET('Cumulative 40yr Model'!AJ61,0,-'Main Variables'!$B$34,1,1),0)</f>
        <v>48.074099999999994</v>
      </c>
      <c r="AK48" s="74">
        <f ca="1">AJ48+AJ61-IF(AK$2-1&gt;='Main Variables'!$B$34,OFFSET('Cumulative 40yr Model'!AK61,0,-'Main Variables'!$B$34,1,1),0)</f>
        <v>47.420424847816946</v>
      </c>
      <c r="AL48" s="74">
        <f ca="1">AK48+AK61-IF(AL$2-1&gt;='Main Variables'!$B$34,OFFSET('Cumulative 40yr Model'!AL61,0,-'Main Variables'!$B$34,1,1),0)</f>
        <v>46.900334386431581</v>
      </c>
      <c r="AM48" s="74">
        <f ca="1">AL48+AL61-IF(AM$2-1&gt;='Main Variables'!$B$34,OFFSET('Cumulative 40yr Model'!AM61,0,-'Main Variables'!$B$34,1,1),0)</f>
        <v>46.798683708337691</v>
      </c>
      <c r="AN48" s="74">
        <f ca="1">AM48+AM61-IF(AN$2-1&gt;='Main Variables'!$B$34,OFFSET('Cumulative 40yr Model'!AN61,0,-'Main Variables'!$B$34,1,1),0)</f>
        <v>46.678288420121277</v>
      </c>
      <c r="AO48" s="74">
        <f ca="1">AN48+AN61-IF(AO$2-1&gt;='Main Variables'!$B$34,OFFSET('Cumulative 40yr Model'!AO61,0,-'Main Variables'!$B$34,1,1),0)</f>
        <v>46.550827233639829</v>
      </c>
      <c r="AP48" s="74">
        <f ca="1">AO48+AO61-IF(AP$2-1&gt;='Main Variables'!$B$34,OFFSET('Cumulative 40yr Model'!AP61,0,-'Main Variables'!$B$34,1,1),0)</f>
        <v>46.412871421554421</v>
      </c>
      <c r="AQ48" s="75">
        <f ca="1">AP48+AP61-IF(AQ$2-1&gt;='Main Variables'!$B$34,OFFSET('Cumulative 40yr Model'!AQ61,0,-'Main Variables'!$B$34,1,1),0)</f>
        <v>46.264287961364673</v>
      </c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</row>
    <row r="49" spans="1:59" x14ac:dyDescent="0.25">
      <c r="A49" s="9">
        <f>'Grid Sizes, Locations, and GHGs'!D11</f>
        <v>4000</v>
      </c>
      <c r="B49" s="73" t="str">
        <f>'Grid Sizes, Locations, and GHGs'!A11</f>
        <v>Canada (excluding Alberta)</v>
      </c>
      <c r="C49" s="9">
        <v>0</v>
      </c>
      <c r="D49" s="9">
        <v>0</v>
      </c>
      <c r="E49" s="74">
        <f ca="1">D49+D62-IF(E$2-1&gt;='Main Variables'!$B$34,OFFSET('Cumulative 40yr Model'!E62,0,-'Main Variables'!$B$34,1,1),0)</f>
        <v>0</v>
      </c>
      <c r="F49" s="74">
        <f ca="1">E49+E62-IF(F$2-1&gt;='Main Variables'!$B$34,OFFSET('Cumulative 40yr Model'!F62,0,-'Main Variables'!$B$34,1,1),0)</f>
        <v>0</v>
      </c>
      <c r="G49" s="74">
        <f ca="1">F49+F62-IF(G$2-1&gt;='Main Variables'!$B$34,OFFSET('Cumulative 40yr Model'!G62,0,-'Main Variables'!$B$34,1,1),0)</f>
        <v>0</v>
      </c>
      <c r="H49" s="74">
        <f ca="1">G49+G62-IF(H$2-1&gt;='Main Variables'!$B$34,OFFSET('Cumulative 40yr Model'!H62,0,-'Main Variables'!$B$34,1,1),0)</f>
        <v>0</v>
      </c>
      <c r="I49" s="74">
        <f ca="1">H49+H62-IF(I$2-1&gt;='Main Variables'!$B$34,OFFSET('Cumulative 40yr Model'!I62,0,-'Main Variables'!$B$34,1,1),0)</f>
        <v>0</v>
      </c>
      <c r="J49" s="74">
        <f ca="1">I49+I62-IF(J$2-1&gt;='Main Variables'!$B$34,OFFSET('Cumulative 40yr Model'!J62,0,-'Main Variables'!$B$34,1,1),0)</f>
        <v>0</v>
      </c>
      <c r="K49" s="74">
        <f ca="1">J49+J62-IF(K$2-1&gt;='Main Variables'!$B$34,OFFSET('Cumulative 40yr Model'!K62,0,-'Main Variables'!$B$34,1,1),0)</f>
        <v>-8.8817841970012523E-16</v>
      </c>
      <c r="L49" s="74">
        <f ca="1">K49+K62-IF(L$2-1&gt;='Main Variables'!$B$34,OFFSET('Cumulative 40yr Model'!L62,0,-'Main Variables'!$B$34,1,1),0)</f>
        <v>0</v>
      </c>
      <c r="M49" s="74">
        <f ca="1">L49+L62-IF(M$2-1&gt;='Main Variables'!$B$34,OFFSET('Cumulative 40yr Model'!M62,0,-'Main Variables'!$B$34,1,1),0)</f>
        <v>0</v>
      </c>
      <c r="N49" s="74">
        <f ca="1">M49+M62-IF(N$2-1&gt;='Main Variables'!$B$34,OFFSET('Cumulative 40yr Model'!N62,0,-'Main Variables'!$B$34,1,1),0)</f>
        <v>0</v>
      </c>
      <c r="O49" s="74">
        <f ca="1">N49+N62-IF(O$2-1&gt;='Main Variables'!$B$34,OFFSET('Cumulative 40yr Model'!O62,0,-'Main Variables'!$B$34,1,1),0)</f>
        <v>0</v>
      </c>
      <c r="P49" s="74">
        <f ca="1">O49+O62-IF(P$2-1&gt;='Main Variables'!$B$34,OFFSET('Cumulative 40yr Model'!P62,0,-'Main Variables'!$B$34,1,1),0)</f>
        <v>0</v>
      </c>
      <c r="Q49" s="74">
        <f ca="1">P49+P62-IF(Q$2-1&gt;='Main Variables'!$B$34,OFFSET('Cumulative 40yr Model'!Q62,0,-'Main Variables'!$B$34,1,1),0)</f>
        <v>0</v>
      </c>
      <c r="R49" s="74">
        <f ca="1">Q49+Q62-IF(R$2-1&gt;='Main Variables'!$B$34,OFFSET('Cumulative 40yr Model'!R62,0,-'Main Variables'!$B$34,1,1),0)</f>
        <v>0</v>
      </c>
      <c r="S49" s="74">
        <f ca="1">R49+R62-IF(S$2-1&gt;='Main Variables'!$B$34,OFFSET('Cumulative 40yr Model'!S62,0,-'Main Variables'!$B$34,1,1),0)</f>
        <v>0</v>
      </c>
      <c r="T49" s="74">
        <f ca="1">S49+S62-IF(T$2-1&gt;='Main Variables'!$B$34,OFFSET('Cumulative 40yr Model'!T62,0,-'Main Variables'!$B$34,1,1),0)</f>
        <v>0</v>
      </c>
      <c r="U49" s="74">
        <f ca="1">T49+T62-IF(U$2-1&gt;='Main Variables'!$B$34,OFFSET('Cumulative 40yr Model'!U62,0,-'Main Variables'!$B$34,1,1),0)</f>
        <v>0</v>
      </c>
      <c r="V49" s="74">
        <f ca="1">U49+U62-IF(V$2-1&gt;='Main Variables'!$B$34,OFFSET('Cumulative 40yr Model'!V62,0,-'Main Variables'!$B$34,1,1),0)</f>
        <v>0</v>
      </c>
      <c r="W49" s="74">
        <f ca="1">V49+V62-IF(W$2-1&gt;='Main Variables'!$B$34,OFFSET('Cumulative 40yr Model'!W62,0,-'Main Variables'!$B$34,1,1),0)</f>
        <v>0</v>
      </c>
      <c r="X49" s="74">
        <f ca="1">W49+W62-IF(X$2-1&gt;='Main Variables'!$B$34,OFFSET('Cumulative 40yr Model'!X62,0,-'Main Variables'!$B$34,1,1),0)</f>
        <v>0</v>
      </c>
      <c r="Y49" s="74">
        <f ca="1">X49+X62-IF(Y$2-1&gt;='Main Variables'!$B$34,OFFSET('Cumulative 40yr Model'!Y62,0,-'Main Variables'!$B$34,1,1),0)</f>
        <v>0</v>
      </c>
      <c r="Z49" s="74">
        <f ca="1">Y49+Y62-IF(Z$2-1&gt;='Main Variables'!$B$34,OFFSET('Cumulative 40yr Model'!Z62,0,-'Main Variables'!$B$34,1,1),0)</f>
        <v>0</v>
      </c>
      <c r="AA49" s="74">
        <f ca="1">Z49+Z62-IF(AA$2-1&gt;='Main Variables'!$B$34,OFFSET('Cumulative 40yr Model'!AA62,0,-'Main Variables'!$B$34,1,1),0)</f>
        <v>2.3268961316281676</v>
      </c>
      <c r="AB49" s="74">
        <f ca="1">AA49+AA62-IF(AB$2-1&gt;='Main Variables'!$B$34,OFFSET('Cumulative 40yr Model'!AB62,0,-'Main Variables'!$B$34,1,1),0)</f>
        <v>6.6677056879955572</v>
      </c>
      <c r="AC49" s="74">
        <f ca="1">AB49+AB62-IF(AC$2-1&gt;='Main Variables'!$B$34,OFFSET('Cumulative 40yr Model'!AC62,0,-'Main Variables'!$B$34,1,1),0)</f>
        <v>8.9175999999999931</v>
      </c>
      <c r="AD49" s="74">
        <f ca="1">AC49+AC62-IF(AD$2-1&gt;='Main Variables'!$B$34,OFFSET('Cumulative 40yr Model'!AD62,0,-'Main Variables'!$B$34,1,1),0)</f>
        <v>8.9175999999999931</v>
      </c>
      <c r="AE49" s="74">
        <f ca="1">AD49+AD62-IF(AE$2-1&gt;='Main Variables'!$B$34,OFFSET('Cumulative 40yr Model'!AE62,0,-'Main Variables'!$B$34,1,1),0)</f>
        <v>8.9175999999999931</v>
      </c>
      <c r="AF49" s="74">
        <f ca="1">AE49+AE62-IF(AF$2-1&gt;='Main Variables'!$B$34,OFFSET('Cumulative 40yr Model'!AF62,0,-'Main Variables'!$B$34,1,1),0)</f>
        <v>8.9175999999999931</v>
      </c>
      <c r="AG49" s="74">
        <f ca="1">AF49+AF62-IF(AG$2-1&gt;='Main Variables'!$B$34,OFFSET('Cumulative 40yr Model'!AG62,0,-'Main Variables'!$B$34,1,1),0)</f>
        <v>8.9175999999999931</v>
      </c>
      <c r="AH49" s="74">
        <f ca="1">AG49+AG62-IF(AH$2-1&gt;='Main Variables'!$B$34,OFFSET('Cumulative 40yr Model'!AH62,0,-'Main Variables'!$B$34,1,1),0)</f>
        <v>8.9175999999999931</v>
      </c>
      <c r="AI49" s="74">
        <f ca="1">AH49+AH62-IF(AI$2-1&gt;='Main Variables'!$B$34,OFFSET('Cumulative 40yr Model'!AI62,0,-'Main Variables'!$B$34,1,1),0)</f>
        <v>8.9175999999999931</v>
      </c>
      <c r="AJ49" s="74">
        <f ca="1">AI49+AI62-IF(AJ$2-1&gt;='Main Variables'!$B$34,OFFSET('Cumulative 40yr Model'!AJ62,0,-'Main Variables'!$B$34,1,1),0)</f>
        <v>8.9175999999999931</v>
      </c>
      <c r="AK49" s="74">
        <f ca="1">AJ49+AJ62-IF(AK$2-1&gt;='Main Variables'!$B$34,OFFSET('Cumulative 40yr Model'!AK62,0,-'Main Variables'!$B$34,1,1),0)</f>
        <v>8.9175999999999931</v>
      </c>
      <c r="AL49" s="74">
        <f ca="1">AK49+AK62-IF(AL$2-1&gt;='Main Variables'!$B$34,OFFSET('Cumulative 40yr Model'!AL62,0,-'Main Variables'!$B$34,1,1),0)</f>
        <v>8.9175999999999931</v>
      </c>
      <c r="AM49" s="74">
        <f ca="1">AL49+AL62-IF(AM$2-1&gt;='Main Variables'!$B$34,OFFSET('Cumulative 40yr Model'!AM62,0,-'Main Variables'!$B$34,1,1),0)</f>
        <v>8.9175999999999931</v>
      </c>
      <c r="AN49" s="74">
        <f ca="1">AM49+AM62-IF(AN$2-1&gt;='Main Variables'!$B$34,OFFSET('Cumulative 40yr Model'!AN62,0,-'Main Variables'!$B$34,1,1),0)</f>
        <v>8.9175999999999931</v>
      </c>
      <c r="AO49" s="74">
        <f ca="1">AN49+AN62-IF(AO$2-1&gt;='Main Variables'!$B$34,OFFSET('Cumulative 40yr Model'!AO62,0,-'Main Variables'!$B$34,1,1),0)</f>
        <v>8.9175999999999931</v>
      </c>
      <c r="AP49" s="74">
        <f ca="1">AO49+AO62-IF(AP$2-1&gt;='Main Variables'!$B$34,OFFSET('Cumulative 40yr Model'!AP62,0,-'Main Variables'!$B$34,1,1),0)</f>
        <v>8.9175999999999931</v>
      </c>
      <c r="AQ49" s="75">
        <f ca="1">AP49+AP62-IF(AQ$2-1&gt;='Main Variables'!$B$34,OFFSET('Cumulative 40yr Model'!AQ62,0,-'Main Variables'!$B$34,1,1),0)</f>
        <v>8.9175999999999931</v>
      </c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</row>
    <row r="50" spans="1:59" x14ac:dyDescent="0.25">
      <c r="A50" s="9">
        <f>'Grid Sizes, Locations, and GHGs'!D12</f>
        <v>0</v>
      </c>
      <c r="B50" s="73" t="str">
        <f>'Grid Sizes, Locations, and GHGs'!A12</f>
        <v>unused</v>
      </c>
      <c r="C50" s="9">
        <v>0</v>
      </c>
      <c r="D50" s="9">
        <v>0</v>
      </c>
      <c r="E50" s="74">
        <f ca="1">D50+D63-IF(E$2-1&gt;='Main Variables'!$B$34,OFFSET('Cumulative 40yr Model'!E63,0,-'Main Variables'!$B$34,1,1),0)</f>
        <v>0</v>
      </c>
      <c r="F50" s="74">
        <f ca="1">E50+E63-IF(F$2-1&gt;='Main Variables'!$B$34,OFFSET('Cumulative 40yr Model'!F63,0,-'Main Variables'!$B$34,1,1),0)</f>
        <v>0</v>
      </c>
      <c r="G50" s="74">
        <f ca="1">F50+F63-IF(G$2-1&gt;='Main Variables'!$B$34,OFFSET('Cumulative 40yr Model'!G63,0,-'Main Variables'!$B$34,1,1),0)</f>
        <v>0</v>
      </c>
      <c r="H50" s="74">
        <f ca="1">G50+G63-IF(H$2-1&gt;='Main Variables'!$B$34,OFFSET('Cumulative 40yr Model'!H63,0,-'Main Variables'!$B$34,1,1),0)</f>
        <v>0</v>
      </c>
      <c r="I50" s="74">
        <f ca="1">H50+H63-IF(I$2-1&gt;='Main Variables'!$B$34,OFFSET('Cumulative 40yr Model'!I63,0,-'Main Variables'!$B$34,1,1),0)</f>
        <v>0</v>
      </c>
      <c r="J50" s="74">
        <f ca="1">I50+I63-IF(J$2-1&gt;='Main Variables'!$B$34,OFFSET('Cumulative 40yr Model'!J63,0,-'Main Variables'!$B$34,1,1),0)</f>
        <v>0</v>
      </c>
      <c r="K50" s="74">
        <f ca="1">J50+J63-IF(K$2-1&gt;='Main Variables'!$B$34,OFFSET('Cumulative 40yr Model'!K63,0,-'Main Variables'!$B$34,1,1),0)</f>
        <v>0</v>
      </c>
      <c r="L50" s="74">
        <f ca="1">K50+K63-IF(L$2-1&gt;='Main Variables'!$B$34,OFFSET('Cumulative 40yr Model'!L63,0,-'Main Variables'!$B$34,1,1),0)</f>
        <v>0</v>
      </c>
      <c r="M50" s="74">
        <f ca="1">L50+L63-IF(M$2-1&gt;='Main Variables'!$B$34,OFFSET('Cumulative 40yr Model'!M63,0,-'Main Variables'!$B$34,1,1),0)</f>
        <v>0</v>
      </c>
      <c r="N50" s="74">
        <f ca="1">M50+M63-IF(N$2-1&gt;='Main Variables'!$B$34,OFFSET('Cumulative 40yr Model'!N63,0,-'Main Variables'!$B$34,1,1),0)</f>
        <v>0</v>
      </c>
      <c r="O50" s="74">
        <f ca="1">N50+N63-IF(O$2-1&gt;='Main Variables'!$B$34,OFFSET('Cumulative 40yr Model'!O63,0,-'Main Variables'!$B$34,1,1),0)</f>
        <v>0</v>
      </c>
      <c r="P50" s="74">
        <f ca="1">O50+O63-IF(P$2-1&gt;='Main Variables'!$B$34,OFFSET('Cumulative 40yr Model'!P63,0,-'Main Variables'!$B$34,1,1),0)</f>
        <v>0</v>
      </c>
      <c r="Q50" s="74">
        <f ca="1">P50+P63-IF(Q$2-1&gt;='Main Variables'!$B$34,OFFSET('Cumulative 40yr Model'!Q63,0,-'Main Variables'!$B$34,1,1),0)</f>
        <v>0</v>
      </c>
      <c r="R50" s="74">
        <f ca="1">Q50+Q63-IF(R$2-1&gt;='Main Variables'!$B$34,OFFSET('Cumulative 40yr Model'!R63,0,-'Main Variables'!$B$34,1,1),0)</f>
        <v>0</v>
      </c>
      <c r="S50" s="74">
        <f ca="1">R50+R63-IF(S$2-1&gt;='Main Variables'!$B$34,OFFSET('Cumulative 40yr Model'!S63,0,-'Main Variables'!$B$34,1,1),0)</f>
        <v>0</v>
      </c>
      <c r="T50" s="74">
        <f ca="1">S50+S63-IF(T$2-1&gt;='Main Variables'!$B$34,OFFSET('Cumulative 40yr Model'!T63,0,-'Main Variables'!$B$34,1,1),0)</f>
        <v>0</v>
      </c>
      <c r="U50" s="74">
        <f ca="1">T50+T63-IF(U$2-1&gt;='Main Variables'!$B$34,OFFSET('Cumulative 40yr Model'!U63,0,-'Main Variables'!$B$34,1,1),0)</f>
        <v>0</v>
      </c>
      <c r="V50" s="74">
        <f ca="1">U50+U63-IF(V$2-1&gt;='Main Variables'!$B$34,OFFSET('Cumulative 40yr Model'!V63,0,-'Main Variables'!$B$34,1,1),0)</f>
        <v>0</v>
      </c>
      <c r="W50" s="74">
        <f ca="1">V50+V63-IF(W$2-1&gt;='Main Variables'!$B$34,OFFSET('Cumulative 40yr Model'!W63,0,-'Main Variables'!$B$34,1,1),0)</f>
        <v>0</v>
      </c>
      <c r="X50" s="74">
        <f ca="1">W50+W63-IF(X$2-1&gt;='Main Variables'!$B$34,OFFSET('Cumulative 40yr Model'!X63,0,-'Main Variables'!$B$34,1,1),0)</f>
        <v>0</v>
      </c>
      <c r="Y50" s="74">
        <f ca="1">X50+X63-IF(Y$2-1&gt;='Main Variables'!$B$34,OFFSET('Cumulative 40yr Model'!Y63,0,-'Main Variables'!$B$34,1,1),0)</f>
        <v>0</v>
      </c>
      <c r="Z50" s="74">
        <f ca="1">Y50+Y63-IF(Z$2-1&gt;='Main Variables'!$B$34,OFFSET('Cumulative 40yr Model'!Z63,0,-'Main Variables'!$B$34,1,1),0)</f>
        <v>0</v>
      </c>
      <c r="AA50" s="74">
        <f ca="1">Z50+Z63-IF(AA$2-1&gt;='Main Variables'!$B$34,OFFSET('Cumulative 40yr Model'!AA63,0,-'Main Variables'!$B$34,1,1),0)</f>
        <v>0</v>
      </c>
      <c r="AB50" s="74">
        <f ca="1">AA50+AA63-IF(AB$2-1&gt;='Main Variables'!$B$34,OFFSET('Cumulative 40yr Model'!AB63,0,-'Main Variables'!$B$34,1,1),0)</f>
        <v>0</v>
      </c>
      <c r="AC50" s="74">
        <f ca="1">AB50+AB63-IF(AC$2-1&gt;='Main Variables'!$B$34,OFFSET('Cumulative 40yr Model'!AC63,0,-'Main Variables'!$B$34,1,1),0)</f>
        <v>0</v>
      </c>
      <c r="AD50" s="74">
        <f ca="1">AC50+AC63-IF(AD$2-1&gt;='Main Variables'!$B$34,OFFSET('Cumulative 40yr Model'!AD63,0,-'Main Variables'!$B$34,1,1),0)</f>
        <v>0</v>
      </c>
      <c r="AE50" s="74">
        <f ca="1">AD50+AD63-IF(AE$2-1&gt;='Main Variables'!$B$34,OFFSET('Cumulative 40yr Model'!AE63,0,-'Main Variables'!$B$34,1,1),0)</f>
        <v>0</v>
      </c>
      <c r="AF50" s="74">
        <f ca="1">AE50+AE63-IF(AF$2-1&gt;='Main Variables'!$B$34,OFFSET('Cumulative 40yr Model'!AF63,0,-'Main Variables'!$B$34,1,1),0)</f>
        <v>0</v>
      </c>
      <c r="AG50" s="74">
        <f ca="1">AF50+AF63-IF(AG$2-1&gt;='Main Variables'!$B$34,OFFSET('Cumulative 40yr Model'!AG63,0,-'Main Variables'!$B$34,1,1),0)</f>
        <v>0</v>
      </c>
      <c r="AH50" s="74">
        <f ca="1">AG50+AG63-IF(AH$2-1&gt;='Main Variables'!$B$34,OFFSET('Cumulative 40yr Model'!AH63,0,-'Main Variables'!$B$34,1,1),0)</f>
        <v>0</v>
      </c>
      <c r="AI50" s="74">
        <f ca="1">AH50+AH63-IF(AI$2-1&gt;='Main Variables'!$B$34,OFFSET('Cumulative 40yr Model'!AI63,0,-'Main Variables'!$B$34,1,1),0)</f>
        <v>0</v>
      </c>
      <c r="AJ50" s="74">
        <f ca="1">AI50+AI63-IF(AJ$2-1&gt;='Main Variables'!$B$34,OFFSET('Cumulative 40yr Model'!AJ63,0,-'Main Variables'!$B$34,1,1),0)</f>
        <v>0</v>
      </c>
      <c r="AK50" s="74">
        <f ca="1">AJ50+AJ63-IF(AK$2-1&gt;='Main Variables'!$B$34,OFFSET('Cumulative 40yr Model'!AK63,0,-'Main Variables'!$B$34,1,1),0)</f>
        <v>0</v>
      </c>
      <c r="AL50" s="74">
        <f ca="1">AK50+AK63-IF(AL$2-1&gt;='Main Variables'!$B$34,OFFSET('Cumulative 40yr Model'!AL63,0,-'Main Variables'!$B$34,1,1),0)</f>
        <v>0</v>
      </c>
      <c r="AM50" s="74">
        <f ca="1">AL50+AL63-IF(AM$2-1&gt;='Main Variables'!$B$34,OFFSET('Cumulative 40yr Model'!AM63,0,-'Main Variables'!$B$34,1,1),0)</f>
        <v>0</v>
      </c>
      <c r="AN50" s="74">
        <f ca="1">AM50+AM63-IF(AN$2-1&gt;='Main Variables'!$B$34,OFFSET('Cumulative 40yr Model'!AN63,0,-'Main Variables'!$B$34,1,1),0)</f>
        <v>0</v>
      </c>
      <c r="AO50" s="74">
        <f ca="1">AN50+AN63-IF(AO$2-1&gt;='Main Variables'!$B$34,OFFSET('Cumulative 40yr Model'!AO63,0,-'Main Variables'!$B$34,1,1),0)</f>
        <v>0</v>
      </c>
      <c r="AP50" s="74">
        <f ca="1">AO50+AO63-IF(AP$2-1&gt;='Main Variables'!$B$34,OFFSET('Cumulative 40yr Model'!AP63,0,-'Main Variables'!$B$34,1,1),0)</f>
        <v>0</v>
      </c>
      <c r="AQ50" s="75">
        <f ca="1">AP50+AP63-IF(AQ$2-1&gt;='Main Variables'!$B$34,OFFSET('Cumulative 40yr Model'!AQ63,0,-'Main Variables'!$B$34,1,1),0)</f>
        <v>0</v>
      </c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</row>
    <row r="51" spans="1:59" x14ac:dyDescent="0.25">
      <c r="A51" s="9">
        <f>'Grid Sizes, Locations, and GHGs'!D13</f>
        <v>0</v>
      </c>
      <c r="B51" s="73" t="str">
        <f>'Grid Sizes, Locations, and GHGs'!A13</f>
        <v>unused</v>
      </c>
      <c r="C51" s="9">
        <v>0</v>
      </c>
      <c r="D51" s="9">
        <v>0</v>
      </c>
      <c r="E51" s="74">
        <f ca="1">D51+D64-IF(E$2-1&gt;='Main Variables'!$B$34,OFFSET('Cumulative 40yr Model'!E64,0,-'Main Variables'!$B$34,1,1),0)</f>
        <v>0</v>
      </c>
      <c r="F51" s="74">
        <f ca="1">E51+E64-IF(F$2-1&gt;='Main Variables'!$B$34,OFFSET('Cumulative 40yr Model'!F64,0,-'Main Variables'!$B$34,1,1),0)</f>
        <v>0</v>
      </c>
      <c r="G51" s="74">
        <f ca="1">F51+F64-IF(G$2-1&gt;='Main Variables'!$B$34,OFFSET('Cumulative 40yr Model'!G64,0,-'Main Variables'!$B$34,1,1),0)</f>
        <v>0</v>
      </c>
      <c r="H51" s="74">
        <f ca="1">G51+G64-IF(H$2-1&gt;='Main Variables'!$B$34,OFFSET('Cumulative 40yr Model'!H64,0,-'Main Variables'!$B$34,1,1),0)</f>
        <v>0</v>
      </c>
      <c r="I51" s="74">
        <f ca="1">H51+H64-IF(I$2-1&gt;='Main Variables'!$B$34,OFFSET('Cumulative 40yr Model'!I64,0,-'Main Variables'!$B$34,1,1),0)</f>
        <v>0</v>
      </c>
      <c r="J51" s="74">
        <f ca="1">I51+I64-IF(J$2-1&gt;='Main Variables'!$B$34,OFFSET('Cumulative 40yr Model'!J64,0,-'Main Variables'!$B$34,1,1),0)</f>
        <v>0</v>
      </c>
      <c r="K51" s="74">
        <f ca="1">J51+J64-IF(K$2-1&gt;='Main Variables'!$B$34,OFFSET('Cumulative 40yr Model'!K64,0,-'Main Variables'!$B$34,1,1),0)</f>
        <v>0</v>
      </c>
      <c r="L51" s="74">
        <f ca="1">K51+K64-IF(L$2-1&gt;='Main Variables'!$B$34,OFFSET('Cumulative 40yr Model'!L64,0,-'Main Variables'!$B$34,1,1),0)</f>
        <v>0</v>
      </c>
      <c r="M51" s="74">
        <f ca="1">L51+L64-IF(M$2-1&gt;='Main Variables'!$B$34,OFFSET('Cumulative 40yr Model'!M64,0,-'Main Variables'!$B$34,1,1),0)</f>
        <v>0</v>
      </c>
      <c r="N51" s="74">
        <f ca="1">M51+M64-IF(N$2-1&gt;='Main Variables'!$B$34,OFFSET('Cumulative 40yr Model'!N64,0,-'Main Variables'!$B$34,1,1),0)</f>
        <v>0</v>
      </c>
      <c r="O51" s="74">
        <f ca="1">N51+N64-IF(O$2-1&gt;='Main Variables'!$B$34,OFFSET('Cumulative 40yr Model'!O64,0,-'Main Variables'!$B$34,1,1),0)</f>
        <v>0</v>
      </c>
      <c r="P51" s="74">
        <f ca="1">O51+O64-IF(P$2-1&gt;='Main Variables'!$B$34,OFFSET('Cumulative 40yr Model'!P64,0,-'Main Variables'!$B$34,1,1),0)</f>
        <v>0</v>
      </c>
      <c r="Q51" s="74">
        <f ca="1">P51+P64-IF(Q$2-1&gt;='Main Variables'!$B$34,OFFSET('Cumulative 40yr Model'!Q64,0,-'Main Variables'!$B$34,1,1),0)</f>
        <v>0</v>
      </c>
      <c r="R51" s="74">
        <f ca="1">Q51+Q64-IF(R$2-1&gt;='Main Variables'!$B$34,OFFSET('Cumulative 40yr Model'!R64,0,-'Main Variables'!$B$34,1,1),0)</f>
        <v>0</v>
      </c>
      <c r="S51" s="74">
        <f ca="1">R51+R64-IF(S$2-1&gt;='Main Variables'!$B$34,OFFSET('Cumulative 40yr Model'!S64,0,-'Main Variables'!$B$34,1,1),0)</f>
        <v>0</v>
      </c>
      <c r="T51" s="74">
        <f ca="1">S51+S64-IF(T$2-1&gt;='Main Variables'!$B$34,OFFSET('Cumulative 40yr Model'!T64,0,-'Main Variables'!$B$34,1,1),0)</f>
        <v>0</v>
      </c>
      <c r="U51" s="74">
        <f ca="1">T51+T64-IF(U$2-1&gt;='Main Variables'!$B$34,OFFSET('Cumulative 40yr Model'!U64,0,-'Main Variables'!$B$34,1,1),0)</f>
        <v>0</v>
      </c>
      <c r="V51" s="74">
        <f ca="1">U51+U64-IF(V$2-1&gt;='Main Variables'!$B$34,OFFSET('Cumulative 40yr Model'!V64,0,-'Main Variables'!$B$34,1,1),0)</f>
        <v>0</v>
      </c>
      <c r="W51" s="74">
        <f ca="1">V51+V64-IF(W$2-1&gt;='Main Variables'!$B$34,OFFSET('Cumulative 40yr Model'!W64,0,-'Main Variables'!$B$34,1,1),0)</f>
        <v>0</v>
      </c>
      <c r="X51" s="74">
        <f ca="1">W51+W64-IF(X$2-1&gt;='Main Variables'!$B$34,OFFSET('Cumulative 40yr Model'!X64,0,-'Main Variables'!$B$34,1,1),0)</f>
        <v>0</v>
      </c>
      <c r="Y51" s="74">
        <f ca="1">X51+X64-IF(Y$2-1&gt;='Main Variables'!$B$34,OFFSET('Cumulative 40yr Model'!Y64,0,-'Main Variables'!$B$34,1,1),0)</f>
        <v>0</v>
      </c>
      <c r="Z51" s="74">
        <f ca="1">Y51+Y64-IF(Z$2-1&gt;='Main Variables'!$B$34,OFFSET('Cumulative 40yr Model'!Z64,0,-'Main Variables'!$B$34,1,1),0)</f>
        <v>0</v>
      </c>
      <c r="AA51" s="74">
        <f ca="1">Z51+Z64-IF(AA$2-1&gt;='Main Variables'!$B$34,OFFSET('Cumulative 40yr Model'!AA64,0,-'Main Variables'!$B$34,1,1),0)</f>
        <v>0</v>
      </c>
      <c r="AB51" s="74">
        <f ca="1">AA51+AA64-IF(AB$2-1&gt;='Main Variables'!$B$34,OFFSET('Cumulative 40yr Model'!AB64,0,-'Main Variables'!$B$34,1,1),0)</f>
        <v>0</v>
      </c>
      <c r="AC51" s="74">
        <f ca="1">AB51+AB64-IF(AC$2-1&gt;='Main Variables'!$B$34,OFFSET('Cumulative 40yr Model'!AC64,0,-'Main Variables'!$B$34,1,1),0)</f>
        <v>0</v>
      </c>
      <c r="AD51" s="74">
        <f ca="1">AC51+AC64-IF(AD$2-1&gt;='Main Variables'!$B$34,OFFSET('Cumulative 40yr Model'!AD64,0,-'Main Variables'!$B$34,1,1),0)</f>
        <v>0</v>
      </c>
      <c r="AE51" s="74">
        <f ca="1">AD51+AD64-IF(AE$2-1&gt;='Main Variables'!$B$34,OFFSET('Cumulative 40yr Model'!AE64,0,-'Main Variables'!$B$34,1,1),0)</f>
        <v>0</v>
      </c>
      <c r="AF51" s="74">
        <f ca="1">AE51+AE64-IF(AF$2-1&gt;='Main Variables'!$B$34,OFFSET('Cumulative 40yr Model'!AF64,0,-'Main Variables'!$B$34,1,1),0)</f>
        <v>0</v>
      </c>
      <c r="AG51" s="74">
        <f ca="1">AF51+AF64-IF(AG$2-1&gt;='Main Variables'!$B$34,OFFSET('Cumulative 40yr Model'!AG64,0,-'Main Variables'!$B$34,1,1),0)</f>
        <v>0</v>
      </c>
      <c r="AH51" s="74">
        <f ca="1">AG51+AG64-IF(AH$2-1&gt;='Main Variables'!$B$34,OFFSET('Cumulative 40yr Model'!AH64,0,-'Main Variables'!$B$34,1,1),0)</f>
        <v>0</v>
      </c>
      <c r="AI51" s="74">
        <f ca="1">AH51+AH64-IF(AI$2-1&gt;='Main Variables'!$B$34,OFFSET('Cumulative 40yr Model'!AI64,0,-'Main Variables'!$B$34,1,1),0)</f>
        <v>0</v>
      </c>
      <c r="AJ51" s="74">
        <f ca="1">AI51+AI64-IF(AJ$2-1&gt;='Main Variables'!$B$34,OFFSET('Cumulative 40yr Model'!AJ64,0,-'Main Variables'!$B$34,1,1),0)</f>
        <v>0</v>
      </c>
      <c r="AK51" s="74">
        <f ca="1">AJ51+AJ64-IF(AK$2-1&gt;='Main Variables'!$B$34,OFFSET('Cumulative 40yr Model'!AK64,0,-'Main Variables'!$B$34,1,1),0)</f>
        <v>0</v>
      </c>
      <c r="AL51" s="74">
        <f ca="1">AK51+AK64-IF(AL$2-1&gt;='Main Variables'!$B$34,OFFSET('Cumulative 40yr Model'!AL64,0,-'Main Variables'!$B$34,1,1),0)</f>
        <v>0</v>
      </c>
      <c r="AM51" s="74">
        <f ca="1">AL51+AL64-IF(AM$2-1&gt;='Main Variables'!$B$34,OFFSET('Cumulative 40yr Model'!AM64,0,-'Main Variables'!$B$34,1,1),0)</f>
        <v>0</v>
      </c>
      <c r="AN51" s="74">
        <f ca="1">AM51+AM64-IF(AN$2-1&gt;='Main Variables'!$B$34,OFFSET('Cumulative 40yr Model'!AN64,0,-'Main Variables'!$B$34,1,1),0)</f>
        <v>0</v>
      </c>
      <c r="AO51" s="74">
        <f ca="1">AN51+AN64-IF(AO$2-1&gt;='Main Variables'!$B$34,OFFSET('Cumulative 40yr Model'!AO64,0,-'Main Variables'!$B$34,1,1),0)</f>
        <v>0</v>
      </c>
      <c r="AP51" s="74">
        <f ca="1">AO51+AO64-IF(AP$2-1&gt;='Main Variables'!$B$34,OFFSET('Cumulative 40yr Model'!AP64,0,-'Main Variables'!$B$34,1,1),0)</f>
        <v>0</v>
      </c>
      <c r="AQ51" s="75">
        <f ca="1">AP51+AP64-IF(AQ$2-1&gt;='Main Variables'!$B$34,OFFSET('Cumulative 40yr Model'!AQ64,0,-'Main Variables'!$B$34,1,1),0)</f>
        <v>0</v>
      </c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</row>
    <row r="52" spans="1:59" x14ac:dyDescent="0.25">
      <c r="A52" s="87">
        <f>'Grid Sizes, Locations, and GHGs'!D14</f>
        <v>0</v>
      </c>
      <c r="B52" s="84" t="str">
        <f>'Grid Sizes, Locations, and GHGs'!A14</f>
        <v>unused</v>
      </c>
      <c r="C52" s="87">
        <v>0</v>
      </c>
      <c r="D52" s="87">
        <v>0</v>
      </c>
      <c r="E52" s="85">
        <f ca="1">D52+D65-IF(E$2-1&gt;='Main Variables'!$B$34,OFFSET('Cumulative 40yr Model'!E65,0,-'Main Variables'!$B$34,1,1),0)</f>
        <v>0</v>
      </c>
      <c r="F52" s="85">
        <f ca="1">E52+E65-IF(F$2-1&gt;='Main Variables'!$B$34,OFFSET('Cumulative 40yr Model'!F65,0,-'Main Variables'!$B$34,1,1),0)</f>
        <v>0</v>
      </c>
      <c r="G52" s="85">
        <f ca="1">F52+F65-IF(G$2-1&gt;='Main Variables'!$B$34,OFFSET('Cumulative 40yr Model'!G65,0,-'Main Variables'!$B$34,1,1),0)</f>
        <v>0</v>
      </c>
      <c r="H52" s="85">
        <f ca="1">G52+G65-IF(H$2-1&gt;='Main Variables'!$B$34,OFFSET('Cumulative 40yr Model'!H65,0,-'Main Variables'!$B$34,1,1),0)</f>
        <v>0</v>
      </c>
      <c r="I52" s="85">
        <f ca="1">H52+H65-IF(I$2-1&gt;='Main Variables'!$B$34,OFFSET('Cumulative 40yr Model'!I65,0,-'Main Variables'!$B$34,1,1),0)</f>
        <v>0</v>
      </c>
      <c r="J52" s="85">
        <f ca="1">I52+I65-IF(J$2-1&gt;='Main Variables'!$B$34,OFFSET('Cumulative 40yr Model'!J65,0,-'Main Variables'!$B$34,1,1),0)</f>
        <v>0</v>
      </c>
      <c r="K52" s="85">
        <f ca="1">J52+J65-IF(K$2-1&gt;='Main Variables'!$B$34,OFFSET('Cumulative 40yr Model'!K65,0,-'Main Variables'!$B$34,1,1),0)</f>
        <v>0</v>
      </c>
      <c r="L52" s="85">
        <f ca="1">K52+K65-IF(L$2-1&gt;='Main Variables'!$B$34,OFFSET('Cumulative 40yr Model'!L65,0,-'Main Variables'!$B$34,1,1),0)</f>
        <v>0</v>
      </c>
      <c r="M52" s="85">
        <f ca="1">L52+L65-IF(M$2-1&gt;='Main Variables'!$B$34,OFFSET('Cumulative 40yr Model'!M65,0,-'Main Variables'!$B$34,1,1),0)</f>
        <v>0</v>
      </c>
      <c r="N52" s="85">
        <f ca="1">M52+M65-IF(N$2-1&gt;='Main Variables'!$B$34,OFFSET('Cumulative 40yr Model'!N65,0,-'Main Variables'!$B$34,1,1),0)</f>
        <v>0</v>
      </c>
      <c r="O52" s="85">
        <f ca="1">N52+N65-IF(O$2-1&gt;='Main Variables'!$B$34,OFFSET('Cumulative 40yr Model'!O65,0,-'Main Variables'!$B$34,1,1),0)</f>
        <v>0</v>
      </c>
      <c r="P52" s="85">
        <f ca="1">O52+O65-IF(P$2-1&gt;='Main Variables'!$B$34,OFFSET('Cumulative 40yr Model'!P65,0,-'Main Variables'!$B$34,1,1),0)</f>
        <v>0</v>
      </c>
      <c r="Q52" s="85">
        <f ca="1">P52+P65-IF(Q$2-1&gt;='Main Variables'!$B$34,OFFSET('Cumulative 40yr Model'!Q65,0,-'Main Variables'!$B$34,1,1),0)</f>
        <v>0</v>
      </c>
      <c r="R52" s="85">
        <f ca="1">Q52+Q65-IF(R$2-1&gt;='Main Variables'!$B$34,OFFSET('Cumulative 40yr Model'!R65,0,-'Main Variables'!$B$34,1,1),0)</f>
        <v>0</v>
      </c>
      <c r="S52" s="85">
        <f ca="1">R52+R65-IF(S$2-1&gt;='Main Variables'!$B$34,OFFSET('Cumulative 40yr Model'!S65,0,-'Main Variables'!$B$34,1,1),0)</f>
        <v>0</v>
      </c>
      <c r="T52" s="85">
        <f ca="1">S52+S65-IF(T$2-1&gt;='Main Variables'!$B$34,OFFSET('Cumulative 40yr Model'!T65,0,-'Main Variables'!$B$34,1,1),0)</f>
        <v>0</v>
      </c>
      <c r="U52" s="85">
        <f ca="1">T52+T65-IF(U$2-1&gt;='Main Variables'!$B$34,OFFSET('Cumulative 40yr Model'!U65,0,-'Main Variables'!$B$34,1,1),0)</f>
        <v>0</v>
      </c>
      <c r="V52" s="85">
        <f ca="1">U52+U65-IF(V$2-1&gt;='Main Variables'!$B$34,OFFSET('Cumulative 40yr Model'!V65,0,-'Main Variables'!$B$34,1,1),0)</f>
        <v>0</v>
      </c>
      <c r="W52" s="85">
        <f ca="1">V52+V65-IF(W$2-1&gt;='Main Variables'!$B$34,OFFSET('Cumulative 40yr Model'!W65,0,-'Main Variables'!$B$34,1,1),0)</f>
        <v>0</v>
      </c>
      <c r="X52" s="85">
        <f ca="1">W52+W65-IF(X$2-1&gt;='Main Variables'!$B$34,OFFSET('Cumulative 40yr Model'!X65,0,-'Main Variables'!$B$34,1,1),0)</f>
        <v>0</v>
      </c>
      <c r="Y52" s="85">
        <f ca="1">X52+X65-IF(Y$2-1&gt;='Main Variables'!$B$34,OFFSET('Cumulative 40yr Model'!Y65,0,-'Main Variables'!$B$34,1,1),0)</f>
        <v>0</v>
      </c>
      <c r="Z52" s="85">
        <f ca="1">Y52+Y65-IF(Z$2-1&gt;='Main Variables'!$B$34,OFFSET('Cumulative 40yr Model'!Z65,0,-'Main Variables'!$B$34,1,1),0)</f>
        <v>0</v>
      </c>
      <c r="AA52" s="85">
        <f ca="1">Z52+Z65-IF(AA$2-1&gt;='Main Variables'!$B$34,OFFSET('Cumulative 40yr Model'!AA65,0,-'Main Variables'!$B$34,1,1),0)</f>
        <v>0</v>
      </c>
      <c r="AB52" s="85">
        <f ca="1">AA52+AA65-IF(AB$2-1&gt;='Main Variables'!$B$34,OFFSET('Cumulative 40yr Model'!AB65,0,-'Main Variables'!$B$34,1,1),0)</f>
        <v>0</v>
      </c>
      <c r="AC52" s="85">
        <f ca="1">AB52+AB65-IF(AC$2-1&gt;='Main Variables'!$B$34,OFFSET('Cumulative 40yr Model'!AC65,0,-'Main Variables'!$B$34,1,1),0)</f>
        <v>0</v>
      </c>
      <c r="AD52" s="85">
        <f ca="1">AC52+AC65-IF(AD$2-1&gt;='Main Variables'!$B$34,OFFSET('Cumulative 40yr Model'!AD65,0,-'Main Variables'!$B$34,1,1),0)</f>
        <v>0</v>
      </c>
      <c r="AE52" s="85">
        <f ca="1">AD52+AD65-IF(AE$2-1&gt;='Main Variables'!$B$34,OFFSET('Cumulative 40yr Model'!AE65,0,-'Main Variables'!$B$34,1,1),0)</f>
        <v>0</v>
      </c>
      <c r="AF52" s="85">
        <f ca="1">AE52+AE65-IF(AF$2-1&gt;='Main Variables'!$B$34,OFFSET('Cumulative 40yr Model'!AF65,0,-'Main Variables'!$B$34,1,1),0)</f>
        <v>0</v>
      </c>
      <c r="AG52" s="85">
        <f ca="1">AF52+AF65-IF(AG$2-1&gt;='Main Variables'!$B$34,OFFSET('Cumulative 40yr Model'!AG65,0,-'Main Variables'!$B$34,1,1),0)</f>
        <v>0</v>
      </c>
      <c r="AH52" s="85">
        <f ca="1">AG52+AG65-IF(AH$2-1&gt;='Main Variables'!$B$34,OFFSET('Cumulative 40yr Model'!AH65,0,-'Main Variables'!$B$34,1,1),0)</f>
        <v>0</v>
      </c>
      <c r="AI52" s="85">
        <f ca="1">AH52+AH65-IF(AI$2-1&gt;='Main Variables'!$B$34,OFFSET('Cumulative 40yr Model'!AI65,0,-'Main Variables'!$B$34,1,1),0)</f>
        <v>0</v>
      </c>
      <c r="AJ52" s="85">
        <f ca="1">AI52+AI65-IF(AJ$2-1&gt;='Main Variables'!$B$34,OFFSET('Cumulative 40yr Model'!AJ65,0,-'Main Variables'!$B$34,1,1),0)</f>
        <v>0</v>
      </c>
      <c r="AK52" s="85">
        <f ca="1">AJ52+AJ65-IF(AK$2-1&gt;='Main Variables'!$B$34,OFFSET('Cumulative 40yr Model'!AK65,0,-'Main Variables'!$B$34,1,1),0)</f>
        <v>0</v>
      </c>
      <c r="AL52" s="85">
        <f ca="1">AK52+AK65-IF(AL$2-1&gt;='Main Variables'!$B$34,OFFSET('Cumulative 40yr Model'!AL65,0,-'Main Variables'!$B$34,1,1),0)</f>
        <v>0</v>
      </c>
      <c r="AM52" s="85">
        <f ca="1">AL52+AL65-IF(AM$2-1&gt;='Main Variables'!$B$34,OFFSET('Cumulative 40yr Model'!AM65,0,-'Main Variables'!$B$34,1,1),0)</f>
        <v>0</v>
      </c>
      <c r="AN52" s="85">
        <f ca="1">AM52+AM65-IF(AN$2-1&gt;='Main Variables'!$B$34,OFFSET('Cumulative 40yr Model'!AN65,0,-'Main Variables'!$B$34,1,1),0)</f>
        <v>0</v>
      </c>
      <c r="AO52" s="85">
        <f ca="1">AN52+AN65-IF(AO$2-1&gt;='Main Variables'!$B$34,OFFSET('Cumulative 40yr Model'!AO65,0,-'Main Variables'!$B$34,1,1),0)</f>
        <v>0</v>
      </c>
      <c r="AP52" s="85">
        <f ca="1">AO52+AO65-IF(AP$2-1&gt;='Main Variables'!$B$34,OFFSET('Cumulative 40yr Model'!AP65,0,-'Main Variables'!$B$34,1,1),0)</f>
        <v>0</v>
      </c>
      <c r="AQ52" s="86">
        <f ca="1">AP52+AP65-IF(AQ$2-1&gt;='Main Variables'!$B$34,OFFSET('Cumulative 40yr Model'!AQ65,0,-'Main Variables'!$B$34,1,1),0)</f>
        <v>0</v>
      </c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</row>
    <row r="53" spans="1:59" x14ac:dyDescent="0.25">
      <c r="A53" s="9"/>
      <c r="B53" s="73"/>
      <c r="C53" s="7"/>
      <c r="D53" s="9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5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</row>
    <row r="54" spans="1:59" ht="18.75" x14ac:dyDescent="0.3">
      <c r="A54" s="79"/>
      <c r="B54" s="76" t="s">
        <v>161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80"/>
    </row>
    <row r="55" spans="1:59" ht="28.5" customHeight="1" x14ac:dyDescent="0.25">
      <c r="A55" s="72" t="s">
        <v>98</v>
      </c>
      <c r="B55" s="55" t="s">
        <v>156</v>
      </c>
      <c r="C55" s="72" t="s">
        <v>160</v>
      </c>
      <c r="D55" s="72" t="s">
        <v>160</v>
      </c>
      <c r="E55" s="72" t="s">
        <v>160</v>
      </c>
      <c r="F55" s="72" t="s">
        <v>160</v>
      </c>
      <c r="G55" s="72" t="s">
        <v>160</v>
      </c>
      <c r="H55" s="72" t="s">
        <v>160</v>
      </c>
      <c r="I55" s="72" t="s">
        <v>160</v>
      </c>
      <c r="J55" s="72" t="s">
        <v>160</v>
      </c>
      <c r="K55" s="72" t="s">
        <v>160</v>
      </c>
      <c r="L55" s="72" t="s">
        <v>160</v>
      </c>
      <c r="M55" s="72" t="s">
        <v>160</v>
      </c>
      <c r="N55" s="72" t="s">
        <v>160</v>
      </c>
      <c r="O55" s="72" t="s">
        <v>160</v>
      </c>
      <c r="P55" s="72" t="s">
        <v>160</v>
      </c>
      <c r="Q55" s="72" t="s">
        <v>160</v>
      </c>
      <c r="R55" s="72" t="s">
        <v>160</v>
      </c>
      <c r="S55" s="72" t="s">
        <v>160</v>
      </c>
      <c r="T55" s="72" t="s">
        <v>160</v>
      </c>
      <c r="U55" s="72" t="s">
        <v>160</v>
      </c>
      <c r="V55" s="72" t="s">
        <v>160</v>
      </c>
      <c r="W55" s="72" t="s">
        <v>160</v>
      </c>
      <c r="X55" s="72" t="s">
        <v>160</v>
      </c>
      <c r="Y55" s="72" t="s">
        <v>160</v>
      </c>
      <c r="Z55" s="72" t="s">
        <v>160</v>
      </c>
      <c r="AA55" s="72" t="s">
        <v>160</v>
      </c>
      <c r="AB55" s="72" t="s">
        <v>160</v>
      </c>
      <c r="AC55" s="72" t="s">
        <v>160</v>
      </c>
      <c r="AD55" s="72" t="s">
        <v>160</v>
      </c>
      <c r="AE55" s="72" t="s">
        <v>160</v>
      </c>
      <c r="AF55" s="72" t="s">
        <v>160</v>
      </c>
      <c r="AG55" s="72" t="s">
        <v>160</v>
      </c>
      <c r="AH55" s="72" t="s">
        <v>160</v>
      </c>
      <c r="AI55" s="72" t="s">
        <v>160</v>
      </c>
      <c r="AJ55" s="72" t="s">
        <v>160</v>
      </c>
      <c r="AK55" s="72" t="s">
        <v>160</v>
      </c>
      <c r="AL55" s="72" t="s">
        <v>160</v>
      </c>
      <c r="AM55" s="72" t="s">
        <v>160</v>
      </c>
      <c r="AN55" s="72" t="s">
        <v>160</v>
      </c>
      <c r="AO55" s="72" t="s">
        <v>160</v>
      </c>
      <c r="AP55" s="72" t="s">
        <v>160</v>
      </c>
      <c r="AQ55" s="97" t="s">
        <v>160</v>
      </c>
    </row>
    <row r="56" spans="1:59" x14ac:dyDescent="0.25">
      <c r="A56" s="89">
        <f>'Grid Sizes, Locations, and GHGs'!D5</f>
        <v>0</v>
      </c>
      <c r="B56" s="88" t="str">
        <f>'Grid Sizes, Locations, and GHGs'!A5</f>
        <v>Onsite Usage Via Cogen</v>
      </c>
      <c r="C56" s="89">
        <v>0</v>
      </c>
      <c r="D56" s="90">
        <f t="shared" ref="D56:AQ56" si="11">D30-D43</f>
        <v>0.16624999999999998</v>
      </c>
      <c r="E56" s="90">
        <f t="shared" ca="1" si="11"/>
        <v>0</v>
      </c>
      <c r="F56" s="90">
        <f t="shared" ca="1" si="11"/>
        <v>0</v>
      </c>
      <c r="G56" s="90">
        <f t="shared" ca="1" si="11"/>
        <v>0</v>
      </c>
      <c r="H56" s="90">
        <f t="shared" ca="1" si="11"/>
        <v>0</v>
      </c>
      <c r="I56" s="90">
        <f t="shared" ca="1" si="11"/>
        <v>0</v>
      </c>
      <c r="J56" s="90">
        <f t="shared" ca="1" si="11"/>
        <v>0</v>
      </c>
      <c r="K56" s="90">
        <f t="shared" ca="1" si="11"/>
        <v>0</v>
      </c>
      <c r="L56" s="90">
        <f t="shared" ca="1" si="11"/>
        <v>0</v>
      </c>
      <c r="M56" s="90">
        <f t="shared" ca="1" si="11"/>
        <v>0</v>
      </c>
      <c r="N56" s="90">
        <f t="shared" ca="1" si="11"/>
        <v>0</v>
      </c>
      <c r="O56" s="90">
        <f t="shared" ca="1" si="11"/>
        <v>0</v>
      </c>
      <c r="P56" s="90">
        <f t="shared" ca="1" si="11"/>
        <v>0</v>
      </c>
      <c r="Q56" s="90">
        <f t="shared" ca="1" si="11"/>
        <v>0</v>
      </c>
      <c r="R56" s="90">
        <f t="shared" ca="1" si="11"/>
        <v>0</v>
      </c>
      <c r="S56" s="90">
        <f t="shared" ca="1" si="11"/>
        <v>0</v>
      </c>
      <c r="T56" s="90">
        <f t="shared" ca="1" si="11"/>
        <v>0</v>
      </c>
      <c r="U56" s="90">
        <f t="shared" ca="1" si="11"/>
        <v>0</v>
      </c>
      <c r="V56" s="90">
        <f t="shared" ca="1" si="11"/>
        <v>0</v>
      </c>
      <c r="W56" s="90">
        <f t="shared" ca="1" si="11"/>
        <v>0</v>
      </c>
      <c r="X56" s="90">
        <f t="shared" ca="1" si="11"/>
        <v>0</v>
      </c>
      <c r="Y56" s="90">
        <f t="shared" ca="1" si="11"/>
        <v>0</v>
      </c>
      <c r="Z56" s="90">
        <f t="shared" ca="1" si="11"/>
        <v>0</v>
      </c>
      <c r="AA56" s="90">
        <f t="shared" ca="1" si="11"/>
        <v>0</v>
      </c>
      <c r="AB56" s="90">
        <f t="shared" ca="1" si="11"/>
        <v>0</v>
      </c>
      <c r="AC56" s="90">
        <f t="shared" ca="1" si="11"/>
        <v>0</v>
      </c>
      <c r="AD56" s="90">
        <f t="shared" ca="1" si="11"/>
        <v>0</v>
      </c>
      <c r="AE56" s="90">
        <f t="shared" ca="1" si="11"/>
        <v>0</v>
      </c>
      <c r="AF56" s="90">
        <f t="shared" ca="1" si="11"/>
        <v>0</v>
      </c>
      <c r="AG56" s="90">
        <f t="shared" ca="1" si="11"/>
        <v>0</v>
      </c>
      <c r="AH56" s="90">
        <f t="shared" ca="1" si="11"/>
        <v>0.16624999999999998</v>
      </c>
      <c r="AI56" s="90">
        <f t="shared" ca="1" si="11"/>
        <v>0</v>
      </c>
      <c r="AJ56" s="90">
        <f t="shared" ca="1" si="11"/>
        <v>0</v>
      </c>
      <c r="AK56" s="90">
        <f t="shared" ca="1" si="11"/>
        <v>0</v>
      </c>
      <c r="AL56" s="90">
        <f t="shared" ca="1" si="11"/>
        <v>0</v>
      </c>
      <c r="AM56" s="90">
        <f t="shared" ca="1" si="11"/>
        <v>0</v>
      </c>
      <c r="AN56" s="90">
        <f t="shared" ca="1" si="11"/>
        <v>0</v>
      </c>
      <c r="AO56" s="90">
        <f t="shared" ca="1" si="11"/>
        <v>0</v>
      </c>
      <c r="AP56" s="90">
        <f t="shared" ca="1" si="11"/>
        <v>0</v>
      </c>
      <c r="AQ56" s="91">
        <f t="shared" ca="1" si="11"/>
        <v>0</v>
      </c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</row>
    <row r="57" spans="1:59" x14ac:dyDescent="0.25">
      <c r="A57" s="9">
        <f>'Grid Sizes, Locations, and GHGs'!D6</f>
        <v>0</v>
      </c>
      <c r="B57" s="73" t="str">
        <f>'Grid Sizes, Locations, and GHGs'!A6</f>
        <v>Onsite Usage Electric Assist Direct</v>
      </c>
      <c r="C57" s="9">
        <v>0</v>
      </c>
      <c r="D57" s="74">
        <f t="shared" ref="D57:AQ57" si="12">D31-D44</f>
        <v>0</v>
      </c>
      <c r="E57" s="74">
        <f t="shared" ca="1" si="12"/>
        <v>0</v>
      </c>
      <c r="F57" s="74">
        <f t="shared" ca="1" si="12"/>
        <v>0</v>
      </c>
      <c r="G57" s="74">
        <f t="shared" ca="1" si="12"/>
        <v>0</v>
      </c>
      <c r="H57" s="74">
        <f t="shared" ca="1" si="12"/>
        <v>0</v>
      </c>
      <c r="I57" s="74">
        <f t="shared" ca="1" si="12"/>
        <v>0</v>
      </c>
      <c r="J57" s="74">
        <f t="shared" ca="1" si="12"/>
        <v>0</v>
      </c>
      <c r="K57" s="74">
        <f t="shared" ca="1" si="12"/>
        <v>0</v>
      </c>
      <c r="L57" s="74">
        <f t="shared" ca="1" si="12"/>
        <v>0</v>
      </c>
      <c r="M57" s="74">
        <f t="shared" ca="1" si="12"/>
        <v>0</v>
      </c>
      <c r="N57" s="74">
        <f t="shared" ca="1" si="12"/>
        <v>0</v>
      </c>
      <c r="O57" s="74">
        <f t="shared" ca="1" si="12"/>
        <v>0</v>
      </c>
      <c r="P57" s="74">
        <f t="shared" ca="1" si="12"/>
        <v>0</v>
      </c>
      <c r="Q57" s="74">
        <f t="shared" ca="1" si="12"/>
        <v>0</v>
      </c>
      <c r="R57" s="74">
        <f t="shared" ca="1" si="12"/>
        <v>0</v>
      </c>
      <c r="S57" s="74">
        <f t="shared" ca="1" si="12"/>
        <v>0</v>
      </c>
      <c r="T57" s="74">
        <f t="shared" ca="1" si="12"/>
        <v>0</v>
      </c>
      <c r="U57" s="74">
        <f t="shared" ca="1" si="12"/>
        <v>0</v>
      </c>
      <c r="V57" s="74">
        <f t="shared" ca="1" si="12"/>
        <v>0</v>
      </c>
      <c r="W57" s="74">
        <f t="shared" ca="1" si="12"/>
        <v>0</v>
      </c>
      <c r="X57" s="74">
        <f t="shared" ca="1" si="12"/>
        <v>0</v>
      </c>
      <c r="Y57" s="74">
        <f t="shared" ca="1" si="12"/>
        <v>0</v>
      </c>
      <c r="Z57" s="74">
        <f t="shared" ca="1" si="12"/>
        <v>0</v>
      </c>
      <c r="AA57" s="74">
        <f t="shared" ca="1" si="12"/>
        <v>0</v>
      </c>
      <c r="AB57" s="74">
        <f t="shared" ca="1" si="12"/>
        <v>0</v>
      </c>
      <c r="AC57" s="74">
        <f t="shared" ca="1" si="12"/>
        <v>0</v>
      </c>
      <c r="AD57" s="74">
        <f t="shared" ca="1" si="12"/>
        <v>0</v>
      </c>
      <c r="AE57" s="74">
        <f t="shared" ca="1" si="12"/>
        <v>0</v>
      </c>
      <c r="AF57" s="74">
        <f t="shared" ca="1" si="12"/>
        <v>0</v>
      </c>
      <c r="AG57" s="74">
        <f t="shared" ca="1" si="12"/>
        <v>0</v>
      </c>
      <c r="AH57" s="74">
        <f t="shared" ca="1" si="12"/>
        <v>0</v>
      </c>
      <c r="AI57" s="74">
        <f t="shared" ca="1" si="12"/>
        <v>0</v>
      </c>
      <c r="AJ57" s="74">
        <f t="shared" ca="1" si="12"/>
        <v>0</v>
      </c>
      <c r="AK57" s="74">
        <f t="shared" ca="1" si="12"/>
        <v>0</v>
      </c>
      <c r="AL57" s="74">
        <f t="shared" ca="1" si="12"/>
        <v>0</v>
      </c>
      <c r="AM57" s="74">
        <f t="shared" ca="1" si="12"/>
        <v>0</v>
      </c>
      <c r="AN57" s="74">
        <f t="shared" ca="1" si="12"/>
        <v>0</v>
      </c>
      <c r="AO57" s="74">
        <f t="shared" ca="1" si="12"/>
        <v>0</v>
      </c>
      <c r="AP57" s="74">
        <f t="shared" ca="1" si="12"/>
        <v>0</v>
      </c>
      <c r="AQ57" s="75">
        <f t="shared" ca="1" si="12"/>
        <v>0</v>
      </c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</row>
    <row r="58" spans="1:59" x14ac:dyDescent="0.25">
      <c r="A58" s="9">
        <f>'Grid Sizes, Locations, and GHGs'!D7</f>
        <v>0</v>
      </c>
      <c r="B58" s="73" t="str">
        <f>'Grid Sizes, Locations, and GHGs'!A7</f>
        <v>Onsite Usage Electric Assist Indirect</v>
      </c>
      <c r="C58" s="9">
        <v>0</v>
      </c>
      <c r="D58" s="74">
        <f t="shared" ref="D58:AQ58" si="13">D32-D45</f>
        <v>0</v>
      </c>
      <c r="E58" s="74">
        <f t="shared" ca="1" si="13"/>
        <v>0</v>
      </c>
      <c r="F58" s="74">
        <f t="shared" ca="1" si="13"/>
        <v>0</v>
      </c>
      <c r="G58" s="74">
        <f t="shared" ca="1" si="13"/>
        <v>0</v>
      </c>
      <c r="H58" s="74">
        <f t="shared" ca="1" si="13"/>
        <v>0</v>
      </c>
      <c r="I58" s="74">
        <f t="shared" ca="1" si="13"/>
        <v>0</v>
      </c>
      <c r="J58" s="74">
        <f t="shared" ca="1" si="13"/>
        <v>0</v>
      </c>
      <c r="K58" s="74">
        <f t="shared" ca="1" si="13"/>
        <v>0</v>
      </c>
      <c r="L58" s="74">
        <f t="shared" ca="1" si="13"/>
        <v>0</v>
      </c>
      <c r="M58" s="74">
        <f t="shared" ca="1" si="13"/>
        <v>0</v>
      </c>
      <c r="N58" s="74">
        <f t="shared" ca="1" si="13"/>
        <v>0</v>
      </c>
      <c r="O58" s="74">
        <f t="shared" ca="1" si="13"/>
        <v>0</v>
      </c>
      <c r="P58" s="74">
        <f t="shared" ca="1" si="13"/>
        <v>0</v>
      </c>
      <c r="Q58" s="74">
        <f t="shared" ca="1" si="13"/>
        <v>0</v>
      </c>
      <c r="R58" s="74">
        <f t="shared" ca="1" si="13"/>
        <v>0</v>
      </c>
      <c r="S58" s="74">
        <f t="shared" ca="1" si="13"/>
        <v>0</v>
      </c>
      <c r="T58" s="74">
        <f t="shared" ca="1" si="13"/>
        <v>0</v>
      </c>
      <c r="U58" s="74">
        <f t="shared" ca="1" si="13"/>
        <v>0</v>
      </c>
      <c r="V58" s="74">
        <f t="shared" ca="1" si="13"/>
        <v>0</v>
      </c>
      <c r="W58" s="74">
        <f t="shared" ca="1" si="13"/>
        <v>0</v>
      </c>
      <c r="X58" s="74">
        <f t="shared" ca="1" si="13"/>
        <v>0</v>
      </c>
      <c r="Y58" s="74">
        <f t="shared" ca="1" si="13"/>
        <v>0</v>
      </c>
      <c r="Z58" s="74">
        <f t="shared" ca="1" si="13"/>
        <v>0</v>
      </c>
      <c r="AA58" s="74">
        <f t="shared" ca="1" si="13"/>
        <v>0</v>
      </c>
      <c r="AB58" s="74">
        <f t="shared" ca="1" si="13"/>
        <v>0</v>
      </c>
      <c r="AC58" s="74">
        <f t="shared" ca="1" si="13"/>
        <v>0</v>
      </c>
      <c r="AD58" s="74">
        <f t="shared" ca="1" si="13"/>
        <v>0</v>
      </c>
      <c r="AE58" s="74">
        <f t="shared" ca="1" si="13"/>
        <v>0</v>
      </c>
      <c r="AF58" s="74">
        <f t="shared" ca="1" si="13"/>
        <v>0</v>
      </c>
      <c r="AG58" s="74">
        <f t="shared" ca="1" si="13"/>
        <v>0</v>
      </c>
      <c r="AH58" s="74">
        <f t="shared" ca="1" si="13"/>
        <v>0</v>
      </c>
      <c r="AI58" s="74">
        <f t="shared" ca="1" si="13"/>
        <v>0</v>
      </c>
      <c r="AJ58" s="74">
        <f t="shared" ca="1" si="13"/>
        <v>0</v>
      </c>
      <c r="AK58" s="74">
        <f t="shared" ca="1" si="13"/>
        <v>0</v>
      </c>
      <c r="AL58" s="74">
        <f t="shared" ca="1" si="13"/>
        <v>0</v>
      </c>
      <c r="AM58" s="74">
        <f t="shared" ca="1" si="13"/>
        <v>0</v>
      </c>
      <c r="AN58" s="74">
        <f t="shared" ca="1" si="13"/>
        <v>0</v>
      </c>
      <c r="AO58" s="74">
        <f t="shared" ca="1" si="13"/>
        <v>0</v>
      </c>
      <c r="AP58" s="74">
        <f t="shared" ca="1" si="13"/>
        <v>0</v>
      </c>
      <c r="AQ58" s="75">
        <f t="shared" ca="1" si="13"/>
        <v>0</v>
      </c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17"/>
      <c r="BD58" s="117"/>
      <c r="BE58" s="117"/>
      <c r="BF58" s="117"/>
      <c r="BG58" s="117"/>
    </row>
    <row r="59" spans="1:59" x14ac:dyDescent="0.25">
      <c r="A59" s="9">
        <f>'Grid Sizes, Locations, and GHGs'!D8</f>
        <v>500</v>
      </c>
      <c r="B59" s="73" t="str">
        <f>'Grid Sizes, Locations, and GHGs'!A8</f>
        <v>Alberta</v>
      </c>
      <c r="C59" s="9">
        <v>0</v>
      </c>
      <c r="D59" s="74">
        <f t="shared" ref="D59:AQ59" si="14">D33-D46</f>
        <v>0.78071000000000002</v>
      </c>
      <c r="E59" s="74">
        <f t="shared" ca="1" si="14"/>
        <v>0.10728999999999977</v>
      </c>
      <c r="F59" s="74">
        <f t="shared" ca="1" si="14"/>
        <v>0</v>
      </c>
      <c r="G59" s="74">
        <f t="shared" ca="1" si="14"/>
        <v>0</v>
      </c>
      <c r="H59" s="74">
        <f t="shared" ca="1" si="14"/>
        <v>0</v>
      </c>
      <c r="I59" s="74">
        <f t="shared" ca="1" si="14"/>
        <v>0</v>
      </c>
      <c r="J59" s="74">
        <f t="shared" ca="1" si="14"/>
        <v>0</v>
      </c>
      <c r="K59" s="74">
        <f t="shared" ca="1" si="14"/>
        <v>0</v>
      </c>
      <c r="L59" s="74">
        <f t="shared" ca="1" si="14"/>
        <v>0</v>
      </c>
      <c r="M59" s="74">
        <f t="shared" ca="1" si="14"/>
        <v>0</v>
      </c>
      <c r="N59" s="74">
        <f t="shared" ca="1" si="14"/>
        <v>0</v>
      </c>
      <c r="O59" s="74">
        <f t="shared" ca="1" si="14"/>
        <v>0</v>
      </c>
      <c r="P59" s="74">
        <f t="shared" ca="1" si="14"/>
        <v>0</v>
      </c>
      <c r="Q59" s="74">
        <f t="shared" ca="1" si="14"/>
        <v>0</v>
      </c>
      <c r="R59" s="74">
        <f t="shared" ca="1" si="14"/>
        <v>0</v>
      </c>
      <c r="S59" s="74">
        <f t="shared" ca="1" si="14"/>
        <v>0</v>
      </c>
      <c r="T59" s="74">
        <f t="shared" ca="1" si="14"/>
        <v>0</v>
      </c>
      <c r="U59" s="74">
        <f t="shared" ca="1" si="14"/>
        <v>0</v>
      </c>
      <c r="V59" s="74">
        <f t="shared" ca="1" si="14"/>
        <v>0</v>
      </c>
      <c r="W59" s="74">
        <f t="shared" ca="1" si="14"/>
        <v>0</v>
      </c>
      <c r="X59" s="74">
        <f t="shared" ca="1" si="14"/>
        <v>0</v>
      </c>
      <c r="Y59" s="74">
        <f t="shared" ca="1" si="14"/>
        <v>0</v>
      </c>
      <c r="Z59" s="74">
        <f t="shared" ca="1" si="14"/>
        <v>0</v>
      </c>
      <c r="AA59" s="74">
        <f t="shared" ca="1" si="14"/>
        <v>0</v>
      </c>
      <c r="AB59" s="74">
        <f t="shared" ca="1" si="14"/>
        <v>0</v>
      </c>
      <c r="AC59" s="74">
        <f t="shared" ca="1" si="14"/>
        <v>0</v>
      </c>
      <c r="AD59" s="74">
        <f t="shared" ca="1" si="14"/>
        <v>0</v>
      </c>
      <c r="AE59" s="74">
        <f t="shared" ca="1" si="14"/>
        <v>0</v>
      </c>
      <c r="AF59" s="74">
        <f t="shared" ca="1" si="14"/>
        <v>0</v>
      </c>
      <c r="AG59" s="74">
        <f t="shared" ca="1" si="14"/>
        <v>0</v>
      </c>
      <c r="AH59" s="74">
        <f t="shared" ca="1" si="14"/>
        <v>0.78071000000000002</v>
      </c>
      <c r="AI59" s="74">
        <f t="shared" ca="1" si="14"/>
        <v>0.10728999999999977</v>
      </c>
      <c r="AJ59" s="74">
        <f t="shared" ca="1" si="14"/>
        <v>0</v>
      </c>
      <c r="AK59" s="74">
        <f t="shared" ca="1" si="14"/>
        <v>0</v>
      </c>
      <c r="AL59" s="74">
        <f t="shared" ca="1" si="14"/>
        <v>0</v>
      </c>
      <c r="AM59" s="74">
        <f t="shared" ca="1" si="14"/>
        <v>0</v>
      </c>
      <c r="AN59" s="74">
        <f t="shared" ca="1" si="14"/>
        <v>0</v>
      </c>
      <c r="AO59" s="74">
        <f t="shared" ca="1" si="14"/>
        <v>0</v>
      </c>
      <c r="AP59" s="74">
        <f t="shared" ca="1" si="14"/>
        <v>0</v>
      </c>
      <c r="AQ59" s="75">
        <f t="shared" ca="1" si="14"/>
        <v>0</v>
      </c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</row>
    <row r="60" spans="1:59" x14ac:dyDescent="0.25">
      <c r="A60" s="9">
        <f>'Grid Sizes, Locations, and GHGs'!D9</f>
        <v>2800</v>
      </c>
      <c r="B60" s="73" t="str">
        <f>'Grid Sizes, Locations, and GHGs'!A9</f>
        <v>California</v>
      </c>
      <c r="C60" s="9">
        <v>0</v>
      </c>
      <c r="D60" s="74">
        <f t="shared" ref="D60:AQ60" si="15">D34-D47</f>
        <v>0</v>
      </c>
      <c r="E60" s="74">
        <f t="shared" ca="1" si="15"/>
        <v>0.92194273600000054</v>
      </c>
      <c r="F60" s="74">
        <f t="shared" ca="1" si="15"/>
        <v>0.98159523927327985</v>
      </c>
      <c r="G60" s="74">
        <f t="shared" ca="1" si="15"/>
        <v>0.43556202472671934</v>
      </c>
      <c r="H60" s="74">
        <f t="shared" ca="1" si="15"/>
        <v>0</v>
      </c>
      <c r="I60" s="74">
        <f t="shared" ca="1" si="15"/>
        <v>0</v>
      </c>
      <c r="J60" s="74">
        <f t="shared" ca="1" si="15"/>
        <v>0</v>
      </c>
      <c r="K60" s="74">
        <f t="shared" ca="1" si="15"/>
        <v>0</v>
      </c>
      <c r="L60" s="74">
        <f t="shared" ca="1" si="15"/>
        <v>0</v>
      </c>
      <c r="M60" s="74">
        <f t="shared" ca="1" si="15"/>
        <v>0</v>
      </c>
      <c r="N60" s="74">
        <f t="shared" ca="1" si="15"/>
        <v>0</v>
      </c>
      <c r="O60" s="74">
        <f t="shared" ca="1" si="15"/>
        <v>0</v>
      </c>
      <c r="P60" s="74">
        <f t="shared" ca="1" si="15"/>
        <v>0</v>
      </c>
      <c r="Q60" s="74">
        <f t="shared" ca="1" si="15"/>
        <v>0</v>
      </c>
      <c r="R60" s="74">
        <f t="shared" ca="1" si="15"/>
        <v>0</v>
      </c>
      <c r="S60" s="74">
        <f t="shared" ca="1" si="15"/>
        <v>0</v>
      </c>
      <c r="T60" s="74">
        <f t="shared" ca="1" si="15"/>
        <v>0</v>
      </c>
      <c r="U60" s="74">
        <f t="shared" ca="1" si="15"/>
        <v>0</v>
      </c>
      <c r="V60" s="74">
        <f t="shared" ca="1" si="15"/>
        <v>0</v>
      </c>
      <c r="W60" s="74">
        <f t="shared" ca="1" si="15"/>
        <v>0</v>
      </c>
      <c r="X60" s="74">
        <f t="shared" ca="1" si="15"/>
        <v>0</v>
      </c>
      <c r="Y60" s="74">
        <f t="shared" ca="1" si="15"/>
        <v>0</v>
      </c>
      <c r="Z60" s="74">
        <f t="shared" ca="1" si="15"/>
        <v>0</v>
      </c>
      <c r="AA60" s="74">
        <f t="shared" ca="1" si="15"/>
        <v>0</v>
      </c>
      <c r="AB60" s="74">
        <f t="shared" ca="1" si="15"/>
        <v>0</v>
      </c>
      <c r="AC60" s="74">
        <f t="shared" ca="1" si="15"/>
        <v>0</v>
      </c>
      <c r="AD60" s="74">
        <f t="shared" ca="1" si="15"/>
        <v>0</v>
      </c>
      <c r="AE60" s="74">
        <f t="shared" ca="1" si="15"/>
        <v>0</v>
      </c>
      <c r="AF60" s="74">
        <f t="shared" ca="1" si="15"/>
        <v>0</v>
      </c>
      <c r="AG60" s="74">
        <f t="shared" ca="1" si="15"/>
        <v>0</v>
      </c>
      <c r="AH60" s="74">
        <f t="shared" ca="1" si="15"/>
        <v>0</v>
      </c>
      <c r="AI60" s="74">
        <f t="shared" ca="1" si="15"/>
        <v>0.92194273600000054</v>
      </c>
      <c r="AJ60" s="74">
        <f t="shared" ca="1" si="15"/>
        <v>0.98159523927327985</v>
      </c>
      <c r="AK60" s="74">
        <f t="shared" ca="1" si="15"/>
        <v>0.43556202472671934</v>
      </c>
      <c r="AL60" s="74">
        <f t="shared" ca="1" si="15"/>
        <v>0</v>
      </c>
      <c r="AM60" s="74">
        <f t="shared" ca="1" si="15"/>
        <v>0</v>
      </c>
      <c r="AN60" s="74">
        <f t="shared" ca="1" si="15"/>
        <v>0</v>
      </c>
      <c r="AO60" s="74">
        <f t="shared" ca="1" si="15"/>
        <v>0</v>
      </c>
      <c r="AP60" s="74">
        <f t="shared" ca="1" si="15"/>
        <v>0</v>
      </c>
      <c r="AQ60" s="75">
        <f t="shared" ca="1" si="15"/>
        <v>0</v>
      </c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</row>
    <row r="61" spans="1:59" x14ac:dyDescent="0.25">
      <c r="A61" s="9">
        <f>'Grid Sizes, Locations, and GHGs'!D10</f>
        <v>3200</v>
      </c>
      <c r="B61" s="73" t="str">
        <f>'Grid Sizes, Locations, and GHGs'!A10</f>
        <v>USA (excluding California)</v>
      </c>
      <c r="C61" s="9">
        <v>0</v>
      </c>
      <c r="D61" s="74">
        <f t="shared" ref="D61:AQ61" si="16">D35-D48</f>
        <v>0</v>
      </c>
      <c r="E61" s="74">
        <f t="shared" ca="1" si="16"/>
        <v>0</v>
      </c>
      <c r="F61" s="74">
        <f t="shared" ca="1" si="16"/>
        <v>0</v>
      </c>
      <c r="G61" s="74">
        <f t="shared" ca="1" si="16"/>
        <v>0.65367515218304684</v>
      </c>
      <c r="H61" s="74">
        <f t="shared" ca="1" si="16"/>
        <v>1.173765613568416</v>
      </c>
      <c r="I61" s="74">
        <f t="shared" ca="1" si="16"/>
        <v>1.2754162916623004</v>
      </c>
      <c r="J61" s="74">
        <f t="shared" ca="1" si="16"/>
        <v>1.3958115798787172</v>
      </c>
      <c r="K61" s="74">
        <f t="shared" ca="1" si="16"/>
        <v>1.5232727663601668</v>
      </c>
      <c r="L61" s="74">
        <f t="shared" ca="1" si="16"/>
        <v>1.6612285784455754</v>
      </c>
      <c r="M61" s="74">
        <f t="shared" ca="1" si="16"/>
        <v>1.8098120386353198</v>
      </c>
      <c r="N61" s="74">
        <f t="shared" ca="1" si="16"/>
        <v>1.9699533728406351</v>
      </c>
      <c r="O61" s="74">
        <f t="shared" ca="1" si="16"/>
        <v>2.1424753934227407</v>
      </c>
      <c r="P61" s="74">
        <f t="shared" ca="1" si="16"/>
        <v>2.3282994946433533</v>
      </c>
      <c r="Q61" s="74">
        <f t="shared" ca="1" si="16"/>
        <v>2.5284052692630166</v>
      </c>
      <c r="R61" s="74">
        <f t="shared" ca="1" si="16"/>
        <v>2.7438452483242344</v>
      </c>
      <c r="S61" s="74">
        <f t="shared" ca="1" si="16"/>
        <v>2.9757478085756013</v>
      </c>
      <c r="T61" s="74">
        <f t="shared" ca="1" si="16"/>
        <v>3.2253231524164718</v>
      </c>
      <c r="U61" s="74">
        <f t="shared" ca="1" si="16"/>
        <v>3.4938690808359638</v>
      </c>
      <c r="V61" s="74">
        <f t="shared" ca="1" si="16"/>
        <v>3.7827773220407295</v>
      </c>
      <c r="W61" s="74">
        <f t="shared" ca="1" si="16"/>
        <v>4.0935402828695118</v>
      </c>
      <c r="X61" s="74">
        <f t="shared" ca="1" si="16"/>
        <v>3.480798291681289</v>
      </c>
      <c r="Y61" s="74">
        <f t="shared" ca="1" si="16"/>
        <v>3.9004605122235461</v>
      </c>
      <c r="Z61" s="74">
        <f t="shared" ca="1" si="16"/>
        <v>1.9156227501293586</v>
      </c>
      <c r="AA61" s="74">
        <f t="shared" ca="1" si="16"/>
        <v>0</v>
      </c>
      <c r="AB61" s="74">
        <f t="shared" ca="1" si="16"/>
        <v>0</v>
      </c>
      <c r="AC61" s="74">
        <f t="shared" ca="1" si="16"/>
        <v>0</v>
      </c>
      <c r="AD61" s="74">
        <f t="shared" ca="1" si="16"/>
        <v>0</v>
      </c>
      <c r="AE61" s="74">
        <f t="shared" ca="1" si="16"/>
        <v>0</v>
      </c>
      <c r="AF61" s="74">
        <f t="shared" ca="1" si="16"/>
        <v>0</v>
      </c>
      <c r="AG61" s="74">
        <f t="shared" ca="1" si="16"/>
        <v>0</v>
      </c>
      <c r="AH61" s="74">
        <f t="shared" ca="1" si="16"/>
        <v>0</v>
      </c>
      <c r="AI61" s="74">
        <f t="shared" ca="1" si="16"/>
        <v>0</v>
      </c>
      <c r="AJ61" s="74">
        <f t="shared" ca="1" si="16"/>
        <v>0</v>
      </c>
      <c r="AK61" s="74">
        <f t="shared" ca="1" si="16"/>
        <v>0.65367515218304817</v>
      </c>
      <c r="AL61" s="74">
        <f t="shared" ca="1" si="16"/>
        <v>1.1737656135684134</v>
      </c>
      <c r="AM61" s="74">
        <f t="shared" ca="1" si="16"/>
        <v>1.2754162916623031</v>
      </c>
      <c r="AN61" s="74">
        <f t="shared" ca="1" si="16"/>
        <v>1.3958115798787176</v>
      </c>
      <c r="AO61" s="74">
        <f t="shared" ca="1" si="16"/>
        <v>1.5232727663601651</v>
      </c>
      <c r="AP61" s="74">
        <f t="shared" ca="1" si="16"/>
        <v>1.6612285784455736</v>
      </c>
      <c r="AQ61" s="75">
        <f t="shared" ca="1" si="16"/>
        <v>1.8098120386353216</v>
      </c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</row>
    <row r="62" spans="1:59" x14ac:dyDescent="0.25">
      <c r="A62" s="9">
        <f>'Grid Sizes, Locations, and GHGs'!D11</f>
        <v>4000</v>
      </c>
      <c r="B62" s="73" t="str">
        <f>'Grid Sizes, Locations, and GHGs'!A11</f>
        <v>Canada (excluding Alberta)</v>
      </c>
      <c r="C62" s="9">
        <v>0</v>
      </c>
      <c r="D62" s="74">
        <f t="shared" ref="D62:AQ62" si="17">D36-D49</f>
        <v>0</v>
      </c>
      <c r="E62" s="74">
        <f t="shared" ca="1" si="17"/>
        <v>0</v>
      </c>
      <c r="F62" s="74">
        <f t="shared" ca="1" si="17"/>
        <v>0</v>
      </c>
      <c r="G62" s="74">
        <f t="shared" ca="1" si="17"/>
        <v>0</v>
      </c>
      <c r="H62" s="74">
        <f t="shared" ca="1" si="17"/>
        <v>0</v>
      </c>
      <c r="I62" s="74">
        <f t="shared" ca="1" si="17"/>
        <v>0</v>
      </c>
      <c r="J62" s="74">
        <f t="shared" ca="1" si="17"/>
        <v>-8.8817841970012523E-16</v>
      </c>
      <c r="K62" s="74">
        <f t="shared" ca="1" si="17"/>
        <v>8.8817841970012523E-16</v>
      </c>
      <c r="L62" s="74">
        <f t="shared" ca="1" si="17"/>
        <v>0</v>
      </c>
      <c r="M62" s="74">
        <f t="shared" ca="1" si="17"/>
        <v>0</v>
      </c>
      <c r="N62" s="74">
        <f t="shared" ca="1" si="17"/>
        <v>0</v>
      </c>
      <c r="O62" s="74">
        <f t="shared" ca="1" si="17"/>
        <v>0</v>
      </c>
      <c r="P62" s="74">
        <f t="shared" ca="1" si="17"/>
        <v>0</v>
      </c>
      <c r="Q62" s="74">
        <f t="shared" ca="1" si="17"/>
        <v>0</v>
      </c>
      <c r="R62" s="74">
        <f t="shared" ca="1" si="17"/>
        <v>0</v>
      </c>
      <c r="S62" s="74">
        <f t="shared" ca="1" si="17"/>
        <v>0</v>
      </c>
      <c r="T62" s="74">
        <f t="shared" ca="1" si="17"/>
        <v>0</v>
      </c>
      <c r="U62" s="74">
        <f t="shared" ca="1" si="17"/>
        <v>0</v>
      </c>
      <c r="V62" s="74">
        <f t="shared" ca="1" si="17"/>
        <v>0</v>
      </c>
      <c r="W62" s="74">
        <f t="shared" ca="1" si="17"/>
        <v>0</v>
      </c>
      <c r="X62" s="74">
        <f t="shared" ca="1" si="17"/>
        <v>0</v>
      </c>
      <c r="Y62" s="74">
        <f t="shared" ca="1" si="17"/>
        <v>0</v>
      </c>
      <c r="Z62" s="74">
        <f t="shared" ca="1" si="17"/>
        <v>2.3268961316281676</v>
      </c>
      <c r="AA62" s="74">
        <f t="shared" ca="1" si="17"/>
        <v>4.3408095563673896</v>
      </c>
      <c r="AB62" s="74">
        <f t="shared" ca="1" si="17"/>
        <v>2.2498943120044359</v>
      </c>
      <c r="AC62" s="74">
        <f t="shared" ca="1" si="17"/>
        <v>0</v>
      </c>
      <c r="AD62" s="74">
        <f t="shared" ca="1" si="17"/>
        <v>0</v>
      </c>
      <c r="AE62" s="74">
        <f t="shared" ca="1" si="17"/>
        <v>0</v>
      </c>
      <c r="AF62" s="74">
        <f t="shared" ca="1" si="17"/>
        <v>0</v>
      </c>
      <c r="AG62" s="74">
        <f t="shared" ca="1" si="17"/>
        <v>0</v>
      </c>
      <c r="AH62" s="74">
        <f t="shared" ca="1" si="17"/>
        <v>0</v>
      </c>
      <c r="AI62" s="74">
        <f t="shared" ca="1" si="17"/>
        <v>0</v>
      </c>
      <c r="AJ62" s="74">
        <f t="shared" ca="1" si="17"/>
        <v>0</v>
      </c>
      <c r="AK62" s="74">
        <f t="shared" ca="1" si="17"/>
        <v>0</v>
      </c>
      <c r="AL62" s="74">
        <f t="shared" ca="1" si="17"/>
        <v>0</v>
      </c>
      <c r="AM62" s="74">
        <f t="shared" ca="1" si="17"/>
        <v>0</v>
      </c>
      <c r="AN62" s="74">
        <f t="shared" ca="1" si="17"/>
        <v>0</v>
      </c>
      <c r="AO62" s="74">
        <f t="shared" ca="1" si="17"/>
        <v>0</v>
      </c>
      <c r="AP62" s="74">
        <f t="shared" ca="1" si="17"/>
        <v>0</v>
      </c>
      <c r="AQ62" s="75">
        <f t="shared" ca="1" si="17"/>
        <v>0</v>
      </c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</row>
    <row r="63" spans="1:59" x14ac:dyDescent="0.25">
      <c r="A63" s="9">
        <f>'Grid Sizes, Locations, and GHGs'!D12</f>
        <v>0</v>
      </c>
      <c r="B63" s="73" t="str">
        <f>'Grid Sizes, Locations, and GHGs'!A12</f>
        <v>unused</v>
      </c>
      <c r="C63" s="9">
        <v>0</v>
      </c>
      <c r="D63" s="74">
        <f t="shared" ref="D63:AQ63" si="18">D37-D50</f>
        <v>0</v>
      </c>
      <c r="E63" s="74">
        <f t="shared" ca="1" si="18"/>
        <v>0</v>
      </c>
      <c r="F63" s="74">
        <f t="shared" ca="1" si="18"/>
        <v>0</v>
      </c>
      <c r="G63" s="74">
        <f t="shared" ca="1" si="18"/>
        <v>0</v>
      </c>
      <c r="H63" s="74">
        <f t="shared" ca="1" si="18"/>
        <v>0</v>
      </c>
      <c r="I63" s="74">
        <f t="shared" ca="1" si="18"/>
        <v>0</v>
      </c>
      <c r="J63" s="74">
        <f t="shared" ca="1" si="18"/>
        <v>0</v>
      </c>
      <c r="K63" s="74">
        <f t="shared" ca="1" si="18"/>
        <v>0</v>
      </c>
      <c r="L63" s="74">
        <f t="shared" ca="1" si="18"/>
        <v>0</v>
      </c>
      <c r="M63" s="74">
        <f t="shared" ca="1" si="18"/>
        <v>0</v>
      </c>
      <c r="N63" s="74">
        <f t="shared" ca="1" si="18"/>
        <v>0</v>
      </c>
      <c r="O63" s="74">
        <f t="shared" ca="1" si="18"/>
        <v>0</v>
      </c>
      <c r="P63" s="74">
        <f t="shared" ca="1" si="18"/>
        <v>0</v>
      </c>
      <c r="Q63" s="74">
        <f t="shared" ca="1" si="18"/>
        <v>0</v>
      </c>
      <c r="R63" s="74">
        <f t="shared" ca="1" si="18"/>
        <v>0</v>
      </c>
      <c r="S63" s="74">
        <f t="shared" ca="1" si="18"/>
        <v>0</v>
      </c>
      <c r="T63" s="74">
        <f t="shared" ca="1" si="18"/>
        <v>0</v>
      </c>
      <c r="U63" s="74">
        <f t="shared" ca="1" si="18"/>
        <v>0</v>
      </c>
      <c r="V63" s="74">
        <f t="shared" ca="1" si="18"/>
        <v>0</v>
      </c>
      <c r="W63" s="74">
        <f t="shared" ca="1" si="18"/>
        <v>0</v>
      </c>
      <c r="X63" s="74">
        <f t="shared" ca="1" si="18"/>
        <v>0</v>
      </c>
      <c r="Y63" s="74">
        <f t="shared" ca="1" si="18"/>
        <v>0</v>
      </c>
      <c r="Z63" s="74">
        <f t="shared" ca="1" si="18"/>
        <v>0</v>
      </c>
      <c r="AA63" s="74">
        <f t="shared" ca="1" si="18"/>
        <v>0</v>
      </c>
      <c r="AB63" s="74">
        <f t="shared" ca="1" si="18"/>
        <v>0</v>
      </c>
      <c r="AC63" s="74">
        <f t="shared" ca="1" si="18"/>
        <v>0</v>
      </c>
      <c r="AD63" s="74">
        <f t="shared" ca="1" si="18"/>
        <v>0</v>
      </c>
      <c r="AE63" s="74">
        <f t="shared" ca="1" si="18"/>
        <v>0</v>
      </c>
      <c r="AF63" s="74">
        <f t="shared" ca="1" si="18"/>
        <v>0</v>
      </c>
      <c r="AG63" s="74">
        <f t="shared" ca="1" si="18"/>
        <v>0</v>
      </c>
      <c r="AH63" s="74">
        <f t="shared" ca="1" si="18"/>
        <v>0</v>
      </c>
      <c r="AI63" s="74">
        <f t="shared" ca="1" si="18"/>
        <v>0</v>
      </c>
      <c r="AJ63" s="74">
        <f t="shared" ca="1" si="18"/>
        <v>0</v>
      </c>
      <c r="AK63" s="74">
        <f t="shared" ca="1" si="18"/>
        <v>0</v>
      </c>
      <c r="AL63" s="74">
        <f t="shared" ca="1" si="18"/>
        <v>0</v>
      </c>
      <c r="AM63" s="74">
        <f t="shared" ca="1" si="18"/>
        <v>0</v>
      </c>
      <c r="AN63" s="74">
        <f t="shared" ca="1" si="18"/>
        <v>0</v>
      </c>
      <c r="AO63" s="74">
        <f t="shared" ca="1" si="18"/>
        <v>0</v>
      </c>
      <c r="AP63" s="74">
        <f t="shared" ca="1" si="18"/>
        <v>0</v>
      </c>
      <c r="AQ63" s="75">
        <f t="shared" ca="1" si="18"/>
        <v>0</v>
      </c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</row>
    <row r="64" spans="1:59" ht="15.75" thickBot="1" x14ac:dyDescent="0.3">
      <c r="A64" s="9">
        <f>'Grid Sizes, Locations, and GHGs'!D13</f>
        <v>0</v>
      </c>
      <c r="B64" s="73" t="str">
        <f>'Grid Sizes, Locations, and GHGs'!A13</f>
        <v>unused</v>
      </c>
      <c r="C64" s="9">
        <v>0</v>
      </c>
      <c r="D64" s="74">
        <f t="shared" ref="D64:AQ64" si="19">D38-D51</f>
        <v>0</v>
      </c>
      <c r="E64" s="74">
        <f t="shared" ca="1" si="19"/>
        <v>0</v>
      </c>
      <c r="F64" s="74">
        <f t="shared" ca="1" si="19"/>
        <v>0</v>
      </c>
      <c r="G64" s="74">
        <f t="shared" ca="1" si="19"/>
        <v>0</v>
      </c>
      <c r="H64" s="74">
        <f t="shared" ca="1" si="19"/>
        <v>0</v>
      </c>
      <c r="I64" s="74">
        <f t="shared" ca="1" si="19"/>
        <v>0</v>
      </c>
      <c r="J64" s="74">
        <f t="shared" ca="1" si="19"/>
        <v>0</v>
      </c>
      <c r="K64" s="74">
        <f t="shared" ca="1" si="19"/>
        <v>0</v>
      </c>
      <c r="L64" s="74">
        <f t="shared" ca="1" si="19"/>
        <v>0</v>
      </c>
      <c r="M64" s="74">
        <f t="shared" ca="1" si="19"/>
        <v>0</v>
      </c>
      <c r="N64" s="74">
        <f t="shared" ca="1" si="19"/>
        <v>0</v>
      </c>
      <c r="O64" s="74">
        <f t="shared" ca="1" si="19"/>
        <v>0</v>
      </c>
      <c r="P64" s="74">
        <f t="shared" ca="1" si="19"/>
        <v>0</v>
      </c>
      <c r="Q64" s="74">
        <f t="shared" ca="1" si="19"/>
        <v>0</v>
      </c>
      <c r="R64" s="74">
        <f t="shared" ca="1" si="19"/>
        <v>0</v>
      </c>
      <c r="S64" s="74">
        <f t="shared" ca="1" si="19"/>
        <v>0</v>
      </c>
      <c r="T64" s="74">
        <f t="shared" ca="1" si="19"/>
        <v>0</v>
      </c>
      <c r="U64" s="74">
        <f t="shared" ca="1" si="19"/>
        <v>0</v>
      </c>
      <c r="V64" s="74">
        <f t="shared" ca="1" si="19"/>
        <v>0</v>
      </c>
      <c r="W64" s="74">
        <f t="shared" ca="1" si="19"/>
        <v>0</v>
      </c>
      <c r="X64" s="74">
        <f t="shared" ca="1" si="19"/>
        <v>0</v>
      </c>
      <c r="Y64" s="74">
        <f t="shared" ca="1" si="19"/>
        <v>0</v>
      </c>
      <c r="Z64" s="74">
        <f t="shared" ca="1" si="19"/>
        <v>0</v>
      </c>
      <c r="AA64" s="74">
        <f t="shared" ca="1" si="19"/>
        <v>0</v>
      </c>
      <c r="AB64" s="74">
        <f t="shared" ca="1" si="19"/>
        <v>0</v>
      </c>
      <c r="AC64" s="74">
        <f t="shared" ca="1" si="19"/>
        <v>0</v>
      </c>
      <c r="AD64" s="74">
        <f t="shared" ca="1" si="19"/>
        <v>0</v>
      </c>
      <c r="AE64" s="74">
        <f t="shared" ca="1" si="19"/>
        <v>0</v>
      </c>
      <c r="AF64" s="74">
        <f t="shared" ca="1" si="19"/>
        <v>0</v>
      </c>
      <c r="AG64" s="74">
        <f t="shared" ca="1" si="19"/>
        <v>0</v>
      </c>
      <c r="AH64" s="74">
        <f t="shared" ca="1" si="19"/>
        <v>0</v>
      </c>
      <c r="AI64" s="74">
        <f t="shared" ca="1" si="19"/>
        <v>0</v>
      </c>
      <c r="AJ64" s="74">
        <f t="shared" ca="1" si="19"/>
        <v>0</v>
      </c>
      <c r="AK64" s="74">
        <f t="shared" ca="1" si="19"/>
        <v>0</v>
      </c>
      <c r="AL64" s="74">
        <f t="shared" ca="1" si="19"/>
        <v>0</v>
      </c>
      <c r="AM64" s="74">
        <f t="shared" ca="1" si="19"/>
        <v>0</v>
      </c>
      <c r="AN64" s="74">
        <f t="shared" ca="1" si="19"/>
        <v>0</v>
      </c>
      <c r="AO64" s="74">
        <f t="shared" ca="1" si="19"/>
        <v>0</v>
      </c>
      <c r="AP64" s="74">
        <f t="shared" ca="1" si="19"/>
        <v>0</v>
      </c>
      <c r="AQ64" s="75">
        <f t="shared" ca="1" si="19"/>
        <v>0</v>
      </c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</row>
    <row r="65" spans="1:59" ht="15.75" thickBot="1" x14ac:dyDescent="0.3">
      <c r="A65" s="87">
        <f>'Grid Sizes, Locations, and GHGs'!D14</f>
        <v>0</v>
      </c>
      <c r="B65" s="38" t="str">
        <f>'Grid Sizes, Locations, and GHGs'!A14</f>
        <v>unused</v>
      </c>
      <c r="C65" s="36">
        <v>0</v>
      </c>
      <c r="D65" s="81">
        <f t="shared" ref="D65:AQ65" si="20">D39-D52</f>
        <v>0</v>
      </c>
      <c r="E65" s="81">
        <f t="shared" ca="1" si="20"/>
        <v>0</v>
      </c>
      <c r="F65" s="81">
        <f t="shared" ca="1" si="20"/>
        <v>0</v>
      </c>
      <c r="G65" s="81">
        <f t="shared" ca="1" si="20"/>
        <v>0</v>
      </c>
      <c r="H65" s="81">
        <f t="shared" ca="1" si="20"/>
        <v>0</v>
      </c>
      <c r="I65" s="81">
        <f t="shared" ca="1" si="20"/>
        <v>0</v>
      </c>
      <c r="J65" s="81">
        <f t="shared" ca="1" si="20"/>
        <v>0</v>
      </c>
      <c r="K65" s="81">
        <f t="shared" ca="1" si="20"/>
        <v>0</v>
      </c>
      <c r="L65" s="81">
        <f t="shared" ca="1" si="20"/>
        <v>0</v>
      </c>
      <c r="M65" s="81">
        <f t="shared" ca="1" si="20"/>
        <v>0</v>
      </c>
      <c r="N65" s="81">
        <f t="shared" ca="1" si="20"/>
        <v>0</v>
      </c>
      <c r="O65" s="81">
        <f t="shared" ca="1" si="20"/>
        <v>0</v>
      </c>
      <c r="P65" s="81">
        <f t="shared" ca="1" si="20"/>
        <v>0</v>
      </c>
      <c r="Q65" s="81">
        <f t="shared" ca="1" si="20"/>
        <v>0</v>
      </c>
      <c r="R65" s="81">
        <f t="shared" ca="1" si="20"/>
        <v>0</v>
      </c>
      <c r="S65" s="81">
        <f t="shared" ca="1" si="20"/>
        <v>0</v>
      </c>
      <c r="T65" s="81">
        <f t="shared" ca="1" si="20"/>
        <v>0</v>
      </c>
      <c r="U65" s="81">
        <f t="shared" ca="1" si="20"/>
        <v>0</v>
      </c>
      <c r="V65" s="81">
        <f t="shared" ca="1" si="20"/>
        <v>0</v>
      </c>
      <c r="W65" s="81">
        <f t="shared" ca="1" si="20"/>
        <v>0</v>
      </c>
      <c r="X65" s="81">
        <f t="shared" ca="1" si="20"/>
        <v>0</v>
      </c>
      <c r="Y65" s="81">
        <f t="shared" ca="1" si="20"/>
        <v>0</v>
      </c>
      <c r="Z65" s="81">
        <f t="shared" ca="1" si="20"/>
        <v>0</v>
      </c>
      <c r="AA65" s="81">
        <f t="shared" ca="1" si="20"/>
        <v>0</v>
      </c>
      <c r="AB65" s="81">
        <f t="shared" ca="1" si="20"/>
        <v>0</v>
      </c>
      <c r="AC65" s="81">
        <f t="shared" ca="1" si="20"/>
        <v>0</v>
      </c>
      <c r="AD65" s="81">
        <f t="shared" ca="1" si="20"/>
        <v>0</v>
      </c>
      <c r="AE65" s="81">
        <f t="shared" ca="1" si="20"/>
        <v>0</v>
      </c>
      <c r="AF65" s="81">
        <f t="shared" ca="1" si="20"/>
        <v>0</v>
      </c>
      <c r="AG65" s="81">
        <f t="shared" ca="1" si="20"/>
        <v>0</v>
      </c>
      <c r="AH65" s="81">
        <f t="shared" ca="1" si="20"/>
        <v>0</v>
      </c>
      <c r="AI65" s="81">
        <f t="shared" ca="1" si="20"/>
        <v>0</v>
      </c>
      <c r="AJ65" s="81">
        <f t="shared" ca="1" si="20"/>
        <v>0</v>
      </c>
      <c r="AK65" s="81">
        <f t="shared" ca="1" si="20"/>
        <v>0</v>
      </c>
      <c r="AL65" s="81">
        <f t="shared" ca="1" si="20"/>
        <v>0</v>
      </c>
      <c r="AM65" s="81">
        <f t="shared" ca="1" si="20"/>
        <v>0</v>
      </c>
      <c r="AN65" s="81">
        <f t="shared" ca="1" si="20"/>
        <v>0</v>
      </c>
      <c r="AO65" s="81">
        <f t="shared" ca="1" si="20"/>
        <v>0</v>
      </c>
      <c r="AP65" s="81">
        <f t="shared" ca="1" si="20"/>
        <v>0</v>
      </c>
      <c r="AQ65" s="98">
        <f t="shared" ca="1" si="20"/>
        <v>0</v>
      </c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17"/>
      <c r="BD65" s="117"/>
      <c r="BE65" s="117"/>
      <c r="BF65" s="117"/>
      <c r="BG65" s="117"/>
    </row>
    <row r="66" spans="1:59" s="19" customFormat="1" x14ac:dyDescent="0.25"/>
    <row r="67" spans="1:59" s="19" customFormat="1" x14ac:dyDescent="0.25"/>
    <row r="68" spans="1:59" s="19" customFormat="1" x14ac:dyDescent="0.25"/>
    <row r="69" spans="1:59" s="19" customFormat="1" x14ac:dyDescent="0.25"/>
    <row r="70" spans="1:59" s="19" customFormat="1" x14ac:dyDescent="0.25"/>
    <row r="71" spans="1:59" s="19" customFormat="1" x14ac:dyDescent="0.25"/>
    <row r="72" spans="1:59" s="19" customFormat="1" x14ac:dyDescent="0.25"/>
    <row r="73" spans="1:59" s="19" customFormat="1" x14ac:dyDescent="0.25"/>
    <row r="74" spans="1:59" s="19" customFormat="1" x14ac:dyDescent="0.25"/>
    <row r="75" spans="1:59" s="19" customFormat="1" x14ac:dyDescent="0.25"/>
    <row r="76" spans="1:59" s="19" customFormat="1" x14ac:dyDescent="0.25"/>
    <row r="77" spans="1:59" s="19" customFormat="1" x14ac:dyDescent="0.25"/>
    <row r="78" spans="1:59" s="19" customFormat="1" x14ac:dyDescent="0.25"/>
    <row r="79" spans="1:59" s="19" customFormat="1" x14ac:dyDescent="0.25"/>
    <row r="80" spans="1:59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  <row r="201" s="19" customFormat="1" x14ac:dyDescent="0.25"/>
    <row r="202" s="19" customFormat="1" x14ac:dyDescent="0.25"/>
    <row r="203" s="19" customFormat="1" x14ac:dyDescent="0.25"/>
    <row r="204" s="19" customFormat="1" x14ac:dyDescent="0.25"/>
    <row r="205" s="19" customFormat="1" x14ac:dyDescent="0.25"/>
    <row r="206" s="19" customFormat="1" x14ac:dyDescent="0.25"/>
    <row r="207" s="19" customFormat="1" x14ac:dyDescent="0.25"/>
    <row r="208" s="19" customFormat="1" x14ac:dyDescent="0.25"/>
    <row r="209" s="19" customFormat="1" x14ac:dyDescent="0.25"/>
    <row r="210" s="19" customFormat="1" x14ac:dyDescent="0.25"/>
    <row r="211" s="19" customFormat="1" x14ac:dyDescent="0.25"/>
    <row r="212" s="19" customFormat="1" x14ac:dyDescent="0.25"/>
    <row r="213" s="19" customFormat="1" x14ac:dyDescent="0.25"/>
    <row r="214" s="19" customFormat="1" x14ac:dyDescent="0.25"/>
    <row r="215" s="19" customFormat="1" x14ac:dyDescent="0.25"/>
    <row r="216" s="19" customFormat="1" x14ac:dyDescent="0.25"/>
    <row r="217" s="19" customFormat="1" x14ac:dyDescent="0.25"/>
    <row r="218" s="19" customFormat="1" x14ac:dyDescent="0.25"/>
    <row r="219" s="19" customFormat="1" x14ac:dyDescent="0.25"/>
    <row r="220" s="19" customFormat="1" x14ac:dyDescent="0.25"/>
    <row r="221" s="19" customFormat="1" x14ac:dyDescent="0.25"/>
    <row r="222" s="19" customFormat="1" x14ac:dyDescent="0.25"/>
    <row r="223" s="19" customFormat="1" x14ac:dyDescent="0.25"/>
    <row r="224" s="19" customFormat="1" x14ac:dyDescent="0.25"/>
    <row r="225" s="19" customFormat="1" x14ac:dyDescent="0.25"/>
    <row r="226" s="19" customFormat="1" x14ac:dyDescent="0.25"/>
    <row r="227" s="19" customFormat="1" x14ac:dyDescent="0.25"/>
    <row r="228" s="19" customFormat="1" x14ac:dyDescent="0.25"/>
    <row r="229" s="19" customFormat="1" x14ac:dyDescent="0.25"/>
    <row r="230" s="19" customFormat="1" x14ac:dyDescent="0.25"/>
    <row r="231" s="19" customFormat="1" x14ac:dyDescent="0.25"/>
    <row r="232" s="19" customFormat="1" x14ac:dyDescent="0.25"/>
    <row r="233" s="19" customFormat="1" x14ac:dyDescent="0.25"/>
    <row r="234" s="19" customFormat="1" x14ac:dyDescent="0.25"/>
    <row r="235" s="19" customFormat="1" x14ac:dyDescent="0.25"/>
    <row r="236" s="19" customFormat="1" x14ac:dyDescent="0.25"/>
    <row r="237" s="19" customFormat="1" x14ac:dyDescent="0.25"/>
    <row r="238" s="19" customFormat="1" x14ac:dyDescent="0.25"/>
    <row r="239" s="19" customFormat="1" x14ac:dyDescent="0.25"/>
    <row r="240" s="19" customFormat="1" x14ac:dyDescent="0.25"/>
    <row r="241" s="19" customFormat="1" x14ac:dyDescent="0.25"/>
    <row r="242" s="19" customFormat="1" x14ac:dyDescent="0.25"/>
    <row r="243" s="19" customFormat="1" x14ac:dyDescent="0.25"/>
    <row r="244" s="19" customFormat="1" x14ac:dyDescent="0.25"/>
    <row r="245" s="19" customFormat="1" x14ac:dyDescent="0.25"/>
    <row r="246" s="19" customFormat="1" x14ac:dyDescent="0.25"/>
    <row r="247" s="19" customFormat="1" x14ac:dyDescent="0.25"/>
    <row r="248" s="19" customFormat="1" x14ac:dyDescent="0.25"/>
    <row r="249" s="19" customFormat="1" x14ac:dyDescent="0.25"/>
    <row r="250" s="19" customFormat="1" x14ac:dyDescent="0.25"/>
    <row r="251" s="19" customFormat="1" x14ac:dyDescent="0.25"/>
    <row r="252" s="19" customFormat="1" x14ac:dyDescent="0.25"/>
    <row r="253" s="19" customFormat="1" x14ac:dyDescent="0.25"/>
    <row r="254" s="19" customFormat="1" x14ac:dyDescent="0.25"/>
    <row r="255" s="19" customFormat="1" x14ac:dyDescent="0.25"/>
    <row r="256" s="19" customFormat="1" x14ac:dyDescent="0.25"/>
    <row r="257" s="19" customFormat="1" x14ac:dyDescent="0.25"/>
    <row r="258" s="19" customFormat="1" x14ac:dyDescent="0.25"/>
    <row r="259" s="19" customFormat="1" x14ac:dyDescent="0.25"/>
    <row r="260" s="19" customFormat="1" x14ac:dyDescent="0.25"/>
    <row r="261" s="19" customFormat="1" x14ac:dyDescent="0.25"/>
    <row r="262" s="19" customFormat="1" x14ac:dyDescent="0.25"/>
    <row r="263" s="19" customFormat="1" x14ac:dyDescent="0.25"/>
    <row r="264" s="19" customFormat="1" x14ac:dyDescent="0.25"/>
    <row r="265" s="19" customFormat="1" x14ac:dyDescent="0.25"/>
    <row r="266" s="19" customFormat="1" x14ac:dyDescent="0.25"/>
    <row r="267" s="19" customFormat="1" x14ac:dyDescent="0.25"/>
    <row r="268" s="19" customFormat="1" x14ac:dyDescent="0.25"/>
    <row r="269" s="19" customFormat="1" x14ac:dyDescent="0.25"/>
    <row r="270" s="19" customFormat="1" x14ac:dyDescent="0.25"/>
    <row r="271" s="19" customFormat="1" x14ac:dyDescent="0.25"/>
    <row r="272" s="19" customFormat="1" x14ac:dyDescent="0.25"/>
    <row r="273" s="19" customFormat="1" x14ac:dyDescent="0.25"/>
    <row r="274" s="19" customFormat="1" x14ac:dyDescent="0.25"/>
    <row r="275" s="19" customFormat="1" x14ac:dyDescent="0.25"/>
    <row r="276" s="19" customFormat="1" x14ac:dyDescent="0.25"/>
    <row r="277" s="19" customFormat="1" x14ac:dyDescent="0.25"/>
    <row r="278" s="19" customFormat="1" x14ac:dyDescent="0.25"/>
    <row r="279" s="19" customFormat="1" x14ac:dyDescent="0.25"/>
    <row r="280" s="19" customFormat="1" x14ac:dyDescent="0.25"/>
    <row r="281" s="19" customFormat="1" x14ac:dyDescent="0.25"/>
    <row r="282" s="19" customFormat="1" x14ac:dyDescent="0.25"/>
    <row r="283" s="19" customFormat="1" x14ac:dyDescent="0.25"/>
    <row r="284" s="19" customFormat="1" x14ac:dyDescent="0.25"/>
    <row r="285" s="19" customFormat="1" x14ac:dyDescent="0.25"/>
    <row r="286" s="19" customFormat="1" x14ac:dyDescent="0.25"/>
    <row r="287" s="19" customFormat="1" x14ac:dyDescent="0.25"/>
    <row r="288" s="19" customFormat="1" x14ac:dyDescent="0.25"/>
    <row r="289" s="19" customFormat="1" x14ac:dyDescent="0.25"/>
    <row r="290" s="19" customFormat="1" x14ac:dyDescent="0.25"/>
    <row r="291" s="19" customFormat="1" x14ac:dyDescent="0.25"/>
    <row r="292" s="19" customFormat="1" x14ac:dyDescent="0.25"/>
    <row r="293" s="19" customFormat="1" x14ac:dyDescent="0.25"/>
    <row r="294" s="19" customFormat="1" x14ac:dyDescent="0.25"/>
    <row r="295" s="19" customFormat="1" x14ac:dyDescent="0.25"/>
    <row r="296" s="19" customFormat="1" x14ac:dyDescent="0.25"/>
    <row r="297" s="19" customFormat="1" x14ac:dyDescent="0.25"/>
    <row r="298" s="19" customFormat="1" x14ac:dyDescent="0.25"/>
    <row r="299" s="19" customFormat="1" x14ac:dyDescent="0.25"/>
    <row r="300" s="19" customFormat="1" x14ac:dyDescent="0.25"/>
    <row r="301" s="19" customFormat="1" x14ac:dyDescent="0.25"/>
    <row r="302" s="19" customFormat="1" x14ac:dyDescent="0.25"/>
    <row r="303" s="19" customFormat="1" x14ac:dyDescent="0.25"/>
    <row r="304" s="19" customFormat="1" x14ac:dyDescent="0.25"/>
    <row r="305" s="19" customFormat="1" x14ac:dyDescent="0.25"/>
    <row r="306" s="19" customFormat="1" x14ac:dyDescent="0.25"/>
    <row r="307" s="19" customFormat="1" x14ac:dyDescent="0.25"/>
    <row r="308" s="19" customFormat="1" x14ac:dyDescent="0.25"/>
    <row r="309" s="19" customFormat="1" x14ac:dyDescent="0.25"/>
    <row r="310" s="19" customFormat="1" x14ac:dyDescent="0.25"/>
    <row r="311" s="19" customFormat="1" x14ac:dyDescent="0.25"/>
    <row r="312" s="19" customFormat="1" x14ac:dyDescent="0.25"/>
    <row r="313" s="19" customFormat="1" x14ac:dyDescent="0.25"/>
    <row r="314" s="19" customFormat="1" x14ac:dyDescent="0.25"/>
    <row r="315" s="19" customFormat="1" x14ac:dyDescent="0.25"/>
    <row r="316" s="19" customFormat="1" x14ac:dyDescent="0.25"/>
    <row r="317" s="19" customFormat="1" x14ac:dyDescent="0.25"/>
    <row r="318" s="19" customFormat="1" x14ac:dyDescent="0.25"/>
    <row r="319" s="19" customFormat="1" x14ac:dyDescent="0.25"/>
    <row r="320" s="19" customFormat="1" x14ac:dyDescent="0.25"/>
    <row r="321" s="19" customFormat="1" x14ac:dyDescent="0.25"/>
    <row r="322" s="19" customFormat="1" x14ac:dyDescent="0.25"/>
    <row r="323" s="19" customFormat="1" x14ac:dyDescent="0.25"/>
    <row r="324" s="19" customFormat="1" x14ac:dyDescent="0.25"/>
    <row r="325" s="19" customFormat="1" x14ac:dyDescent="0.25"/>
    <row r="326" s="19" customFormat="1" x14ac:dyDescent="0.25"/>
    <row r="327" s="19" customFormat="1" x14ac:dyDescent="0.25"/>
    <row r="328" s="19" customFormat="1" x14ac:dyDescent="0.25"/>
    <row r="329" s="19" customFormat="1" x14ac:dyDescent="0.25"/>
    <row r="330" s="19" customFormat="1" x14ac:dyDescent="0.25"/>
    <row r="331" s="19" customFormat="1" x14ac:dyDescent="0.25"/>
    <row r="332" s="19" customFormat="1" x14ac:dyDescent="0.25"/>
    <row r="333" s="19" customFormat="1" x14ac:dyDescent="0.25"/>
    <row r="334" s="19" customFormat="1" x14ac:dyDescent="0.25"/>
    <row r="335" s="19" customFormat="1" x14ac:dyDescent="0.25"/>
    <row r="336" s="19" customFormat="1" x14ac:dyDescent="0.25"/>
    <row r="337" s="19" customFormat="1" x14ac:dyDescent="0.25"/>
    <row r="338" s="19" customFormat="1" x14ac:dyDescent="0.25"/>
    <row r="339" s="19" customFormat="1" x14ac:dyDescent="0.25"/>
    <row r="340" s="19" customFormat="1" x14ac:dyDescent="0.25"/>
    <row r="341" s="19" customFormat="1" x14ac:dyDescent="0.25"/>
    <row r="342" s="19" customFormat="1" x14ac:dyDescent="0.25"/>
    <row r="343" s="19" customFormat="1" x14ac:dyDescent="0.25"/>
    <row r="344" s="19" customFormat="1" x14ac:dyDescent="0.25"/>
    <row r="345" s="19" customFormat="1" x14ac:dyDescent="0.25"/>
    <row r="346" s="19" customFormat="1" x14ac:dyDescent="0.25"/>
    <row r="347" s="19" customFormat="1" x14ac:dyDescent="0.25"/>
    <row r="348" s="19" customFormat="1" x14ac:dyDescent="0.25"/>
    <row r="349" s="19" customFormat="1" x14ac:dyDescent="0.25"/>
    <row r="350" s="19" customFormat="1" x14ac:dyDescent="0.25"/>
    <row r="351" s="19" customFormat="1" x14ac:dyDescent="0.25"/>
    <row r="352" s="19" customFormat="1" x14ac:dyDescent="0.25"/>
    <row r="353" s="19" customFormat="1" x14ac:dyDescent="0.25"/>
    <row r="354" s="19" customFormat="1" x14ac:dyDescent="0.25"/>
    <row r="355" s="19" customFormat="1" x14ac:dyDescent="0.25"/>
    <row r="356" s="19" customFormat="1" x14ac:dyDescent="0.25"/>
    <row r="357" s="19" customFormat="1" x14ac:dyDescent="0.25"/>
    <row r="358" s="19" customFormat="1" x14ac:dyDescent="0.25"/>
    <row r="359" s="19" customFormat="1" x14ac:dyDescent="0.25"/>
    <row r="360" s="19" customFormat="1" x14ac:dyDescent="0.25"/>
    <row r="361" s="19" customFormat="1" x14ac:dyDescent="0.25"/>
    <row r="362" s="19" customFormat="1" x14ac:dyDescent="0.25"/>
    <row r="363" s="19" customFormat="1" x14ac:dyDescent="0.25"/>
    <row r="364" s="19" customFormat="1" x14ac:dyDescent="0.25"/>
    <row r="365" s="19" customFormat="1" x14ac:dyDescent="0.25"/>
    <row r="366" s="19" customFormat="1" x14ac:dyDescent="0.25"/>
    <row r="367" s="19" customFormat="1" x14ac:dyDescent="0.25"/>
    <row r="368" s="19" customFormat="1" x14ac:dyDescent="0.25"/>
    <row r="369" s="19" customFormat="1" x14ac:dyDescent="0.25"/>
    <row r="370" s="19" customFormat="1" x14ac:dyDescent="0.25"/>
    <row r="371" s="19" customFormat="1" x14ac:dyDescent="0.25"/>
    <row r="372" s="19" customFormat="1" x14ac:dyDescent="0.25"/>
    <row r="373" s="19" customFormat="1" x14ac:dyDescent="0.25"/>
    <row r="374" s="19" customFormat="1" x14ac:dyDescent="0.25"/>
    <row r="375" s="19" customFormat="1" x14ac:dyDescent="0.25"/>
    <row r="376" s="19" customFormat="1" x14ac:dyDescent="0.25"/>
    <row r="377" s="19" customFormat="1" x14ac:dyDescent="0.25"/>
  </sheetData>
  <conditionalFormatting sqref="D22:AQ25 C17:AP17 D8:AP16 AQ8:AQ17 D3:AQ3">
    <cfRule type="expression" priority="34">
      <formula>C$9&gt;SUM($C$30:$C$39)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7"/>
  <sheetViews>
    <sheetView zoomScale="85" zoomScaleNormal="85" workbookViewId="0">
      <selection activeCell="B5" sqref="B5"/>
    </sheetView>
  </sheetViews>
  <sheetFormatPr defaultRowHeight="15" x14ac:dyDescent="0.25"/>
  <cols>
    <col min="1" max="1" width="29.7109375" customWidth="1"/>
    <col min="2" max="2" width="59.5703125" customWidth="1"/>
    <col min="3" max="38" width="9.140625" style="19"/>
  </cols>
  <sheetData>
    <row r="1" spans="1:2" ht="18.75" x14ac:dyDescent="0.3">
      <c r="A1" s="125" t="s">
        <v>7</v>
      </c>
      <c r="B1" s="126"/>
    </row>
    <row r="2" spans="1:2" ht="30" x14ac:dyDescent="0.25">
      <c r="A2" s="127" t="s">
        <v>136</v>
      </c>
      <c r="B2" s="128" t="s">
        <v>131</v>
      </c>
    </row>
    <row r="3" spans="1:2" ht="60" x14ac:dyDescent="0.25">
      <c r="A3" s="127" t="s">
        <v>137</v>
      </c>
      <c r="B3" s="128" t="s">
        <v>132</v>
      </c>
    </row>
    <row r="4" spans="1:2" ht="60" x14ac:dyDescent="0.25">
      <c r="A4" s="129" t="s">
        <v>129</v>
      </c>
      <c r="B4" s="128" t="s">
        <v>133</v>
      </c>
    </row>
    <row r="5" spans="1:2" ht="30" x14ac:dyDescent="0.25">
      <c r="A5" s="130" t="s">
        <v>130</v>
      </c>
      <c r="B5" s="128" t="s">
        <v>134</v>
      </c>
    </row>
    <row r="6" spans="1:2" ht="75" x14ac:dyDescent="0.25">
      <c r="A6" s="127" t="s">
        <v>138</v>
      </c>
      <c r="B6" s="128" t="s">
        <v>135</v>
      </c>
    </row>
    <row r="7" spans="1:2" ht="45.75" thickBot="1" x14ac:dyDescent="0.3">
      <c r="A7" s="131" t="s">
        <v>140</v>
      </c>
      <c r="B7" s="132" t="s">
        <v>141</v>
      </c>
    </row>
    <row r="8" spans="1:2" s="19" customFormat="1" x14ac:dyDescent="0.25"/>
    <row r="9" spans="1:2" s="19" customFormat="1" x14ac:dyDescent="0.25"/>
    <row r="10" spans="1:2" s="19" customFormat="1" x14ac:dyDescent="0.25"/>
    <row r="11" spans="1:2" s="19" customFormat="1" x14ac:dyDescent="0.25"/>
    <row r="12" spans="1:2" s="19" customFormat="1" x14ac:dyDescent="0.25"/>
    <row r="13" spans="1:2" s="19" customFormat="1" x14ac:dyDescent="0.25"/>
    <row r="14" spans="1:2" s="19" customFormat="1" x14ac:dyDescent="0.25"/>
    <row r="15" spans="1:2" s="19" customFormat="1" x14ac:dyDescent="0.25"/>
    <row r="16" spans="1:2" s="19" customFormat="1" x14ac:dyDescent="0.25"/>
    <row r="17" s="19" customFormat="1" x14ac:dyDescent="0.25"/>
    <row r="18" s="19" customFormat="1" x14ac:dyDescent="0.25"/>
    <row r="19" s="19" customFormat="1" x14ac:dyDescent="0.25"/>
    <row r="20" s="19" customFormat="1" x14ac:dyDescent="0.25"/>
    <row r="21" s="19" customFormat="1" x14ac:dyDescent="0.25"/>
    <row r="22" s="19" customFormat="1" x14ac:dyDescent="0.25"/>
    <row r="23" s="19" customFormat="1" x14ac:dyDescent="0.25"/>
    <row r="24" s="19" customFormat="1" x14ac:dyDescent="0.25"/>
    <row r="25" s="19" customFormat="1" x14ac:dyDescent="0.25"/>
    <row r="26" s="19" customFormat="1" x14ac:dyDescent="0.25"/>
    <row r="27" s="19" customFormat="1" x14ac:dyDescent="0.25"/>
    <row r="28" s="19" customFormat="1" x14ac:dyDescent="0.25"/>
    <row r="29" s="19" customFormat="1" x14ac:dyDescent="0.25"/>
    <row r="30" s="19" customFormat="1" x14ac:dyDescent="0.25"/>
    <row r="31" s="19" customFormat="1" x14ac:dyDescent="0.25"/>
    <row r="32" s="19" customFormat="1" x14ac:dyDescent="0.25"/>
    <row r="33" s="19" customFormat="1" x14ac:dyDescent="0.25"/>
    <row r="34" s="19" customFormat="1" x14ac:dyDescent="0.25"/>
    <row r="35" s="19" customFormat="1" x14ac:dyDescent="0.25"/>
    <row r="36" s="19" customFormat="1" x14ac:dyDescent="0.25"/>
    <row r="37" s="19" customFormat="1" x14ac:dyDescent="0.25"/>
    <row r="38" s="19" customFormat="1" x14ac:dyDescent="0.25"/>
    <row r="39" s="19" customFormat="1" x14ac:dyDescent="0.25"/>
    <row r="40" s="19" customFormat="1" x14ac:dyDescent="0.25"/>
    <row r="41" s="19" customFormat="1" x14ac:dyDescent="0.25"/>
    <row r="42" s="19" customFormat="1" x14ac:dyDescent="0.25"/>
    <row r="43" s="19" customFormat="1" x14ac:dyDescent="0.25"/>
    <row r="44" s="19" customFormat="1" x14ac:dyDescent="0.25"/>
    <row r="45" s="19" customFormat="1" x14ac:dyDescent="0.25"/>
    <row r="46" s="19" customFormat="1" x14ac:dyDescent="0.25"/>
    <row r="47" s="19" customFormat="1" x14ac:dyDescent="0.25"/>
    <row r="48" s="19" customFormat="1" x14ac:dyDescent="0.25"/>
    <row r="49" s="19" customFormat="1" x14ac:dyDescent="0.25"/>
    <row r="50" s="19" customFormat="1" x14ac:dyDescent="0.25"/>
    <row r="51" s="19" customFormat="1" x14ac:dyDescent="0.25"/>
    <row r="52" s="19" customFormat="1" x14ac:dyDescent="0.25"/>
    <row r="53" s="19" customFormat="1" x14ac:dyDescent="0.25"/>
    <row r="54" s="19" customFormat="1" x14ac:dyDescent="0.25"/>
    <row r="55" s="19" customFormat="1" x14ac:dyDescent="0.25"/>
    <row r="56" s="19" customFormat="1" x14ac:dyDescent="0.25"/>
    <row r="57" s="19" customFormat="1" x14ac:dyDescent="0.25"/>
    <row r="58" s="19" customFormat="1" x14ac:dyDescent="0.25"/>
    <row r="59" s="19" customFormat="1" x14ac:dyDescent="0.25"/>
    <row r="60" s="19" customFormat="1" x14ac:dyDescent="0.25"/>
    <row r="61" s="19" customFormat="1" x14ac:dyDescent="0.25"/>
    <row r="62" s="19" customFormat="1" x14ac:dyDescent="0.25"/>
    <row r="63" s="19" customFormat="1" x14ac:dyDescent="0.25"/>
    <row r="64" s="19" customFormat="1" x14ac:dyDescent="0.25"/>
    <row r="65" s="19" customFormat="1" x14ac:dyDescent="0.25"/>
    <row r="66" s="19" customFormat="1" x14ac:dyDescent="0.25"/>
    <row r="67" s="19" customFormat="1" x14ac:dyDescent="0.25"/>
    <row r="68" s="19" customFormat="1" x14ac:dyDescent="0.25"/>
    <row r="69" s="19" customFormat="1" x14ac:dyDescent="0.25"/>
    <row r="70" s="19" customFormat="1" x14ac:dyDescent="0.25"/>
    <row r="71" s="19" customFormat="1" x14ac:dyDescent="0.25"/>
    <row r="72" s="19" customFormat="1" x14ac:dyDescent="0.25"/>
    <row r="73" s="19" customFormat="1" x14ac:dyDescent="0.25"/>
    <row r="74" s="19" customFormat="1" x14ac:dyDescent="0.25"/>
    <row r="75" s="19" customFormat="1" x14ac:dyDescent="0.25"/>
    <row r="76" s="19" customFormat="1" x14ac:dyDescent="0.25"/>
    <row r="77" s="19" customFormat="1" x14ac:dyDescent="0.25"/>
    <row r="78" s="19" customFormat="1" x14ac:dyDescent="0.25"/>
    <row r="79" s="19" customFormat="1" x14ac:dyDescent="0.25"/>
    <row r="8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  <row r="201" s="19" customFormat="1" x14ac:dyDescent="0.25"/>
    <row r="202" s="19" customFormat="1" x14ac:dyDescent="0.25"/>
    <row r="203" s="19" customFormat="1" x14ac:dyDescent="0.25"/>
    <row r="204" s="19" customFormat="1" x14ac:dyDescent="0.25"/>
    <row r="205" s="19" customFormat="1" x14ac:dyDescent="0.25"/>
    <row r="206" s="19" customFormat="1" x14ac:dyDescent="0.25"/>
    <row r="207" s="19" customFormat="1" x14ac:dyDescent="0.25"/>
  </sheetData>
  <hyperlinks>
    <hyperlink ref="A4" location="GovAB2013" display="(Government of Alberta, 2013)"/>
    <hyperlink ref="A5" location="IHS_CERA_2012" display="(IHS CERA, 2012)"/>
    <hyperlink ref="A2" location="AESO2008" display="(AESO, 2008)"/>
    <hyperlink ref="A3" location="Delucchi" display="(Delucchi &amp; Jacobson, 2011)"/>
    <hyperlink ref="A6" location="Raadal2011" display="(Raadal, Gagnon, Modahl, &amp; Hanssen, 2011)"/>
    <hyperlink ref="A7" location="Weisser2007" display="(Weisser, 2007)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J20" sqref="J20"/>
    </sheetView>
  </sheetViews>
  <sheetFormatPr defaultRowHeight="15" x14ac:dyDescent="0.25"/>
  <cols>
    <col min="1" max="1" width="31" style="19" customWidth="1"/>
    <col min="2" max="16384" width="9.140625" style="19"/>
  </cols>
  <sheetData>
    <row r="1" spans="1:1" ht="15.75" thickBot="1" x14ac:dyDescent="0.3">
      <c r="A1" s="133" t="s">
        <v>21</v>
      </c>
    </row>
    <row r="2" spans="1:1" x14ac:dyDescent="0.25">
      <c r="A2" s="133" t="s">
        <v>19</v>
      </c>
    </row>
    <row r="3" spans="1:1" ht="15.75" thickBot="1" x14ac:dyDescent="0.3">
      <c r="A3" s="134" t="s">
        <v>20</v>
      </c>
    </row>
    <row r="4" spans="1:1" ht="15.75" thickBot="1" x14ac:dyDescent="0.3"/>
    <row r="5" spans="1:1" ht="15.75" thickBot="1" x14ac:dyDescent="0.3">
      <c r="A5" s="133" t="s">
        <v>49</v>
      </c>
    </row>
    <row r="6" spans="1:1" x14ac:dyDescent="0.25">
      <c r="A6" s="133" t="s">
        <v>50</v>
      </c>
    </row>
    <row r="7" spans="1:1" ht="15.75" thickBot="1" x14ac:dyDescent="0.3">
      <c r="A7" s="13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Main Variables</vt:lpstr>
      <vt:lpstr>Grid Sizes, Locations, and GHGs</vt:lpstr>
      <vt:lpstr>GHG by Electricity Source</vt:lpstr>
      <vt:lpstr>Instantatneous Model</vt:lpstr>
      <vt:lpstr>Cumulative 40yr Model</vt:lpstr>
      <vt:lpstr>References</vt:lpstr>
      <vt:lpstr>Allowable Values</vt:lpstr>
      <vt:lpstr>AESO2008</vt:lpstr>
      <vt:lpstr>Delucchi</vt:lpstr>
      <vt:lpstr>GovAB2013</vt:lpstr>
      <vt:lpstr>IHS_CERA_2012</vt:lpstr>
      <vt:lpstr>Raadal2011</vt:lpstr>
      <vt:lpstr>Weisser2007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Taylor</dc:creator>
  <cp:lastModifiedBy>David Taylor</cp:lastModifiedBy>
  <dcterms:created xsi:type="dcterms:W3CDTF">2015-09-21T19:46:46Z</dcterms:created>
  <dcterms:modified xsi:type="dcterms:W3CDTF">2015-09-24T16:34:58Z</dcterms:modified>
</cp:coreProperties>
</file>