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airani\OneDrive - Massachusetts Institute of Technology\Desktop\TESTCB\"/>
    </mc:Choice>
  </mc:AlternateContent>
  <xr:revisionPtr revIDLastSave="0" documentId="13_ncr:1_{26EF5CD6-0D94-456D-9EF2-D0AF518808E5}" xr6:coauthVersionLast="36" xr6:coauthVersionMax="36" xr10:uidLastSave="{00000000-0000-0000-0000-000000000000}"/>
  <bookViews>
    <workbookView xWindow="930" yWindow="0" windowWidth="20880" windowHeight="9780" xr2:uid="{00000000-000D-0000-FFFF-FFFF00000000}"/>
  </bookViews>
  <sheets>
    <sheet name="CALCULATION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3" i="1"/>
  <c r="D13" i="1"/>
  <c r="D8" i="1"/>
  <c r="C8" i="1"/>
  <c r="C9" i="1" l="1"/>
  <c r="C38" i="1"/>
  <c r="C37" i="1"/>
  <c r="C14" i="1"/>
  <c r="C16" i="1" l="1"/>
  <c r="C17" i="1" s="1"/>
  <c r="C21" i="1" s="1"/>
  <c r="C42" i="1"/>
  <c r="T35" i="1" l="1"/>
  <c r="U35" i="1" s="1"/>
  <c r="C43" i="1"/>
  <c r="C44" i="1" s="1"/>
  <c r="T12" i="1"/>
  <c r="U12" i="1" s="1"/>
  <c r="C22" i="1"/>
  <c r="C23" i="1" s="1"/>
  <c r="Q3" i="1" l="1"/>
  <c r="Q28" i="1"/>
</calcChain>
</file>

<file path=xl/sharedStrings.xml><?xml version="1.0" encoding="utf-8"?>
<sst xmlns="http://schemas.openxmlformats.org/spreadsheetml/2006/main" count="70" uniqueCount="60">
  <si>
    <t>DEDICATED OUTDOOR AIR SYSTEM (DOAS)</t>
  </si>
  <si>
    <t>Program</t>
  </si>
  <si>
    <t>Formula</t>
  </si>
  <si>
    <t>l/s/m2</t>
  </si>
  <si>
    <t>l/s/per</t>
  </si>
  <si>
    <t>Residential - Living Area</t>
  </si>
  <si>
    <t>Occupant Density Method</t>
  </si>
  <si>
    <t>Total People Count</t>
  </si>
  <si>
    <t>Flow Rate Method</t>
  </si>
  <si>
    <t>person/m2</t>
  </si>
  <si>
    <t>Commercial - Office Buliding - Office Space</t>
  </si>
  <si>
    <t>Commercial - Office Buliding - Lobbies and Corridors</t>
  </si>
  <si>
    <t>Residential - Common Corridors</t>
  </si>
  <si>
    <t>Public Assembly - Auditorium Seating</t>
  </si>
  <si>
    <t>Public Assembly - Libraries</t>
  </si>
  <si>
    <t>Public Assembly - Museums</t>
  </si>
  <si>
    <t>Education - Classrooms (5-8)</t>
  </si>
  <si>
    <t>Education - Classrooms (9+)</t>
  </si>
  <si>
    <t>Education - Lecture Classroom</t>
  </si>
  <si>
    <t>Education - Lecture Hall</t>
  </si>
  <si>
    <t>Education - Libraries</t>
  </si>
  <si>
    <t>Education  - Assembly</t>
  </si>
  <si>
    <t>Education - University Laboratory</t>
  </si>
  <si>
    <t>Retail - General</t>
  </si>
  <si>
    <t>Retail - Mall Common Areas</t>
  </si>
  <si>
    <t>Retail - Supermarket</t>
  </si>
  <si>
    <t>ASHRAE 62.1-2022 Occupant Density</t>
  </si>
  <si>
    <t>OCCUPANCY</t>
  </si>
  <si>
    <t>FLOW RATE CALCULATION</t>
  </si>
  <si>
    <t>ASHRAE 62.1-2022 Flow Rates</t>
  </si>
  <si>
    <t>User-Defined Flow Rates</t>
  </si>
  <si>
    <t>User-Defined Occupant Density</t>
  </si>
  <si>
    <r>
      <t>Flow Rate per Area  (l/s/m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</si>
  <si>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Flow Rate per Person (l/s/person)</t>
  </si>
  <si>
    <t>Safety Factor (%)</t>
  </si>
  <si>
    <r>
      <t>Program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</si>
  <si>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Dimensional Analysis</t>
  </si>
  <si>
    <r>
      <t xml:space="preserve">ALL-AIR SYSTEM </t>
    </r>
    <r>
      <rPr>
        <sz val="11"/>
        <color theme="1"/>
        <rFont val="Calibri"/>
        <family val="2"/>
        <scheme val="minor"/>
      </rPr>
      <t>(VARIABLE AIR VOLUME OR SIMILAR)</t>
    </r>
  </si>
  <si>
    <t>Peak Heating Load (kW)</t>
  </si>
  <si>
    <t>Peak Cooling Load (kW)</t>
  </si>
  <si>
    <t>Specific Heat Capacity of Air (kJ/kg °C)</t>
  </si>
  <si>
    <r>
      <t>Thermostat Cooling Setpoint (</t>
    </r>
    <r>
      <rPr>
        <b/>
        <sz val="11"/>
        <color theme="1"/>
        <rFont val="Calibri"/>
        <family val="2"/>
      </rPr>
      <t>°C)</t>
    </r>
  </si>
  <si>
    <r>
      <t>Thermostat Heating Setpoint (</t>
    </r>
    <r>
      <rPr>
        <b/>
        <sz val="11"/>
        <color theme="1"/>
        <rFont val="Calibri"/>
        <family val="2"/>
      </rPr>
      <t>°C)</t>
    </r>
  </si>
  <si>
    <r>
      <t>Supply Air Temperature (</t>
    </r>
    <r>
      <rPr>
        <b/>
        <sz val="11"/>
        <color theme="1"/>
        <rFont val="Calibri"/>
        <family val="2"/>
      </rPr>
      <t>°C)</t>
    </r>
  </si>
  <si>
    <r>
      <t>Density of Air (kg/m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</si>
  <si>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Total Flow Rate in Heating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</si>
  <si>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r>
      <t>Total Flow Rate in Cooling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</si>
  <si>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t>Total Flow Rate (l/s)</t>
  </si>
  <si>
    <r>
      <t>Total Flow Rate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</si>
  <si>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t>Air Velocity (m/s)</t>
  </si>
  <si>
    <r>
      <t>Occupant Density (person/m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</si>
  <si>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Fresh Air</t>
  </si>
  <si>
    <t>Exhaust Air</t>
  </si>
  <si>
    <r>
      <t>Shaft Area (m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</si>
  <si>
    <t>Supply Air</t>
  </si>
  <si>
    <t>Return Air</t>
  </si>
  <si>
    <r>
      <t>Supply Air Shaft Area Required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</si>
  <si>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Total Air Shaft Area Required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</si>
  <si>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Exhaust Air Shaft Area Required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</si>
  <si>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Return Air Shaft Area Required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  <r>
      <rPr>
        <i/>
        <sz val="11"/>
        <color theme="1"/>
        <rFont val="Calibri"/>
        <family val="2"/>
        <scheme val="minor"/>
      </rPr>
      <t xml:space="preserve">
Typically 80% of supply air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</si>
</sst>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B0F0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0" fillId="4" borderId="0" xfId="0" applyFill="1"/>
    <xf numFmtId="0" fontId="0" fillId="3" borderId="2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5" borderId="15" xfId="0" applyFill="1" applyBorder="1"/>
    <xf numFmtId="0" fontId="0" fillId="5" borderId="14" xfId="0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7" xfId="0" applyFill="1" applyBorder="1"/>
    <xf numFmtId="2" fontId="8" fillId="5" borderId="0" xfId="0" applyNumberFormat="1" applyFont="1" applyFill="1" applyBorder="1"/>
    <xf numFmtId="2" fontId="9" fillId="5" borderId="0" xfId="0" applyNumberFormat="1" applyFont="1" applyFill="1" applyBorder="1"/>
    <xf numFmtId="0" fontId="10" fillId="5" borderId="0" xfId="0" applyFont="1" applyFill="1" applyBorder="1" applyAlignment="1">
      <alignment horizontal="right"/>
    </xf>
    <xf numFmtId="0" fontId="10" fillId="5" borderId="16" xfId="0" applyFont="1" applyFill="1" applyBorder="1"/>
    <xf numFmtId="0" fontId="0" fillId="5" borderId="3" xfId="0" applyFill="1" applyBorder="1"/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0" xfId="0" applyFill="1" applyBorder="1"/>
    <xf numFmtId="2" fontId="1" fillId="2" borderId="2" xfId="0" applyNumberFormat="1" applyFont="1" applyFill="1" applyBorder="1" applyAlignment="1">
      <alignment horizontal="left"/>
    </xf>
    <xf numFmtId="2" fontId="1" fillId="2" borderId="6" xfId="0" applyNumberFormat="1" applyFont="1" applyFill="1" applyBorder="1" applyAlignment="1">
      <alignment horizontal="left"/>
    </xf>
    <xf numFmtId="2" fontId="1" fillId="2" borderId="11" xfId="0" applyNumberFormat="1" applyFont="1" applyFill="1" applyBorder="1" applyAlignment="1">
      <alignment horizontal="left"/>
    </xf>
    <xf numFmtId="2" fontId="1" fillId="2" borderId="13" xfId="0" applyNumberFormat="1" applyFont="1" applyFill="1" applyBorder="1" applyAlignment="1">
      <alignment horizontal="left"/>
    </xf>
    <xf numFmtId="0" fontId="0" fillId="5" borderId="0" xfId="0" applyFill="1"/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5" borderId="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" borderId="2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1" fillId="5" borderId="0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9" fontId="0" fillId="0" borderId="2" xfId="1" applyFont="1" applyBorder="1" applyAlignment="1">
      <alignment horizontal="left"/>
    </xf>
    <xf numFmtId="9" fontId="0" fillId="0" borderId="6" xfId="1" applyFont="1" applyBorder="1" applyAlignment="1">
      <alignment horizontal="left"/>
    </xf>
    <xf numFmtId="2" fontId="1" fillId="2" borderId="2" xfId="0" applyNumberFormat="1" applyFont="1" applyFill="1" applyBorder="1" applyAlignment="1">
      <alignment horizontal="left"/>
    </xf>
    <xf numFmtId="2" fontId="1" fillId="2" borderId="6" xfId="0" applyNumberFormat="1" applyFont="1" applyFill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0" fontId="1" fillId="0" borderId="25" xfId="0" applyFont="1" applyBorder="1" applyAlignment="1"/>
    <xf numFmtId="0" fontId="4" fillId="0" borderId="25" xfId="0" applyFont="1" applyFill="1" applyBorder="1" applyAlignment="1"/>
    <xf numFmtId="0" fontId="1" fillId="0" borderId="25" xfId="0" applyFont="1" applyFill="1" applyBorder="1" applyAlignment="1"/>
    <xf numFmtId="0" fontId="1" fillId="0" borderId="25" xfId="0" applyFont="1" applyBorder="1"/>
    <xf numFmtId="0" fontId="4" fillId="0" borderId="25" xfId="0" applyFont="1" applyBorder="1" applyAlignment="1"/>
    <xf numFmtId="0" fontId="1" fillId="2" borderId="25" xfId="0" applyFont="1" applyFill="1" applyBorder="1" applyAlignment="1">
      <alignment wrapText="1"/>
    </xf>
    <xf numFmtId="0" fontId="0" fillId="5" borderId="24" xfId="0" applyFill="1" applyBorder="1"/>
    <xf numFmtId="0" fontId="0" fillId="5" borderId="18" xfId="0" applyFill="1" applyBorder="1"/>
    <xf numFmtId="0" fontId="1" fillId="5" borderId="2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8</xdr:row>
      <xdr:rowOff>152400</xdr:rowOff>
    </xdr:from>
    <xdr:ext cx="29192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229350" y="1762125"/>
              <a:ext cx="2919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𝑇𝑜𝑡𝑎𝑙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𝑂𝑐𝑐𝑢𝑝𝑎𝑛𝑡𝑠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𝑂𝑐𝑐𝑢𝑝𝑎𝑛𝑡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𝐷𝑒𝑛𝑠𝑖𝑡𝑦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𝐴𝑟𝑒𝑎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229350" y="1762125"/>
              <a:ext cx="2919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𝑇𝑜𝑡𝑎𝑙 𝑂𝑐𝑐𝑢𝑝𝑎𝑛𝑡𝑠=𝑂𝑐𝑐𝑢𝑝𝑎𝑛𝑡 𝐷𝑒𝑛𝑠𝑖𝑡𝑦 ∗ 𝐴𝑟𝑒𝑎 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9</xdr:col>
      <xdr:colOff>104775</xdr:colOff>
      <xdr:row>8</xdr:row>
      <xdr:rowOff>95250</xdr:rowOff>
    </xdr:from>
    <xdr:ext cx="3524250" cy="289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9286875" y="1704975"/>
              <a:ext cx="3524250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𝑡𝑜𝑡𝑎𝑙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𝑝𝑒𝑜𝑝𝑙𝑒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𝑝𝑒𝑟𝑠𝑜𝑛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286875" y="1704975"/>
              <a:ext cx="3524250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𝑡𝑜𝑡𝑎𝑙 𝑝𝑒𝑜𝑝𝑙𝑒=𝑝𝑒𝑟𝑠𝑜𝑛/𝑚^2   ∗ 𝑚^2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104775</xdr:colOff>
      <xdr:row>16</xdr:row>
      <xdr:rowOff>142873</xdr:rowOff>
    </xdr:from>
    <xdr:ext cx="2828925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238875" y="3981448"/>
              <a:ext cx="282892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𝑎𝑟𝑒𝑎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𝐴𝑟𝑒𝑎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)+ 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𝑝𝑒𝑜𝑝𝑙𝑒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𝑃𝑒𝑜𝑝𝑙𝑒</m:t>
                  </m:r>
                </m:oMath>
              </a14:m>
              <a:r>
                <a:rPr lang="en-US" sz="1100" b="0"/>
                <a:t>)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238875" y="3981448"/>
              <a:ext cx="282892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𝑄_𝑡𝑜𝑡𝑎𝑙= 〖(𝑄〗_(𝑎𝑟𝑒𝑎 )∗ 𝐴𝑟𝑒𝑎)+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𝑝𝑒𝑜𝑝𝑙𝑒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𝑃𝑒𝑜𝑝𝑙𝑒</a:t>
              </a:r>
              <a:r>
                <a:rPr lang="en-US" sz="1100" b="0"/>
                <a:t>)</a:t>
              </a:r>
            </a:p>
          </xdr:txBody>
        </xdr:sp>
      </mc:Fallback>
    </mc:AlternateContent>
    <xdr:clientData/>
  </xdr:oneCellAnchor>
  <xdr:oneCellAnchor>
    <xdr:from>
      <xdr:col>9</xdr:col>
      <xdr:colOff>171450</xdr:colOff>
      <xdr:row>16</xdr:row>
      <xdr:rowOff>85723</xdr:rowOff>
    </xdr:from>
    <xdr:ext cx="3371850" cy="3429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9353550" y="3924298"/>
              <a:ext cx="3371850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𝑙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𝑙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∙</m:t>
                          </m:r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∗ 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 b="0"/>
                <a:t>+ 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𝑙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∙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𝑝𝑒𝑟𝑠𝑜𝑛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∗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𝑝𝑒𝑜𝑝𝑙𝑒</m:t>
                      </m:r>
                    </m:e>
                  </m:d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∙1000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den>
                  </m:f>
                </m:oMath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353550" y="3924298"/>
              <a:ext cx="3371850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𝑙/𝑠=(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𝑙/(𝑠 ∙𝑚^2 )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𝑚^2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/>
                <a:t>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(𝑙/(𝑠 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𝑝𝑒𝑟𝑠𝑜𝑛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𝑝𝑒𝑜𝑝𝑙𝑒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𝑙/(𝑠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∙1000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  𝑚^3/𝑠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28576</xdr:colOff>
      <xdr:row>20</xdr:row>
      <xdr:rowOff>123823</xdr:rowOff>
    </xdr:from>
    <xdr:ext cx="300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6162676" y="4991098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𝑆𝐹</m:t>
                        </m:r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162676" y="4991098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𝑄_𝑡𝑜𝑡𝑎𝑙=𝑣 ∗ 𝐴 ∗(1+𝑆𝐹)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9</xdr:col>
      <xdr:colOff>47625</xdr:colOff>
      <xdr:row>20</xdr:row>
      <xdr:rowOff>76198</xdr:rowOff>
    </xdr:from>
    <xdr:ext cx="3514725" cy="3429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9229725" y="494347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</m:oMath>
              </a14:m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∗(1+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𝑆𝐹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229725" y="494347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𝑚^3/𝑠=  𝑚/𝑠∗</a:t>
              </a:r>
              <a:r>
                <a:rPr lang="en-US" sz="1100" b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𝑚^2  ∗(1+𝑆𝐹)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38101</xdr:colOff>
      <xdr:row>41</xdr:row>
      <xdr:rowOff>152398</xdr:rowOff>
    </xdr:from>
    <xdr:ext cx="300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172201" y="8629648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𝑆𝐹</m:t>
                        </m:r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172201" y="8629648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𝑄_𝑡𝑜𝑡𝑎𝑙=𝑣 ∗ 𝐴 ∗(1+𝑆𝐹)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9</xdr:col>
      <xdr:colOff>47625</xdr:colOff>
      <xdr:row>41</xdr:row>
      <xdr:rowOff>76198</xdr:rowOff>
    </xdr:from>
    <xdr:ext cx="3514725" cy="3429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9229725" y="494347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</m:oMath>
              </a14:m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∗(1+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𝑆𝐹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229725" y="494347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𝑚^3/𝑠=  𝑚/𝑠∗</a:t>
              </a:r>
              <a:r>
                <a:rPr lang="en-US" sz="1100" b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𝑚^2  ∗(1+𝑆𝐹)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28575</xdr:colOff>
      <xdr:row>36</xdr:row>
      <xdr:rowOff>123825</xdr:rowOff>
    </xdr:from>
    <xdr:ext cx="3009900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6162675" y="7810500"/>
              <a:ext cx="3009900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𝜌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∗∆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𝑇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162675" y="7810500"/>
              <a:ext cx="3009900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ℎ_𝑠=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∗∆𝑇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9525</xdr:colOff>
      <xdr:row>28</xdr:row>
      <xdr:rowOff>9526</xdr:rowOff>
    </xdr:from>
    <xdr:ext cx="30384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6143625" y="6143626"/>
              <a:ext cx="3038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Heating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Load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143625" y="6143626"/>
              <a:ext cx="3038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ℎ_𝑠  (Heating Load)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</xdr:colOff>
      <xdr:row>29</xdr:row>
      <xdr:rowOff>9526</xdr:rowOff>
    </xdr:from>
    <xdr:ext cx="3048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134101" y="6334126"/>
              <a:ext cx="3048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Cooling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Load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134101" y="6334126"/>
              <a:ext cx="3048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ℎ_𝑠  (Cooling Load)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19051</xdr:colOff>
      <xdr:row>33</xdr:row>
      <xdr:rowOff>180976</xdr:rowOff>
    </xdr:from>
    <xdr:ext cx="3009900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6153151" y="7267576"/>
              <a:ext cx="3009900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153151" y="7267576"/>
              <a:ext cx="3009900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0</xdr:colOff>
      <xdr:row>34</xdr:row>
      <xdr:rowOff>171450</xdr:rowOff>
    </xdr:from>
    <xdr:ext cx="3038475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6134100" y="7448550"/>
              <a:ext cx="303847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134100" y="7448550"/>
              <a:ext cx="303847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𝑐_𝑝  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9</xdr:col>
      <xdr:colOff>19050</xdr:colOff>
      <xdr:row>36</xdr:row>
      <xdr:rowOff>57148</xdr:rowOff>
    </xdr:from>
    <xdr:ext cx="3514725" cy="3429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9201150" y="774382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𝑘𝑊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𝑘𝐽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𝑘𝐽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∙℃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∗℃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9201150" y="774382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𝑘𝑊=𝑘𝐽/𝑠=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𝑘𝐽/(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∗𝑘𝑔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𝑚^3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∗𝑚^3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38100</xdr:colOff>
      <xdr:row>33</xdr:row>
      <xdr:rowOff>9525</xdr:rowOff>
    </xdr:from>
    <xdr:ext cx="300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6172200" y="7096125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𝑇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Setpoint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Supply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Air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Temperature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172200" y="7096125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∆𝑇=Setpoint −Supply Air Temperature</a:t>
              </a:r>
              <a:endParaRPr lang="en-US" sz="1100" b="0"/>
            </a:p>
          </xdr:txBody>
        </xdr:sp>
      </mc:Fallback>
    </mc:AlternateContent>
    <xdr:clientData/>
  </xdr:oneCellAnchor>
  <xdr:twoCellAnchor editAs="oneCell">
    <xdr:from>
      <xdr:col>15</xdr:col>
      <xdr:colOff>100527</xdr:colOff>
      <xdr:row>12</xdr:row>
      <xdr:rowOff>21979</xdr:rowOff>
    </xdr:from>
    <xdr:to>
      <xdr:col>21</xdr:col>
      <xdr:colOff>548101</xdr:colOff>
      <xdr:row>20</xdr:row>
      <xdr:rowOff>410596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7585" y="2447191"/>
          <a:ext cx="3651351" cy="2205693"/>
        </a:xfrm>
        <a:prstGeom prst="rect">
          <a:avLst/>
        </a:prstGeom>
      </xdr:spPr>
    </xdr:pic>
    <xdr:clientData/>
  </xdr:twoCellAnchor>
  <xdr:twoCellAnchor editAs="oneCell">
    <xdr:from>
      <xdr:col>15</xdr:col>
      <xdr:colOff>99359</xdr:colOff>
      <xdr:row>35</xdr:row>
      <xdr:rowOff>37041</xdr:rowOff>
    </xdr:from>
    <xdr:to>
      <xdr:col>21</xdr:col>
      <xdr:colOff>588351</xdr:colOff>
      <xdr:row>43</xdr:row>
      <xdr:rowOff>175935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69"/>
        <a:stretch/>
      </xdr:blipFill>
      <xdr:spPr>
        <a:xfrm>
          <a:off x="12615209" y="7809441"/>
          <a:ext cx="3698917" cy="2282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topLeftCell="A19" zoomScaleNormal="100" workbookViewId="0">
      <selection activeCell="J47" sqref="J47"/>
    </sheetView>
  </sheetViews>
  <sheetFormatPr defaultRowHeight="15" x14ac:dyDescent="0.25"/>
  <cols>
    <col min="1" max="1" width="2" customWidth="1"/>
    <col min="2" max="2" width="43.7109375" bestFit="1" customWidth="1"/>
    <col min="3" max="4" width="21.7109375" customWidth="1"/>
    <col min="19" max="19" width="10.5703125" customWidth="1"/>
    <col min="20" max="20" width="4.85546875" customWidth="1"/>
    <col min="21" max="21" width="5.28515625" customWidth="1"/>
    <col min="22" max="22" width="10.28515625" customWidth="1"/>
  </cols>
  <sheetData>
    <row r="1" spans="1:22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x14ac:dyDescent="0.25">
      <c r="A2" s="88"/>
      <c r="B2" s="49" t="s">
        <v>0</v>
      </c>
      <c r="C2" s="49"/>
      <c r="D2" s="50"/>
      <c r="E2" s="55"/>
      <c r="F2" s="56"/>
      <c r="G2" s="56"/>
      <c r="H2" s="56"/>
      <c r="I2" s="56"/>
      <c r="J2" s="56"/>
      <c r="K2" s="56"/>
      <c r="L2" s="56"/>
      <c r="M2" s="56"/>
      <c r="N2" s="56"/>
      <c r="O2" s="62"/>
      <c r="P2" s="7"/>
      <c r="Q2" s="7"/>
      <c r="R2" s="7"/>
      <c r="S2" s="7"/>
      <c r="T2" s="7"/>
      <c r="U2" s="7"/>
      <c r="V2" s="8"/>
    </row>
    <row r="3" spans="1:22" ht="15" customHeight="1" x14ac:dyDescent="0.25">
      <c r="A3" s="88"/>
      <c r="B3" s="51"/>
      <c r="C3" s="51"/>
      <c r="D3" s="52"/>
      <c r="E3" s="57" t="s">
        <v>2</v>
      </c>
      <c r="F3" s="58"/>
      <c r="G3" s="58"/>
      <c r="H3" s="58"/>
      <c r="I3" s="58"/>
      <c r="J3" s="59" t="s">
        <v>36</v>
      </c>
      <c r="K3" s="60"/>
      <c r="L3" s="60"/>
      <c r="M3" s="60"/>
      <c r="N3" s="60"/>
      <c r="O3" s="67"/>
      <c r="Q3" s="48" t="str">
        <f>IF(C23&gt;C44,"Shafts for the dedicated outdoor air system are larger than shafts for the all-air system","Shafts for the all-air system are larger than shafts for the dedicated outdoor air system")</f>
        <v>Shafts for the all-air system are larger than shafts for the dedicated outdoor air system</v>
      </c>
      <c r="R3" s="48"/>
      <c r="S3" s="48"/>
      <c r="T3" s="48"/>
      <c r="U3" s="48"/>
      <c r="V3" s="11"/>
    </row>
    <row r="4" spans="1:22" x14ac:dyDescent="0.25">
      <c r="A4" s="88"/>
      <c r="B4" s="90" t="s">
        <v>27</v>
      </c>
      <c r="C4" s="91"/>
      <c r="D4" s="92"/>
      <c r="E4" s="55"/>
      <c r="F4" s="56"/>
      <c r="G4" s="56"/>
      <c r="H4" s="56"/>
      <c r="I4" s="56"/>
      <c r="J4" s="56"/>
      <c r="K4" s="56"/>
      <c r="L4" s="56"/>
      <c r="M4" s="56"/>
      <c r="N4" s="56"/>
      <c r="O4" s="62"/>
      <c r="P4" s="10"/>
      <c r="Q4" s="48"/>
      <c r="R4" s="48"/>
      <c r="S4" s="48"/>
      <c r="T4" s="48"/>
      <c r="U4" s="48"/>
      <c r="V4" s="11"/>
    </row>
    <row r="5" spans="1:22" ht="17.25" x14ac:dyDescent="0.25">
      <c r="A5" s="88"/>
      <c r="B5" s="82" t="s">
        <v>35</v>
      </c>
      <c r="C5" s="70">
        <v>5000</v>
      </c>
      <c r="D5" s="71"/>
      <c r="E5" s="55"/>
      <c r="F5" s="56"/>
      <c r="G5" s="56"/>
      <c r="H5" s="56"/>
      <c r="I5" s="56"/>
      <c r="J5" s="56"/>
      <c r="K5" s="56"/>
      <c r="L5" s="56"/>
      <c r="M5" s="56"/>
      <c r="N5" s="56"/>
      <c r="O5" s="62"/>
      <c r="P5" s="10"/>
      <c r="Q5" s="48"/>
      <c r="R5" s="48"/>
      <c r="S5" s="48"/>
      <c r="T5" s="48"/>
      <c r="U5" s="48"/>
      <c r="V5" s="11"/>
    </row>
    <row r="6" spans="1:22" x14ac:dyDescent="0.25">
      <c r="A6" s="88"/>
      <c r="B6" s="82" t="s">
        <v>1</v>
      </c>
      <c r="C6" s="2" t="s">
        <v>10</v>
      </c>
      <c r="D6" s="3"/>
      <c r="E6" s="55"/>
      <c r="F6" s="56"/>
      <c r="G6" s="56"/>
      <c r="H6" s="56"/>
      <c r="I6" s="56"/>
      <c r="J6" s="56"/>
      <c r="K6" s="56"/>
      <c r="L6" s="56"/>
      <c r="M6" s="56"/>
      <c r="N6" s="56"/>
      <c r="O6" s="62"/>
      <c r="P6" s="10"/>
      <c r="Q6" s="48"/>
      <c r="R6" s="48"/>
      <c r="S6" s="48"/>
      <c r="T6" s="48"/>
      <c r="U6" s="48"/>
      <c r="V6" s="11"/>
    </row>
    <row r="7" spans="1:22" x14ac:dyDescent="0.25">
      <c r="A7" s="88"/>
      <c r="B7" s="82" t="s">
        <v>6</v>
      </c>
      <c r="C7" s="70" t="s">
        <v>26</v>
      </c>
      <c r="D7" s="71"/>
      <c r="E7" s="55"/>
      <c r="F7" s="56"/>
      <c r="G7" s="56"/>
      <c r="H7" s="56"/>
      <c r="I7" s="56"/>
      <c r="J7" s="56"/>
      <c r="K7" s="56"/>
      <c r="L7" s="56"/>
      <c r="M7" s="56"/>
      <c r="N7" s="56"/>
      <c r="O7" s="62"/>
      <c r="P7" s="10"/>
      <c r="Q7" s="10"/>
      <c r="R7" s="10"/>
      <c r="S7" s="10"/>
      <c r="T7" s="10"/>
      <c r="U7" s="10"/>
      <c r="V7" s="11"/>
    </row>
    <row r="8" spans="1:22" ht="17.25" x14ac:dyDescent="0.25">
      <c r="A8" s="88"/>
      <c r="B8" s="83" t="s">
        <v>50</v>
      </c>
      <c r="C8" s="4">
        <f>IF(C7="ASHRAE 62.1-2022 Occupant Density",VLOOKUP(C6,Lists!A1:D18,2),"-")</f>
        <v>0.05</v>
      </c>
      <c r="D8" s="5" t="str">
        <f>IF(C7="ASHRAE 62.1-2022 Occupant Density","-",)</f>
        <v>-</v>
      </c>
      <c r="E8" s="55"/>
      <c r="F8" s="56"/>
      <c r="G8" s="56"/>
      <c r="H8" s="56"/>
      <c r="I8" s="56"/>
      <c r="J8" s="56"/>
      <c r="K8" s="56"/>
      <c r="L8" s="56"/>
      <c r="M8" s="56"/>
      <c r="N8" s="56"/>
      <c r="O8" s="62"/>
      <c r="P8" s="10"/>
      <c r="Q8" s="10"/>
      <c r="R8" s="10"/>
      <c r="S8" s="10"/>
      <c r="T8" s="10"/>
      <c r="U8" s="10"/>
      <c r="V8" s="11"/>
    </row>
    <row r="9" spans="1:22" ht="36" customHeight="1" x14ac:dyDescent="0.25">
      <c r="A9" s="88"/>
      <c r="B9" s="84" t="s">
        <v>7</v>
      </c>
      <c r="C9" s="72">
        <f>IF(C7="ASHRAE 62.1-2022 Occupant Density",C8*C5,D8*C5)</f>
        <v>250</v>
      </c>
      <c r="D9" s="73"/>
      <c r="E9" s="55"/>
      <c r="F9" s="56"/>
      <c r="G9" s="56"/>
      <c r="H9" s="56"/>
      <c r="I9" s="56"/>
      <c r="J9" s="68"/>
      <c r="K9" s="68"/>
      <c r="L9" s="68"/>
      <c r="M9" s="68"/>
      <c r="N9" s="68"/>
      <c r="O9" s="69"/>
      <c r="P9" s="10"/>
      <c r="Q9" s="10"/>
      <c r="R9" s="10"/>
      <c r="S9" s="10"/>
      <c r="T9" s="10"/>
      <c r="U9" s="10"/>
      <c r="V9" s="11"/>
    </row>
    <row r="10" spans="1:22" x14ac:dyDescent="0.25">
      <c r="A10" s="88"/>
      <c r="B10" s="35"/>
      <c r="C10" s="35"/>
      <c r="D10" s="35"/>
      <c r="E10" s="1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9"/>
      <c r="Q10" s="10"/>
      <c r="R10" s="10"/>
      <c r="S10" s="10"/>
      <c r="T10" s="10"/>
      <c r="U10" s="10"/>
      <c r="V10" s="11"/>
    </row>
    <row r="11" spans="1:22" ht="15.75" x14ac:dyDescent="0.25">
      <c r="A11" s="88"/>
      <c r="B11" s="90" t="s">
        <v>28</v>
      </c>
      <c r="C11" s="91"/>
      <c r="D11" s="92"/>
      <c r="E11" s="55"/>
      <c r="F11" s="56"/>
      <c r="G11" s="56"/>
      <c r="H11" s="56"/>
      <c r="I11" s="56"/>
      <c r="J11" s="56"/>
      <c r="K11" s="56"/>
      <c r="L11" s="56"/>
      <c r="M11" s="56"/>
      <c r="N11" s="56"/>
      <c r="O11" s="62"/>
      <c r="P11" s="10"/>
      <c r="Q11" s="10"/>
      <c r="R11" s="10"/>
      <c r="S11" s="74" t="s">
        <v>53</v>
      </c>
      <c r="T11" s="74"/>
      <c r="U11" s="74"/>
      <c r="V11" s="75"/>
    </row>
    <row r="12" spans="1:22" x14ac:dyDescent="0.25">
      <c r="A12" s="88"/>
      <c r="B12" s="85" t="s">
        <v>8</v>
      </c>
      <c r="C12" s="70" t="s">
        <v>29</v>
      </c>
      <c r="D12" s="71"/>
      <c r="E12" s="55"/>
      <c r="F12" s="56"/>
      <c r="G12" s="56"/>
      <c r="H12" s="56"/>
      <c r="I12" s="56"/>
      <c r="J12" s="56"/>
      <c r="K12" s="56"/>
      <c r="L12" s="56"/>
      <c r="M12" s="56"/>
      <c r="N12" s="56"/>
      <c r="O12" s="62"/>
      <c r="P12" s="10"/>
      <c r="Q12" s="10"/>
      <c r="R12" s="10"/>
      <c r="S12" s="17" t="s">
        <v>51</v>
      </c>
      <c r="T12" s="15">
        <f>C21</f>
        <v>0.61093749999999991</v>
      </c>
      <c r="U12" s="16">
        <f>T12</f>
        <v>0.61093749999999991</v>
      </c>
      <c r="V12" s="18" t="s">
        <v>52</v>
      </c>
    </row>
    <row r="13" spans="1:22" ht="17.25" x14ac:dyDescent="0.25">
      <c r="A13" s="88"/>
      <c r="B13" s="86" t="s">
        <v>32</v>
      </c>
      <c r="C13" s="4">
        <f>IF(C12="ASHRAE 62.1-2022 Flow Rates",VLOOKUP(C6,Lists!A1:D18,4),"-")</f>
        <v>0.3</v>
      </c>
      <c r="D13" s="5" t="str">
        <f>IF(C12="ASHRAE 62.1-2022 Flow Rates","-",)</f>
        <v>-</v>
      </c>
      <c r="E13" s="55"/>
      <c r="F13" s="56"/>
      <c r="G13" s="56"/>
      <c r="H13" s="56"/>
      <c r="I13" s="56"/>
      <c r="J13" s="56"/>
      <c r="K13" s="56"/>
      <c r="L13" s="56"/>
      <c r="M13" s="56"/>
      <c r="N13" s="56"/>
      <c r="O13" s="62"/>
      <c r="P13" s="10"/>
      <c r="Q13" s="10"/>
      <c r="R13" s="10"/>
      <c r="S13" s="10"/>
      <c r="T13" s="10"/>
      <c r="U13" s="10"/>
      <c r="V13" s="11"/>
    </row>
    <row r="14" spans="1:22" x14ac:dyDescent="0.25">
      <c r="A14" s="88"/>
      <c r="B14" s="86" t="s">
        <v>33</v>
      </c>
      <c r="C14" s="4">
        <f>IF(C12="ASHRAE 62.1-2022 Flow Rates",VLOOKUP(C6,Lists!A1:D18,3),"-")</f>
        <v>2.5</v>
      </c>
      <c r="D14" s="5" t="str">
        <f>IF(C12="ASHRAE 62.1-2022 Flow Rates","-",)</f>
        <v>-</v>
      </c>
      <c r="E14" s="55"/>
      <c r="F14" s="56"/>
      <c r="G14" s="56"/>
      <c r="H14" s="56"/>
      <c r="I14" s="56"/>
      <c r="J14" s="56"/>
      <c r="K14" s="56"/>
      <c r="L14" s="56"/>
      <c r="M14" s="56"/>
      <c r="N14" s="56"/>
      <c r="O14" s="62"/>
      <c r="P14" s="10"/>
      <c r="Q14" s="10"/>
      <c r="R14" s="10"/>
      <c r="S14" s="10"/>
      <c r="T14" s="10"/>
      <c r="U14" s="10"/>
      <c r="V14" s="11"/>
    </row>
    <row r="15" spans="1:22" x14ac:dyDescent="0.25">
      <c r="A15" s="88"/>
      <c r="B15" s="35"/>
      <c r="C15" s="35"/>
      <c r="D15" s="35"/>
      <c r="E15" s="19"/>
      <c r="F15" s="10"/>
      <c r="G15" s="10"/>
      <c r="H15" s="10"/>
      <c r="I15" s="10"/>
      <c r="J15" s="10"/>
      <c r="K15" s="10"/>
      <c r="L15" s="10"/>
      <c r="M15" s="10"/>
      <c r="N15" s="10"/>
      <c r="O15" s="89"/>
      <c r="P15" s="10"/>
      <c r="Q15" s="10"/>
      <c r="R15" s="10"/>
      <c r="S15" s="10"/>
      <c r="T15" s="10"/>
      <c r="U15" s="10"/>
      <c r="V15" s="11"/>
    </row>
    <row r="16" spans="1:22" x14ac:dyDescent="0.25">
      <c r="A16" s="88"/>
      <c r="B16" s="82" t="s">
        <v>47</v>
      </c>
      <c r="C16" s="72">
        <f>IF(C12="ASHRAE 62.1-2022 Flow Rates",(C13*C5)+(C14*C9),(D13*C5)+(D14*C9))</f>
        <v>2125</v>
      </c>
      <c r="D16" s="73"/>
      <c r="E16" s="55"/>
      <c r="F16" s="56"/>
      <c r="G16" s="56"/>
      <c r="H16" s="56"/>
      <c r="I16" s="56"/>
      <c r="J16" s="56"/>
      <c r="K16" s="56"/>
      <c r="L16" s="56"/>
      <c r="M16" s="56"/>
      <c r="N16" s="56"/>
      <c r="O16" s="62"/>
      <c r="P16" s="10"/>
      <c r="Q16" s="10"/>
      <c r="R16" s="10"/>
      <c r="S16" s="10"/>
      <c r="T16" s="10"/>
      <c r="U16" s="10"/>
      <c r="V16" s="11"/>
    </row>
    <row r="17" spans="1:22" ht="36" customHeight="1" x14ac:dyDescent="0.25">
      <c r="A17" s="88"/>
      <c r="B17" s="82" t="s">
        <v>48</v>
      </c>
      <c r="C17" s="72">
        <f>C16/1000</f>
        <v>2.125</v>
      </c>
      <c r="D17" s="73"/>
      <c r="E17" s="55"/>
      <c r="F17" s="56"/>
      <c r="G17" s="56"/>
      <c r="H17" s="56"/>
      <c r="I17" s="56"/>
      <c r="J17" s="56"/>
      <c r="K17" s="56"/>
      <c r="L17" s="56"/>
      <c r="M17" s="56"/>
      <c r="N17" s="56"/>
      <c r="O17" s="62"/>
      <c r="P17" s="10"/>
      <c r="Q17" s="10"/>
      <c r="R17" s="10"/>
      <c r="S17" s="10"/>
      <c r="T17" s="10"/>
      <c r="U17" s="10"/>
      <c r="V17" s="11"/>
    </row>
    <row r="18" spans="1:22" x14ac:dyDescent="0.25">
      <c r="A18" s="88"/>
      <c r="B18" s="35"/>
      <c r="C18" s="35"/>
      <c r="D18" s="35"/>
      <c r="E18" s="19"/>
      <c r="F18" s="10"/>
      <c r="G18" s="10"/>
      <c r="H18" s="10"/>
      <c r="I18" s="10"/>
      <c r="J18" s="10"/>
      <c r="K18" s="10"/>
      <c r="L18" s="10"/>
      <c r="M18" s="10"/>
      <c r="N18" s="10"/>
      <c r="O18" s="89"/>
      <c r="P18" s="10"/>
      <c r="Q18" s="10"/>
      <c r="R18" s="10"/>
      <c r="S18" s="10"/>
      <c r="T18" s="10"/>
      <c r="U18" s="10"/>
      <c r="V18" s="11"/>
    </row>
    <row r="19" spans="1:22" x14ac:dyDescent="0.25">
      <c r="A19" s="88"/>
      <c r="B19" s="82" t="s">
        <v>49</v>
      </c>
      <c r="C19" s="72">
        <v>8</v>
      </c>
      <c r="D19" s="73"/>
      <c r="E19" s="55"/>
      <c r="F19" s="56"/>
      <c r="G19" s="56"/>
      <c r="H19" s="56"/>
      <c r="I19" s="56"/>
      <c r="J19" s="56"/>
      <c r="K19" s="56"/>
      <c r="L19" s="56"/>
      <c r="M19" s="56"/>
      <c r="N19" s="56"/>
      <c r="O19" s="62"/>
      <c r="P19" s="10"/>
      <c r="Q19" s="10"/>
      <c r="R19" s="10"/>
      <c r="S19" s="10"/>
      <c r="T19" s="10"/>
      <c r="U19" s="10"/>
      <c r="V19" s="11"/>
    </row>
    <row r="20" spans="1:22" x14ac:dyDescent="0.25">
      <c r="A20" s="88"/>
      <c r="B20" s="82" t="s">
        <v>34</v>
      </c>
      <c r="C20" s="76">
        <v>0.15</v>
      </c>
      <c r="D20" s="77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62"/>
      <c r="P20" s="10"/>
      <c r="Q20" s="10"/>
      <c r="R20" s="10"/>
      <c r="S20" s="10"/>
      <c r="T20" s="10"/>
      <c r="U20" s="10"/>
      <c r="V20" s="11"/>
    </row>
    <row r="21" spans="1:22" ht="36" customHeight="1" x14ac:dyDescent="0.25">
      <c r="A21" s="88"/>
      <c r="B21" s="87" t="s">
        <v>56</v>
      </c>
      <c r="C21" s="78">
        <f>((C17/C19)*(1+C20))*2</f>
        <v>0.61093749999999991</v>
      </c>
      <c r="D21" s="79"/>
      <c r="E21" s="63"/>
      <c r="F21" s="64"/>
      <c r="G21" s="64"/>
      <c r="H21" s="64"/>
      <c r="I21" s="64"/>
      <c r="J21" s="65"/>
      <c r="K21" s="65"/>
      <c r="L21" s="65"/>
      <c r="M21" s="65"/>
      <c r="N21" s="65"/>
      <c r="O21" s="66"/>
      <c r="P21" s="19"/>
      <c r="Q21" s="10"/>
      <c r="R21" s="10"/>
      <c r="S21" s="10"/>
      <c r="T21" s="10"/>
      <c r="U21" s="10"/>
      <c r="V21" s="11"/>
    </row>
    <row r="22" spans="1:22" ht="36" customHeight="1" x14ac:dyDescent="0.25">
      <c r="A22" s="88"/>
      <c r="B22" s="87" t="s">
        <v>58</v>
      </c>
      <c r="C22" s="31">
        <f>C21</f>
        <v>0.61093749999999991</v>
      </c>
      <c r="D22" s="32"/>
      <c r="E22" s="21"/>
      <c r="F22" s="20"/>
      <c r="G22" s="20"/>
      <c r="H22" s="20"/>
      <c r="I22" s="22"/>
      <c r="J22" s="26"/>
      <c r="K22" s="20"/>
      <c r="L22" s="20"/>
      <c r="M22" s="20"/>
      <c r="N22" s="20"/>
      <c r="O22" s="27"/>
      <c r="P22" s="19"/>
      <c r="Q22" s="10"/>
      <c r="R22" s="10"/>
      <c r="S22" s="10"/>
      <c r="T22" s="10"/>
      <c r="U22" s="10"/>
      <c r="V22" s="11"/>
    </row>
    <row r="23" spans="1:22" ht="36" customHeight="1" x14ac:dyDescent="0.25">
      <c r="A23" s="88"/>
      <c r="B23" s="87" t="s">
        <v>57</v>
      </c>
      <c r="C23" s="33">
        <f>SUM(C21:D22)</f>
        <v>1.2218749999999998</v>
      </c>
      <c r="D23" s="34"/>
      <c r="E23" s="23"/>
      <c r="F23" s="24"/>
      <c r="G23" s="24"/>
      <c r="H23" s="24"/>
      <c r="I23" s="25"/>
      <c r="J23" s="28"/>
      <c r="K23" s="24"/>
      <c r="L23" s="24"/>
      <c r="M23" s="24"/>
      <c r="N23" s="24"/>
      <c r="O23" s="29"/>
      <c r="P23" s="30"/>
      <c r="Q23" s="13"/>
      <c r="R23" s="13"/>
      <c r="S23" s="13"/>
      <c r="T23" s="13"/>
      <c r="U23" s="13"/>
      <c r="V23" s="14"/>
    </row>
    <row r="24" spans="1:22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spans="1:22" ht="3.75" customHeight="1" x14ac:dyDescent="0.25">
      <c r="A25" s="3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2" x14ac:dyDescent="0.25">
      <c r="A27" s="88"/>
      <c r="B27" s="49" t="s">
        <v>37</v>
      </c>
      <c r="C27" s="49"/>
      <c r="D27" s="50"/>
      <c r="E27" s="55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6"/>
      <c r="Q27" s="7"/>
      <c r="R27" s="7"/>
      <c r="S27" s="7"/>
      <c r="T27" s="7"/>
      <c r="U27" s="7"/>
      <c r="V27" s="8"/>
    </row>
    <row r="28" spans="1:22" x14ac:dyDescent="0.25">
      <c r="A28" s="88"/>
      <c r="B28" s="51"/>
      <c r="C28" s="51"/>
      <c r="D28" s="52"/>
      <c r="E28" s="57" t="s">
        <v>2</v>
      </c>
      <c r="F28" s="58"/>
      <c r="G28" s="58"/>
      <c r="H28" s="58"/>
      <c r="I28" s="58"/>
      <c r="J28" s="59" t="s">
        <v>36</v>
      </c>
      <c r="K28" s="60"/>
      <c r="L28" s="60"/>
      <c r="M28" s="60"/>
      <c r="N28" s="60"/>
      <c r="O28" s="60"/>
      <c r="P28" s="9"/>
      <c r="Q28" s="48" t="str">
        <f>IF(C23&gt;C44,"Shafts for the dedicated outdoor air system are larger than shafts for the all-air system","Shafts for the all-air system are larger than shafts for the dedicated outdoor air system")</f>
        <v>Shafts for the all-air system are larger than shafts for the dedicated outdoor air system</v>
      </c>
      <c r="R28" s="48"/>
      <c r="S28" s="48"/>
      <c r="T28" s="48"/>
      <c r="U28" s="48"/>
      <c r="V28" s="11"/>
    </row>
    <row r="29" spans="1:22" x14ac:dyDescent="0.25">
      <c r="A29" s="88"/>
      <c r="B29" s="85" t="s">
        <v>38</v>
      </c>
      <c r="C29" s="53">
        <v>170</v>
      </c>
      <c r="D29" s="54"/>
      <c r="E29" s="55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9"/>
      <c r="Q29" s="48"/>
      <c r="R29" s="48"/>
      <c r="S29" s="48"/>
      <c r="T29" s="48"/>
      <c r="U29" s="48"/>
      <c r="V29" s="11"/>
    </row>
    <row r="30" spans="1:22" x14ac:dyDescent="0.25">
      <c r="A30" s="88"/>
      <c r="B30" s="85" t="s">
        <v>39</v>
      </c>
      <c r="C30" s="53">
        <v>240</v>
      </c>
      <c r="D30" s="54"/>
      <c r="E30" s="55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9"/>
      <c r="Q30" s="48"/>
      <c r="R30" s="48"/>
      <c r="S30" s="48"/>
      <c r="T30" s="48"/>
      <c r="U30" s="48"/>
      <c r="V30" s="11"/>
    </row>
    <row r="31" spans="1:22" x14ac:dyDescent="0.25">
      <c r="A31" s="88"/>
      <c r="B31" s="85" t="s">
        <v>41</v>
      </c>
      <c r="C31" s="53">
        <v>24</v>
      </c>
      <c r="D31" s="54"/>
      <c r="E31" s="55"/>
      <c r="F31" s="56"/>
      <c r="G31" s="56"/>
      <c r="H31" s="56"/>
      <c r="I31" s="56"/>
      <c r="J31" s="56"/>
      <c r="K31" s="56"/>
      <c r="L31" s="56"/>
      <c r="M31" s="56"/>
      <c r="N31" s="56"/>
      <c r="O31" s="61"/>
      <c r="P31" s="9"/>
      <c r="Q31" s="10"/>
      <c r="R31" s="10"/>
      <c r="S31" s="35"/>
      <c r="T31" s="35"/>
      <c r="U31" s="35"/>
      <c r="V31" s="11"/>
    </row>
    <row r="32" spans="1:22" x14ac:dyDescent="0.25">
      <c r="A32" s="88"/>
      <c r="B32" s="85" t="s">
        <v>42</v>
      </c>
      <c r="C32" s="53">
        <v>18</v>
      </c>
      <c r="D32" s="54"/>
      <c r="E32" s="55"/>
      <c r="F32" s="56"/>
      <c r="G32" s="56"/>
      <c r="H32" s="56"/>
      <c r="I32" s="56"/>
      <c r="J32" s="56"/>
      <c r="K32" s="56"/>
      <c r="L32" s="56"/>
      <c r="M32" s="56"/>
      <c r="N32" s="56"/>
      <c r="O32" s="61"/>
      <c r="P32" s="9"/>
      <c r="Q32" s="10"/>
      <c r="R32" s="10"/>
      <c r="S32" s="35"/>
      <c r="T32" s="35"/>
      <c r="U32" s="35"/>
      <c r="V32" s="11"/>
    </row>
    <row r="33" spans="1:22" x14ac:dyDescent="0.25">
      <c r="A33" s="88"/>
      <c r="B33" s="35"/>
      <c r="C33" s="93"/>
      <c r="D33" s="93"/>
      <c r="E33" s="19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9"/>
      <c r="Q33" s="10"/>
      <c r="R33" s="10"/>
      <c r="S33" s="10"/>
      <c r="T33" s="10"/>
      <c r="U33" s="10"/>
      <c r="V33" s="11"/>
    </row>
    <row r="34" spans="1:22" ht="15.75" x14ac:dyDescent="0.25">
      <c r="A34" s="88"/>
      <c r="B34" s="85" t="s">
        <v>43</v>
      </c>
      <c r="C34" s="72">
        <v>12.8</v>
      </c>
      <c r="D34" s="73"/>
      <c r="E34" s="55"/>
      <c r="F34" s="56"/>
      <c r="G34" s="56"/>
      <c r="H34" s="56"/>
      <c r="I34" s="56"/>
      <c r="J34" s="56"/>
      <c r="K34" s="56"/>
      <c r="L34" s="56"/>
      <c r="M34" s="56"/>
      <c r="N34" s="56"/>
      <c r="O34" s="61"/>
      <c r="P34" s="9"/>
      <c r="Q34" s="10"/>
      <c r="R34" s="10"/>
      <c r="S34" s="74" t="s">
        <v>53</v>
      </c>
      <c r="T34" s="74"/>
      <c r="U34" s="74"/>
      <c r="V34" s="75"/>
    </row>
    <row r="35" spans="1:22" x14ac:dyDescent="0.25">
      <c r="A35" s="88"/>
      <c r="B35" s="85" t="s">
        <v>40</v>
      </c>
      <c r="C35" s="72">
        <v>1.006</v>
      </c>
      <c r="D35" s="73"/>
      <c r="E35" s="55"/>
      <c r="F35" s="56"/>
      <c r="G35" s="56"/>
      <c r="H35" s="56"/>
      <c r="I35" s="56"/>
      <c r="J35" s="56"/>
      <c r="K35" s="56"/>
      <c r="L35" s="56"/>
      <c r="M35" s="56"/>
      <c r="N35" s="56"/>
      <c r="O35" s="61"/>
      <c r="P35" s="9"/>
      <c r="Q35" s="10"/>
      <c r="R35" s="10"/>
      <c r="S35" s="17" t="s">
        <v>54</v>
      </c>
      <c r="T35" s="15">
        <f>C42</f>
        <v>7.7728623777620971</v>
      </c>
      <c r="U35" s="16">
        <f>T35*0.8</f>
        <v>6.218289902209678</v>
      </c>
      <c r="V35" s="18" t="s">
        <v>55</v>
      </c>
    </row>
    <row r="36" spans="1:22" ht="17.25" x14ac:dyDescent="0.25">
      <c r="A36" s="88"/>
      <c r="B36" s="85" t="s">
        <v>44</v>
      </c>
      <c r="C36" s="72">
        <v>1.202</v>
      </c>
      <c r="D36" s="73"/>
      <c r="E36" s="55"/>
      <c r="F36" s="56"/>
      <c r="G36" s="56"/>
      <c r="H36" s="56"/>
      <c r="I36" s="56"/>
      <c r="J36" s="56"/>
      <c r="K36" s="56"/>
      <c r="L36" s="56"/>
      <c r="M36" s="56"/>
      <c r="N36" s="56"/>
      <c r="O36" s="61"/>
      <c r="P36" s="9"/>
      <c r="Q36" s="10"/>
      <c r="R36" s="10"/>
      <c r="S36" s="10"/>
      <c r="T36" s="10"/>
      <c r="U36" s="10"/>
      <c r="V36" s="11"/>
    </row>
    <row r="37" spans="1:22" ht="17.25" x14ac:dyDescent="0.25">
      <c r="A37" s="88"/>
      <c r="B37" s="82" t="s">
        <v>45</v>
      </c>
      <c r="C37" s="80">
        <f>C29/C35/C36/(C32-C34)</f>
        <v>27.036043053085557</v>
      </c>
      <c r="D37" s="81"/>
      <c r="E37" s="55"/>
      <c r="F37" s="56"/>
      <c r="G37" s="56"/>
      <c r="H37" s="56"/>
      <c r="I37" s="56"/>
      <c r="J37" s="56"/>
      <c r="K37" s="56"/>
      <c r="L37" s="56"/>
      <c r="M37" s="56"/>
      <c r="N37" s="56"/>
      <c r="O37" s="61"/>
      <c r="P37" s="9"/>
      <c r="Q37" s="10"/>
      <c r="R37" s="10"/>
      <c r="S37" s="10"/>
      <c r="T37" s="10"/>
      <c r="U37" s="10"/>
      <c r="V37" s="11"/>
    </row>
    <row r="38" spans="1:22" ht="17.25" x14ac:dyDescent="0.25">
      <c r="A38" s="88"/>
      <c r="B38" s="82" t="s">
        <v>46</v>
      </c>
      <c r="C38" s="80">
        <f>C30/C35/C36/(C31-C34)</f>
        <v>17.721103849921629</v>
      </c>
      <c r="D38" s="81"/>
      <c r="E38" s="55"/>
      <c r="F38" s="56"/>
      <c r="G38" s="56"/>
      <c r="H38" s="56"/>
      <c r="I38" s="56"/>
      <c r="J38" s="56"/>
      <c r="K38" s="56"/>
      <c r="L38" s="56"/>
      <c r="M38" s="56"/>
      <c r="N38" s="56"/>
      <c r="O38" s="61"/>
      <c r="P38" s="9"/>
      <c r="Q38" s="10"/>
      <c r="R38" s="10"/>
      <c r="S38" s="10"/>
      <c r="T38" s="10"/>
      <c r="U38" s="10"/>
      <c r="V38" s="11"/>
    </row>
    <row r="39" spans="1:22" x14ac:dyDescent="0.25">
      <c r="A39" s="88"/>
      <c r="B39" s="35"/>
      <c r="C39" s="93"/>
      <c r="D39" s="93"/>
      <c r="E39" s="1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9"/>
      <c r="Q39" s="10"/>
      <c r="R39" s="10"/>
      <c r="S39" s="10"/>
      <c r="T39" s="10"/>
      <c r="U39" s="10"/>
      <c r="V39" s="11"/>
    </row>
    <row r="40" spans="1:22" x14ac:dyDescent="0.25">
      <c r="A40" s="88"/>
      <c r="B40" s="82" t="s">
        <v>49</v>
      </c>
      <c r="C40" s="72">
        <v>8</v>
      </c>
      <c r="D40" s="73"/>
      <c r="E40" s="55"/>
      <c r="F40" s="56"/>
      <c r="G40" s="56"/>
      <c r="H40" s="56"/>
      <c r="I40" s="56"/>
      <c r="J40" s="56"/>
      <c r="K40" s="56"/>
      <c r="L40" s="56"/>
      <c r="M40" s="56"/>
      <c r="N40" s="56"/>
      <c r="O40" s="61"/>
      <c r="P40" s="9"/>
      <c r="Q40" s="10"/>
      <c r="R40" s="10"/>
      <c r="S40" s="10"/>
      <c r="T40" s="10"/>
      <c r="U40" s="10"/>
      <c r="V40" s="11"/>
    </row>
    <row r="41" spans="1:22" x14ac:dyDescent="0.25">
      <c r="A41" s="88"/>
      <c r="B41" s="82" t="s">
        <v>34</v>
      </c>
      <c r="C41" s="76">
        <v>0.15</v>
      </c>
      <c r="D41" s="77"/>
      <c r="E41" s="55"/>
      <c r="F41" s="56"/>
      <c r="G41" s="56"/>
      <c r="H41" s="56"/>
      <c r="I41" s="56"/>
      <c r="J41" s="56"/>
      <c r="K41" s="56"/>
      <c r="L41" s="56"/>
      <c r="M41" s="56"/>
      <c r="N41" s="56"/>
      <c r="O41" s="61"/>
      <c r="P41" s="9"/>
      <c r="Q41" s="10"/>
      <c r="R41" s="10"/>
      <c r="S41" s="10"/>
      <c r="T41" s="10"/>
      <c r="U41" s="10"/>
      <c r="V41" s="11"/>
    </row>
    <row r="42" spans="1:22" ht="36" customHeight="1" x14ac:dyDescent="0.25">
      <c r="A42" s="88"/>
      <c r="B42" s="87" t="s">
        <v>56</v>
      </c>
      <c r="C42" s="78">
        <f>((MAX(C37:C38)/C40)*(1+C41))*2</f>
        <v>7.7728623777620971</v>
      </c>
      <c r="D42" s="79"/>
      <c r="E42" s="36"/>
      <c r="F42" s="37"/>
      <c r="G42" s="37"/>
      <c r="H42" s="37"/>
      <c r="I42" s="38"/>
      <c r="J42" s="45"/>
      <c r="K42" s="37"/>
      <c r="L42" s="37"/>
      <c r="M42" s="37"/>
      <c r="N42" s="37"/>
      <c r="O42" s="38"/>
      <c r="P42" s="9"/>
      <c r="Q42" s="10"/>
      <c r="R42" s="10"/>
      <c r="S42" s="10"/>
      <c r="T42" s="10"/>
      <c r="U42" s="10"/>
      <c r="V42" s="11"/>
    </row>
    <row r="43" spans="1:22" ht="36" customHeight="1" x14ac:dyDescent="0.25">
      <c r="A43" s="88"/>
      <c r="B43" s="87" t="s">
        <v>59</v>
      </c>
      <c r="C43" s="31">
        <f>C42*0.8</f>
        <v>6.218289902209678</v>
      </c>
      <c r="D43" s="32"/>
      <c r="E43" s="39"/>
      <c r="F43" s="40"/>
      <c r="G43" s="40"/>
      <c r="H43" s="40"/>
      <c r="I43" s="41"/>
      <c r="J43" s="46"/>
      <c r="K43" s="40"/>
      <c r="L43" s="40"/>
      <c r="M43" s="40"/>
      <c r="N43" s="40"/>
      <c r="O43" s="41"/>
      <c r="P43" s="9"/>
      <c r="Q43" s="10"/>
      <c r="R43" s="10"/>
      <c r="S43" s="10"/>
      <c r="T43" s="10"/>
      <c r="U43" s="10"/>
      <c r="V43" s="11"/>
    </row>
    <row r="44" spans="1:22" ht="36" customHeight="1" x14ac:dyDescent="0.25">
      <c r="A44" s="88"/>
      <c r="B44" s="87" t="s">
        <v>57</v>
      </c>
      <c r="C44" s="33">
        <f>SUM(C42:D43)</f>
        <v>13.991152279971775</v>
      </c>
      <c r="D44" s="34"/>
      <c r="E44" s="42"/>
      <c r="F44" s="43"/>
      <c r="G44" s="43"/>
      <c r="H44" s="43"/>
      <c r="I44" s="44"/>
      <c r="J44" s="47"/>
      <c r="K44" s="43"/>
      <c r="L44" s="43"/>
      <c r="M44" s="43"/>
      <c r="N44" s="43"/>
      <c r="O44" s="44"/>
      <c r="P44" s="12"/>
      <c r="Q44" s="13"/>
      <c r="R44" s="13"/>
      <c r="S44" s="13"/>
      <c r="T44" s="13"/>
      <c r="U44" s="13"/>
      <c r="V44" s="14"/>
    </row>
    <row r="45" spans="1:22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</row>
    <row r="46" spans="1:22" ht="3.75" customHeight="1" x14ac:dyDescent="0.25">
      <c r="A46" s="3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</sheetData>
  <mergeCells count="62">
    <mergeCell ref="C40:D40"/>
    <mergeCell ref="C41:D41"/>
    <mergeCell ref="C42:D42"/>
    <mergeCell ref="C34:D34"/>
    <mergeCell ref="C35:D35"/>
    <mergeCell ref="C36:D36"/>
    <mergeCell ref="C37:D37"/>
    <mergeCell ref="C38:D38"/>
    <mergeCell ref="C5:D5"/>
    <mergeCell ref="B2:D3"/>
    <mergeCell ref="B4:C4"/>
    <mergeCell ref="S11:V11"/>
    <mergeCell ref="S34:V34"/>
    <mergeCell ref="C16:D16"/>
    <mergeCell ref="C17:D17"/>
    <mergeCell ref="C19:D19"/>
    <mergeCell ref="C20:D20"/>
    <mergeCell ref="C21:D21"/>
    <mergeCell ref="C12:D12"/>
    <mergeCell ref="B11:C11"/>
    <mergeCell ref="E9:I9"/>
    <mergeCell ref="E2:O2"/>
    <mergeCell ref="E21:I21"/>
    <mergeCell ref="J21:O21"/>
    <mergeCell ref="E19:O20"/>
    <mergeCell ref="E4:O8"/>
    <mergeCell ref="E3:I3"/>
    <mergeCell ref="J3:O3"/>
    <mergeCell ref="E11:O14"/>
    <mergeCell ref="E16:O16"/>
    <mergeCell ref="E17:I17"/>
    <mergeCell ref="J9:O9"/>
    <mergeCell ref="J17:O17"/>
    <mergeCell ref="C7:D7"/>
    <mergeCell ref="C9:D9"/>
    <mergeCell ref="J37:O38"/>
    <mergeCell ref="J36:O36"/>
    <mergeCell ref="J35:O35"/>
    <mergeCell ref="J29:O29"/>
    <mergeCell ref="E34:I34"/>
    <mergeCell ref="J34:O34"/>
    <mergeCell ref="E37:I38"/>
    <mergeCell ref="E36:I36"/>
    <mergeCell ref="E35:I35"/>
    <mergeCell ref="E30:I30"/>
    <mergeCell ref="E29:I29"/>
    <mergeCell ref="E42:I44"/>
    <mergeCell ref="J42:O44"/>
    <mergeCell ref="Q3:U6"/>
    <mergeCell ref="Q28:U30"/>
    <mergeCell ref="B27:D28"/>
    <mergeCell ref="C29:D29"/>
    <mergeCell ref="C30:D30"/>
    <mergeCell ref="C31:D31"/>
    <mergeCell ref="C32:D32"/>
    <mergeCell ref="E27:O27"/>
    <mergeCell ref="E28:I28"/>
    <mergeCell ref="J28:O28"/>
    <mergeCell ref="E31:I32"/>
    <mergeCell ref="J31:O32"/>
    <mergeCell ref="J30:O30"/>
    <mergeCell ref="E40:O41"/>
  </mergeCells>
  <conditionalFormatting sqref="C8">
    <cfRule type="cellIs" dxfId="5" priority="6" stopIfTrue="1" operator="notEqual">
      <formula>"-"</formula>
    </cfRule>
  </conditionalFormatting>
  <conditionalFormatting sqref="D8">
    <cfRule type="cellIs" dxfId="4" priority="5" stopIfTrue="1" operator="notEqual">
      <formula>"-"</formula>
    </cfRule>
  </conditionalFormatting>
  <conditionalFormatting sqref="C13">
    <cfRule type="cellIs" dxfId="3" priority="4" stopIfTrue="1" operator="notEqual">
      <formula>"-"</formula>
    </cfRule>
  </conditionalFormatting>
  <conditionalFormatting sqref="C14">
    <cfRule type="cellIs" dxfId="2" priority="3" stopIfTrue="1" operator="notEqual">
      <formula>"-"</formula>
    </cfRule>
  </conditionalFormatting>
  <conditionalFormatting sqref="D13">
    <cfRule type="cellIs" dxfId="1" priority="2" stopIfTrue="1" operator="notEqual">
      <formula>"-"</formula>
    </cfRule>
  </conditionalFormatting>
  <conditionalFormatting sqref="D14">
    <cfRule type="cellIs" dxfId="0" priority="1" stopIfTrue="1" operator="notEqual">
      <formula>"-"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Lists!$A$20:$A$21</xm:f>
          </x14:formula1>
          <xm:sqref>C7</xm:sqref>
        </x14:dataValidation>
        <x14:dataValidation type="list" allowBlank="1" showInputMessage="1" showErrorMessage="1" xr:uid="{00000000-0002-0000-0000-000001000000}">
          <x14:formula1>
            <xm:f>Lists!$A$23:$A$24</xm:f>
          </x14:formula1>
          <xm:sqref>C12</xm:sqref>
        </x14:dataValidation>
        <x14:dataValidation type="list" allowBlank="1" showInputMessage="1" showErrorMessage="1" xr:uid="{00000000-0002-0000-0000-000002000000}">
          <x14:formula1>
            <xm:f>Lists!$A$2:$A$18</xm:f>
          </x14:formula1>
          <xm:sqref>C6:D6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A49" sqref="A49"/>
    </sheetView>
  </sheetViews>
  <sheetFormatPr defaultRowHeight="15" x14ac:dyDescent="0.25"/>
  <cols>
    <col min="1" max="1" width="48.28515625" bestFit="1" customWidth="1"/>
    <col min="2" max="2" width="35.7109375" customWidth="1"/>
  </cols>
  <sheetData>
    <row r="1" spans="1:4" x14ac:dyDescent="0.25">
      <c r="B1" t="s">
        <v>9</v>
      </c>
      <c r="C1" t="s">
        <v>4</v>
      </c>
      <c r="D1" t="s">
        <v>3</v>
      </c>
    </row>
    <row r="2" spans="1:4" x14ac:dyDescent="0.25">
      <c r="A2" t="s">
        <v>11</v>
      </c>
      <c r="B2">
        <v>0.1</v>
      </c>
      <c r="C2">
        <v>2.5</v>
      </c>
      <c r="D2">
        <v>0.3</v>
      </c>
    </row>
    <row r="3" spans="1:4" x14ac:dyDescent="0.25">
      <c r="A3" t="s">
        <v>10</v>
      </c>
      <c r="B3">
        <v>0.05</v>
      </c>
      <c r="C3">
        <v>2.5</v>
      </c>
      <c r="D3">
        <v>0.3</v>
      </c>
    </row>
    <row r="4" spans="1:4" x14ac:dyDescent="0.25">
      <c r="A4" t="s">
        <v>21</v>
      </c>
      <c r="B4">
        <v>1</v>
      </c>
      <c r="C4">
        <v>3.8</v>
      </c>
      <c r="D4">
        <v>0.3</v>
      </c>
    </row>
    <row r="5" spans="1:4" x14ac:dyDescent="0.25">
      <c r="A5" t="s">
        <v>16</v>
      </c>
      <c r="B5">
        <v>0.25</v>
      </c>
      <c r="C5">
        <v>5</v>
      </c>
      <c r="D5">
        <v>0.6</v>
      </c>
    </row>
    <row r="6" spans="1:4" x14ac:dyDescent="0.25">
      <c r="A6" t="s">
        <v>17</v>
      </c>
      <c r="B6">
        <v>0.35</v>
      </c>
      <c r="C6">
        <v>5</v>
      </c>
      <c r="D6">
        <v>0.6</v>
      </c>
    </row>
    <row r="7" spans="1:4" x14ac:dyDescent="0.25">
      <c r="A7" t="s">
        <v>18</v>
      </c>
      <c r="B7">
        <v>0.65</v>
      </c>
      <c r="C7">
        <v>3.8</v>
      </c>
      <c r="D7">
        <v>0.3</v>
      </c>
    </row>
    <row r="8" spans="1:4" x14ac:dyDescent="0.25">
      <c r="A8" t="s">
        <v>19</v>
      </c>
      <c r="B8">
        <v>1.5</v>
      </c>
      <c r="C8">
        <v>3.8</v>
      </c>
      <c r="D8">
        <v>0.3</v>
      </c>
    </row>
    <row r="9" spans="1:4" x14ac:dyDescent="0.25">
      <c r="A9" t="s">
        <v>20</v>
      </c>
      <c r="B9">
        <v>0.1</v>
      </c>
      <c r="C9">
        <v>2.5</v>
      </c>
      <c r="D9">
        <v>0.6</v>
      </c>
    </row>
    <row r="10" spans="1:4" x14ac:dyDescent="0.25">
      <c r="A10" t="s">
        <v>22</v>
      </c>
      <c r="B10">
        <v>0.25</v>
      </c>
      <c r="C10">
        <v>5</v>
      </c>
      <c r="D10">
        <v>0.9</v>
      </c>
    </row>
    <row r="11" spans="1:4" x14ac:dyDescent="0.25">
      <c r="A11" t="s">
        <v>13</v>
      </c>
      <c r="B11">
        <v>1.5</v>
      </c>
      <c r="C11">
        <v>2.5</v>
      </c>
      <c r="D11">
        <v>0.3</v>
      </c>
    </row>
    <row r="12" spans="1:4" x14ac:dyDescent="0.25">
      <c r="A12" t="s">
        <v>14</v>
      </c>
      <c r="B12">
        <v>0.1</v>
      </c>
      <c r="C12">
        <v>2.5</v>
      </c>
      <c r="D12">
        <v>0.6</v>
      </c>
    </row>
    <row r="13" spans="1:4" x14ac:dyDescent="0.25">
      <c r="A13" t="s">
        <v>15</v>
      </c>
      <c r="B13">
        <v>0.4</v>
      </c>
      <c r="C13">
        <v>3.8</v>
      </c>
      <c r="D13">
        <v>0.3</v>
      </c>
    </row>
    <row r="14" spans="1:4" x14ac:dyDescent="0.25">
      <c r="A14" t="s">
        <v>23</v>
      </c>
      <c r="B14">
        <v>0.15</v>
      </c>
      <c r="C14">
        <v>3.8</v>
      </c>
      <c r="D14">
        <v>0.6</v>
      </c>
    </row>
    <row r="15" spans="1:4" x14ac:dyDescent="0.25">
      <c r="A15" t="s">
        <v>24</v>
      </c>
      <c r="B15">
        <v>0.4</v>
      </c>
      <c r="C15">
        <v>3.8</v>
      </c>
      <c r="D15">
        <v>0.3</v>
      </c>
    </row>
    <row r="16" spans="1:4" x14ac:dyDescent="0.25">
      <c r="A16" t="s">
        <v>25</v>
      </c>
      <c r="B16">
        <v>0.08</v>
      </c>
      <c r="C16">
        <v>3.8</v>
      </c>
      <c r="D16">
        <v>0.3</v>
      </c>
    </row>
    <row r="17" spans="1:4" x14ac:dyDescent="0.25">
      <c r="A17" t="s">
        <v>12</v>
      </c>
      <c r="B17">
        <v>0</v>
      </c>
      <c r="C17">
        <v>0</v>
      </c>
      <c r="D17">
        <v>0.3</v>
      </c>
    </row>
    <row r="18" spans="1:4" x14ac:dyDescent="0.25">
      <c r="A18" t="s">
        <v>5</v>
      </c>
      <c r="B18">
        <v>0.1</v>
      </c>
      <c r="C18">
        <v>2.5</v>
      </c>
      <c r="D18">
        <v>0.3</v>
      </c>
    </row>
    <row r="20" spans="1:4" x14ac:dyDescent="0.25">
      <c r="A20" t="s">
        <v>26</v>
      </c>
    </row>
    <row r="21" spans="1:4" x14ac:dyDescent="0.25">
      <c r="A21" t="s">
        <v>31</v>
      </c>
    </row>
    <row r="23" spans="1:4" x14ac:dyDescent="0.25">
      <c r="A23" t="s">
        <v>29</v>
      </c>
    </row>
    <row r="24" spans="1:4" x14ac:dyDescent="0.25">
      <c r="A2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Irani</dc:creator>
  <cp:lastModifiedBy>Ali Irani</cp:lastModifiedBy>
  <dcterms:created xsi:type="dcterms:W3CDTF">2024-08-06T19:46:33Z</dcterms:created>
  <dcterms:modified xsi:type="dcterms:W3CDTF">2024-10-31T18:32:03Z</dcterms:modified>
</cp:coreProperties>
</file>