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G:\My Drive\Documents\Academic\PhD\MIT\Research\4.401\"/>
    </mc:Choice>
  </mc:AlternateContent>
  <xr:revisionPtr revIDLastSave="0" documentId="13_ncr:1_{84D5713C-2671-4E22-BF55-86D19D1692AE}" xr6:coauthVersionLast="36" xr6:coauthVersionMax="36" xr10:uidLastSave="{00000000-0000-0000-0000-000000000000}"/>
  <bookViews>
    <workbookView xWindow="930" yWindow="0" windowWidth="28800" windowHeight="13080" xr2:uid="{00000000-000D-0000-FFFF-FFFF00000000}"/>
  </bookViews>
  <sheets>
    <sheet name="CALCULATION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P2" i="1"/>
  <c r="B22" i="1"/>
  <c r="B21" i="1"/>
  <c r="B43" i="1"/>
  <c r="B42" i="1"/>
  <c r="C13" i="1" l="1"/>
  <c r="B12" i="1"/>
  <c r="C12" i="1"/>
  <c r="C7" i="1"/>
  <c r="B7" i="1"/>
  <c r="B8" i="1" l="1"/>
  <c r="B37" i="1"/>
  <c r="B36" i="1"/>
  <c r="B13" i="1"/>
  <c r="B15" i="1" l="1"/>
  <c r="B16" i="1" s="1"/>
  <c r="B20" i="1" s="1"/>
  <c r="S11" i="1" s="1"/>
  <c r="T11" i="1" s="1"/>
  <c r="B41" i="1"/>
  <c r="S34" i="1" s="1"/>
  <c r="T34" i="1" s="1"/>
</calcChain>
</file>

<file path=xl/sharedStrings.xml><?xml version="1.0" encoding="utf-8"?>
<sst xmlns="http://schemas.openxmlformats.org/spreadsheetml/2006/main" count="70" uniqueCount="60">
  <si>
    <t>DEDICATED OUTDOOR AIR SYSTEM (DOAS)</t>
  </si>
  <si>
    <t>Program</t>
  </si>
  <si>
    <t>Formula</t>
  </si>
  <si>
    <t>l/s/m2</t>
  </si>
  <si>
    <t>l/s/per</t>
  </si>
  <si>
    <t>Residential - Living Area</t>
  </si>
  <si>
    <t>Occupant Density Method</t>
  </si>
  <si>
    <t>Total People Count</t>
  </si>
  <si>
    <t>Flow Rate Method</t>
  </si>
  <si>
    <t>person/m2</t>
  </si>
  <si>
    <t>Commercial - Office Buliding - Office Space</t>
  </si>
  <si>
    <t>Commercial - Office Buliding - Lobbies and Corridors</t>
  </si>
  <si>
    <t>Residential - Common Corridors</t>
  </si>
  <si>
    <t>Public Assembly - Auditorium Seating</t>
  </si>
  <si>
    <t>Public Assembly - Libraries</t>
  </si>
  <si>
    <t>Public Assembly - Museums</t>
  </si>
  <si>
    <t>Education - Classrooms (5-8)</t>
  </si>
  <si>
    <t>Education - Classrooms (9+)</t>
  </si>
  <si>
    <t>Education - Lecture Classroom</t>
  </si>
  <si>
    <t>Education - Lecture Hall</t>
  </si>
  <si>
    <t>Education - Libraries</t>
  </si>
  <si>
    <t>Education  - Assembly</t>
  </si>
  <si>
    <t>Education - University Laboratory</t>
  </si>
  <si>
    <t>Retail - General</t>
  </si>
  <si>
    <t>Retail - Mall Common Areas</t>
  </si>
  <si>
    <t>Retail - Supermarket</t>
  </si>
  <si>
    <t>ASHRAE 62.1-2022 Occupant Density</t>
  </si>
  <si>
    <t>OCCUPANCY</t>
  </si>
  <si>
    <t>FLOW RATE CALCULATION</t>
  </si>
  <si>
    <t>ASHRAE 62.1-2022 Flow Rates</t>
  </si>
  <si>
    <t>User-Defined Flow Rates</t>
  </si>
  <si>
    <t>User-Defined Occupant Density</t>
  </si>
  <si>
    <r>
      <t>Flow Rate per Area  (l/s/m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</si>
  <si>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Flow Rate per Person (l/s/person)</t>
  </si>
  <si>
    <t>Safety Factor (%)</t>
  </si>
  <si>
    <r>
      <t>Program Area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</si>
  <si>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Dimensional Analysis</t>
  </si>
  <si>
    <r>
      <t xml:space="preserve">ALL-AIR SYSTEM </t>
    </r>
    <r>
      <rPr>
        <sz val="11"/>
        <color theme="1"/>
        <rFont val="Calibri"/>
        <family val="2"/>
        <scheme val="minor"/>
      </rPr>
      <t>(VARIABLE AIR VOLUME OR SIMILAR)</t>
    </r>
  </si>
  <si>
    <t>Peak Heating Load (kW)</t>
  </si>
  <si>
    <t>Peak Cooling Load (kW)</t>
  </si>
  <si>
    <t>Specific Heat Capacity of Air (kJ/kg °C)</t>
  </si>
  <si>
    <r>
      <t>Thermostat Cooling Setpoint (</t>
    </r>
    <r>
      <rPr>
        <b/>
        <sz val="11"/>
        <color theme="1"/>
        <rFont val="Calibri"/>
        <family val="2"/>
      </rPr>
      <t>°C)</t>
    </r>
  </si>
  <si>
    <r>
      <t>Thermostat Heating Setpoint (</t>
    </r>
    <r>
      <rPr>
        <b/>
        <sz val="11"/>
        <color theme="1"/>
        <rFont val="Calibri"/>
        <family val="2"/>
      </rPr>
      <t>°C)</t>
    </r>
  </si>
  <si>
    <r>
      <t>Supply Air Temperature (</t>
    </r>
    <r>
      <rPr>
        <b/>
        <sz val="11"/>
        <color theme="1"/>
        <rFont val="Calibri"/>
        <family val="2"/>
      </rPr>
      <t>°C)</t>
    </r>
  </si>
  <si>
    <r>
      <t>Density of Air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</si>
  <si>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Total Flow Rate in Heating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</si>
  <si>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Total Flow Rate in Cooling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</si>
  <si>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Total Flow Rate (l/s)</t>
  </si>
  <si>
    <r>
      <t>Total Flow Rate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</si>
  <si>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Air Velocity (m/s)</t>
  </si>
  <si>
    <r>
      <t>Occupant Density (person/m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</si>
  <si>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Fresh Air</t>
  </si>
  <si>
    <t>Exhaust Air</t>
  </si>
  <si>
    <r>
      <t>Shaft Area (m</t>
    </r>
    <r>
      <rPr>
        <b/>
        <vertAlign val="super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)</t>
    </r>
  </si>
  <si>
    <t>Supply Air</t>
  </si>
  <si>
    <t>Return Air</t>
  </si>
  <si>
    <r>
      <t>Supply Air Shaft Area Required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</si>
  <si>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Total Air Shaft Area Required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</si>
  <si>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Exhaust Air Shaft Area Required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</si>
  <si>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Return Air Shaft Area Required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
Typically 80% of supply air 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</si>
</sst>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B0F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0" fillId="4" borderId="0" xfId="0" applyFill="1"/>
    <xf numFmtId="0" fontId="0" fillId="0" borderId="0" xfId="0" applyBorder="1"/>
    <xf numFmtId="0" fontId="0" fillId="3" borderId="2" xfId="0" applyFill="1" applyBorder="1" applyAlignment="1">
      <alignment horizontal="left"/>
    </xf>
    <xf numFmtId="0" fontId="0" fillId="0" borderId="3" xfId="0" applyBorder="1"/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8" xfId="0" applyFill="1" applyBorder="1"/>
    <xf numFmtId="0" fontId="0" fillId="5" borderId="9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7" xfId="0" applyFill="1" applyBorder="1"/>
    <xf numFmtId="2" fontId="8" fillId="5" borderId="0" xfId="0" applyNumberFormat="1" applyFont="1" applyFill="1" applyBorder="1"/>
    <xf numFmtId="2" fontId="9" fillId="5" borderId="0" xfId="0" applyNumberFormat="1" applyFont="1" applyFill="1" applyBorder="1"/>
    <xf numFmtId="0" fontId="10" fillId="5" borderId="0" xfId="0" applyFont="1" applyFill="1" applyBorder="1" applyAlignment="1">
      <alignment horizontal="right"/>
    </xf>
    <xf numFmtId="0" fontId="10" fillId="5" borderId="16" xfId="0" applyFont="1" applyFill="1" applyBorder="1"/>
    <xf numFmtId="0" fontId="0" fillId="0" borderId="18" xfId="0" applyBorder="1"/>
    <xf numFmtId="0" fontId="0" fillId="5" borderId="3" xfId="0" applyFill="1" applyBorder="1"/>
    <xf numFmtId="0" fontId="11" fillId="5" borderId="0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9" fontId="0" fillId="0" borderId="2" xfId="1" applyFont="1" applyBorder="1" applyAlignment="1">
      <alignment horizontal="left"/>
    </xf>
    <xf numFmtId="9" fontId="0" fillId="0" borderId="6" xfId="1" applyFon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0" xfId="0" applyFill="1" applyBorder="1"/>
    <xf numFmtId="2" fontId="1" fillId="2" borderId="2" xfId="0" applyNumberFormat="1" applyFont="1" applyFill="1" applyBorder="1" applyAlignment="1">
      <alignment horizontal="left"/>
    </xf>
    <xf numFmtId="2" fontId="1" fillId="2" borderId="6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2" fontId="1" fillId="2" borderId="6" xfId="0" applyNumberFormat="1" applyFont="1" applyFill="1" applyBorder="1" applyAlignment="1">
      <alignment horizontal="left"/>
    </xf>
    <xf numFmtId="2" fontId="1" fillId="2" borderId="11" xfId="0" applyNumberFormat="1" applyFont="1" applyFill="1" applyBorder="1" applyAlignment="1">
      <alignment horizontal="left"/>
    </xf>
    <xf numFmtId="2" fontId="1" fillId="2" borderId="13" xfId="0" applyNumberFormat="1" applyFont="1" applyFill="1" applyBorder="1" applyAlignment="1">
      <alignment horizontal="left"/>
    </xf>
    <xf numFmtId="0" fontId="4" fillId="5" borderId="0" xfId="0" applyFont="1" applyFill="1" applyBorder="1" applyAlignment="1">
      <alignment horizontal="center" vertical="center" wrapText="1"/>
    </xf>
    <xf numFmtId="0" fontId="0" fillId="5" borderId="0" xfId="0" applyFill="1"/>
  </cellXfs>
  <cellStyles count="2">
    <cellStyle name="Normal" xfId="0" builtinId="0"/>
    <cellStyle name="Percent" xfId="1" builtinId="5"/>
  </cellStyles>
  <dxfs count="6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7</xdr:row>
      <xdr:rowOff>152400</xdr:rowOff>
    </xdr:from>
    <xdr:ext cx="291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29350" y="1762125"/>
              <a:ext cx="291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𝑂𝑐𝑐𝑢𝑝𝑎𝑛𝑡𝑠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𝑂𝑐𝑐𝑢𝑝𝑎𝑛𝑡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𝐷𝑒𝑛𝑠𝑖𝑡𝑦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𝐴𝑟𝑒𝑎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229350" y="1762125"/>
              <a:ext cx="291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𝑇𝑜𝑡𝑎𝑙 𝑂𝑐𝑐𝑢𝑝𝑎𝑛𝑡𝑠=𝑂𝑐𝑐𝑢𝑝𝑎𝑛𝑡 𝐷𝑒𝑛𝑠𝑖𝑡𝑦 ∗ 𝐴𝑟𝑒𝑎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104775</xdr:colOff>
      <xdr:row>7</xdr:row>
      <xdr:rowOff>95250</xdr:rowOff>
    </xdr:from>
    <xdr:ext cx="3524250" cy="2898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9286875" y="1704975"/>
              <a:ext cx="35242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𝑝𝑒𝑜𝑝𝑙𝑒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𝑝𝑒𝑟𝑠𝑜𝑛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286875" y="1704975"/>
              <a:ext cx="35242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𝑡𝑜𝑡𝑎𝑙 𝑝𝑒𝑜𝑝𝑙𝑒=𝑝𝑒𝑟𝑠𝑜𝑛/𝑚^2   ∗ 𝑚^2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104775</xdr:colOff>
      <xdr:row>15</xdr:row>
      <xdr:rowOff>142873</xdr:rowOff>
    </xdr:from>
    <xdr:ext cx="28289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6238875" y="3981448"/>
              <a:ext cx="28289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𝑎𝑟𝑒𝑎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𝐴𝑟𝑒𝑎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)+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𝑝𝑒𝑜𝑝𝑙𝑒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𝑃𝑒𝑜𝑝𝑙𝑒</m:t>
                  </m:r>
                </m:oMath>
              </a14:m>
              <a:r>
                <a:rPr lang="en-US" sz="1100" b="0"/>
                <a:t>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8875" y="3981448"/>
              <a:ext cx="28289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 〖(𝑄〗_(𝑎𝑟𝑒𝑎 )∗ 𝐴𝑟𝑒𝑎)+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𝑄〗_(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𝑝𝑒𝑜𝑝𝑙𝑒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𝑃𝑒𝑜𝑝𝑙𝑒</a:t>
              </a:r>
              <a:r>
                <a:rPr lang="en-US" sz="1100" b="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171450</xdr:colOff>
      <xdr:row>15</xdr:row>
      <xdr:rowOff>85723</xdr:rowOff>
    </xdr:from>
    <xdr:ext cx="3371850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9353550" y="3924298"/>
              <a:ext cx="3371850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∙</m:t>
                          </m:r>
                          <m:sSup>
                            <m:sSup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𝑚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 b="0"/>
                <a:t>+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∙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𝑝𝑒𝑟𝑠𝑜𝑛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𝑝𝑒𝑜𝑝𝑙𝑒</m:t>
                      </m:r>
                    </m:e>
                  </m:d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𝑙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∙1000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353550" y="3924298"/>
              <a:ext cx="3371850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𝑙/𝑠=(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𝑙/(𝑠 ∙𝑚^2 )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𝑚^2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/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(𝑙/(𝑠 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𝑝𝑒𝑟𝑠𝑜𝑛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𝑝𝑒𝑜𝑝𝑙𝑒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𝑙/(𝑠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∙1000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  𝑚^3/𝑠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28576</xdr:colOff>
      <xdr:row>19</xdr:row>
      <xdr:rowOff>123823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162676" y="499109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𝑆𝐹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162676" y="499109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𝑄_𝑡𝑜𝑡𝑎𝑙=𝑣 ∗ 𝐴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47625</xdr:colOff>
      <xdr:row>19</xdr:row>
      <xdr:rowOff>76198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</m:oMath>
              </a14:m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∗(1+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𝑚^3/𝑠=  𝑚/𝑠∗</a:t>
              </a:r>
              <a:r>
                <a:rPr lang="en-US" sz="1100" b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𝑚^2 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38101</xdr:colOff>
      <xdr:row>40</xdr:row>
      <xdr:rowOff>152398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172201" y="862964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𝑆𝐹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172201" y="862964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𝑄_𝑡𝑜𝑡𝑎𝑙=𝑣 ∗ 𝐴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47625</xdr:colOff>
      <xdr:row>40</xdr:row>
      <xdr:rowOff>76198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</m:oMath>
              </a14:m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∗(1+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𝑚^3/𝑠=  𝑚/𝑠∗</a:t>
              </a:r>
              <a:r>
                <a:rPr lang="en-US" sz="1100" b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𝑚^2 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28575</xdr:colOff>
      <xdr:row>35</xdr:row>
      <xdr:rowOff>123825</xdr:rowOff>
    </xdr:from>
    <xdr:ext cx="300990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162675" y="7810500"/>
              <a:ext cx="300990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𝑇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162675" y="7810500"/>
              <a:ext cx="300990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𝑡𝑜𝑡𝑎𝑙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∗∆𝑇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9525</xdr:colOff>
      <xdr:row>27</xdr:row>
      <xdr:rowOff>9526</xdr:rowOff>
    </xdr:from>
    <xdr:ext cx="3038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143625" y="6143626"/>
              <a:ext cx="3038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Heating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Load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6143626"/>
              <a:ext cx="3038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  (Heating Load)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1</xdr:colOff>
      <xdr:row>28</xdr:row>
      <xdr:rowOff>9526</xdr:rowOff>
    </xdr:from>
    <xdr:ext cx="3048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134101" y="6334126"/>
              <a:ext cx="304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Cooling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Load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134101" y="6334126"/>
              <a:ext cx="304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  (Cooling Load)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19051</xdr:colOff>
      <xdr:row>32</xdr:row>
      <xdr:rowOff>180976</xdr:rowOff>
    </xdr:from>
    <xdr:ext cx="30099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6153151" y="7267576"/>
              <a:ext cx="30099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153151" y="7267576"/>
              <a:ext cx="30099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0</xdr:colOff>
      <xdr:row>33</xdr:row>
      <xdr:rowOff>171450</xdr:rowOff>
    </xdr:from>
    <xdr:ext cx="303847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6134100" y="7448550"/>
              <a:ext cx="30384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134100" y="7448550"/>
              <a:ext cx="30384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𝑐_𝑝 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</xdr:col>
      <xdr:colOff>19050</xdr:colOff>
      <xdr:row>35</xdr:row>
      <xdr:rowOff>57148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9201150" y="774382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𝑘𝑊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𝑘𝐽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𝑘𝐽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𝑘𝑔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∙℃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𝑘𝑔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∗℃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9201150" y="774382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𝑘𝑊=𝑘𝐽/𝑠=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𝑘𝐽/(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∗𝑘𝑔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∗𝑚^3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℃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38100</xdr:colOff>
      <xdr:row>32</xdr:row>
      <xdr:rowOff>9525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172200" y="7096125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𝑇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Setpoint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−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Supply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Air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Temperature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172200" y="7096125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∆𝑇=Setpoint −Supply Air Temperature</a:t>
              </a:r>
              <a:endParaRPr lang="en-US" sz="1100" b="0"/>
            </a:p>
          </xdr:txBody>
        </xdr:sp>
      </mc:Fallback>
    </mc:AlternateContent>
    <xdr:clientData/>
  </xdr:oneCellAnchor>
  <xdr:twoCellAnchor editAs="oneCell">
    <xdr:from>
      <xdr:col>14</xdr:col>
      <xdr:colOff>100527</xdr:colOff>
      <xdr:row>11</xdr:row>
      <xdr:rowOff>21979</xdr:rowOff>
    </xdr:from>
    <xdr:to>
      <xdr:col>20</xdr:col>
      <xdr:colOff>548101</xdr:colOff>
      <xdr:row>19</xdr:row>
      <xdr:rowOff>410596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7585" y="2447191"/>
          <a:ext cx="3651351" cy="2205693"/>
        </a:xfrm>
        <a:prstGeom prst="rect">
          <a:avLst/>
        </a:prstGeom>
      </xdr:spPr>
    </xdr:pic>
    <xdr:clientData/>
  </xdr:twoCellAnchor>
  <xdr:twoCellAnchor editAs="oneCell">
    <xdr:from>
      <xdr:col>14</xdr:col>
      <xdr:colOff>99359</xdr:colOff>
      <xdr:row>34</xdr:row>
      <xdr:rowOff>37041</xdr:rowOff>
    </xdr:from>
    <xdr:to>
      <xdr:col>20</xdr:col>
      <xdr:colOff>588351</xdr:colOff>
      <xdr:row>42</xdr:row>
      <xdr:rowOff>175935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69"/>
        <a:stretch/>
      </xdr:blipFill>
      <xdr:spPr>
        <a:xfrm>
          <a:off x="12615209" y="7809441"/>
          <a:ext cx="3698917" cy="228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zoomScaleNormal="100" workbookViewId="0">
      <selection activeCell="V25" sqref="V25"/>
    </sheetView>
  </sheetViews>
  <sheetFormatPr defaultRowHeight="15" x14ac:dyDescent="0.25"/>
  <cols>
    <col min="1" max="1" width="43.7109375" bestFit="1" customWidth="1"/>
    <col min="2" max="3" width="21.7109375" customWidth="1"/>
    <col min="18" max="18" width="10.5703125" customWidth="1"/>
    <col min="19" max="19" width="4.85546875" customWidth="1"/>
    <col min="20" max="20" width="5.28515625" customWidth="1"/>
    <col min="21" max="21" width="10.28515625" customWidth="1"/>
  </cols>
  <sheetData>
    <row r="1" spans="1:21" x14ac:dyDescent="0.25">
      <c r="A1" s="41" t="s">
        <v>0</v>
      </c>
      <c r="B1" s="42"/>
      <c r="C1" s="43"/>
      <c r="D1" s="49"/>
      <c r="E1" s="50"/>
      <c r="F1" s="50"/>
      <c r="G1" s="50"/>
      <c r="H1" s="50"/>
      <c r="I1" s="50"/>
      <c r="J1" s="50"/>
      <c r="K1" s="50"/>
      <c r="L1" s="50"/>
      <c r="M1" s="50"/>
      <c r="N1" s="51"/>
      <c r="O1" s="17"/>
      <c r="P1" s="17"/>
      <c r="Q1" s="17"/>
      <c r="R1" s="17"/>
      <c r="S1" s="17"/>
      <c r="T1" s="17"/>
      <c r="U1" s="18"/>
    </row>
    <row r="2" spans="1:21" ht="15" customHeight="1" x14ac:dyDescent="0.25">
      <c r="A2" s="44"/>
      <c r="B2" s="45"/>
      <c r="C2" s="46"/>
      <c r="D2" s="52" t="s">
        <v>2</v>
      </c>
      <c r="E2" s="47"/>
      <c r="F2" s="47"/>
      <c r="G2" s="47"/>
      <c r="H2" s="47"/>
      <c r="I2" s="53" t="s">
        <v>36</v>
      </c>
      <c r="J2" s="54"/>
      <c r="K2" s="54"/>
      <c r="L2" s="54"/>
      <c r="M2" s="54"/>
      <c r="N2" s="55"/>
      <c r="P2" s="94" t="str">
        <f>IF(B22&gt;B43,"Shafts for the dedicated outdoor air system are larger than shafts for the all-air system","Shafts for the all-air system are larger than shafts for the dedicated outdoor air system")</f>
        <v>Shafts for the all-air system are larger than shafts for the dedicated outdoor air system</v>
      </c>
      <c r="Q2" s="94"/>
      <c r="R2" s="94"/>
      <c r="S2" s="94"/>
      <c r="T2" s="94"/>
      <c r="U2" s="21"/>
    </row>
    <row r="3" spans="1:21" x14ac:dyDescent="0.25">
      <c r="A3" s="47" t="s">
        <v>27</v>
      </c>
      <c r="B3" s="48"/>
      <c r="C3" s="11"/>
      <c r="D3" s="49"/>
      <c r="E3" s="50"/>
      <c r="F3" s="50"/>
      <c r="G3" s="50"/>
      <c r="H3" s="50"/>
      <c r="I3" s="50"/>
      <c r="J3" s="50"/>
      <c r="K3" s="50"/>
      <c r="L3" s="50"/>
      <c r="M3" s="50"/>
      <c r="N3" s="51"/>
      <c r="O3" s="20"/>
      <c r="P3" s="94"/>
      <c r="Q3" s="94"/>
      <c r="R3" s="94"/>
      <c r="S3" s="94"/>
      <c r="T3" s="94"/>
      <c r="U3" s="21"/>
    </row>
    <row r="4" spans="1:21" ht="17.25" x14ac:dyDescent="0.25">
      <c r="A4" s="1" t="s">
        <v>35</v>
      </c>
      <c r="B4" s="39">
        <v>5000</v>
      </c>
      <c r="C4" s="40"/>
      <c r="D4" s="49"/>
      <c r="E4" s="50"/>
      <c r="F4" s="50"/>
      <c r="G4" s="50"/>
      <c r="H4" s="50"/>
      <c r="I4" s="50"/>
      <c r="J4" s="50"/>
      <c r="K4" s="50"/>
      <c r="L4" s="50"/>
      <c r="M4" s="50"/>
      <c r="N4" s="51"/>
      <c r="O4" s="20"/>
      <c r="P4" s="94"/>
      <c r="Q4" s="94"/>
      <c r="R4" s="94"/>
      <c r="S4" s="94"/>
      <c r="T4" s="94"/>
      <c r="U4" s="21"/>
    </row>
    <row r="5" spans="1:21" x14ac:dyDescent="0.25">
      <c r="A5" s="1" t="s">
        <v>1</v>
      </c>
      <c r="B5" s="8" t="s">
        <v>23</v>
      </c>
      <c r="C5" s="12"/>
      <c r="D5" s="49"/>
      <c r="E5" s="50"/>
      <c r="F5" s="50"/>
      <c r="G5" s="50"/>
      <c r="H5" s="50"/>
      <c r="I5" s="50"/>
      <c r="J5" s="50"/>
      <c r="K5" s="50"/>
      <c r="L5" s="50"/>
      <c r="M5" s="50"/>
      <c r="N5" s="51"/>
      <c r="O5" s="20"/>
      <c r="P5" s="94"/>
      <c r="Q5" s="94"/>
      <c r="R5" s="94"/>
      <c r="S5" s="94"/>
      <c r="T5" s="94"/>
      <c r="U5" s="21"/>
    </row>
    <row r="6" spans="1:21" x14ac:dyDescent="0.25">
      <c r="A6" s="1" t="s">
        <v>6</v>
      </c>
      <c r="B6" s="39" t="s">
        <v>26</v>
      </c>
      <c r="C6" s="40"/>
      <c r="D6" s="49"/>
      <c r="E6" s="50"/>
      <c r="F6" s="50"/>
      <c r="G6" s="50"/>
      <c r="H6" s="50"/>
      <c r="I6" s="50"/>
      <c r="J6" s="50"/>
      <c r="K6" s="50"/>
      <c r="L6" s="50"/>
      <c r="M6" s="50"/>
      <c r="N6" s="51"/>
      <c r="O6" s="20"/>
      <c r="P6" s="20"/>
      <c r="Q6" s="20"/>
      <c r="R6" s="20"/>
      <c r="S6" s="20"/>
      <c r="T6" s="20"/>
      <c r="U6" s="21"/>
    </row>
    <row r="7" spans="1:21" ht="17.25" x14ac:dyDescent="0.25">
      <c r="A7" s="3" t="s">
        <v>50</v>
      </c>
      <c r="B7" s="13">
        <f>IF(B6="ASHRAE 62.1-2022 Occupant Density",VLOOKUP(B5,Lists!A1:D18,2),"-")</f>
        <v>0.15</v>
      </c>
      <c r="C7" s="14" t="str">
        <f>IF(B6="ASHRAE 62.1-2022 Occupant Density","-",)</f>
        <v>-</v>
      </c>
      <c r="D7" s="49"/>
      <c r="E7" s="50"/>
      <c r="F7" s="50"/>
      <c r="G7" s="50"/>
      <c r="H7" s="50"/>
      <c r="I7" s="50"/>
      <c r="J7" s="50"/>
      <c r="K7" s="50"/>
      <c r="L7" s="50"/>
      <c r="M7" s="50"/>
      <c r="N7" s="51"/>
      <c r="O7" s="20"/>
      <c r="P7" s="20"/>
      <c r="Q7" s="20"/>
      <c r="R7" s="20"/>
      <c r="S7" s="20"/>
      <c r="T7" s="20"/>
      <c r="U7" s="21"/>
    </row>
    <row r="8" spans="1:21" ht="36" customHeight="1" x14ac:dyDescent="0.25">
      <c r="A8" s="2" t="s">
        <v>7</v>
      </c>
      <c r="B8" s="33">
        <f>IF(B6="ASHRAE 62.1-2022 Occupant Density",B7*B4,C7*B4)</f>
        <v>750</v>
      </c>
      <c r="C8" s="34"/>
      <c r="D8" s="49"/>
      <c r="E8" s="50"/>
      <c r="F8" s="50"/>
      <c r="G8" s="50"/>
      <c r="H8" s="50"/>
      <c r="I8" s="56"/>
      <c r="J8" s="56"/>
      <c r="K8" s="56"/>
      <c r="L8" s="56"/>
      <c r="M8" s="56"/>
      <c r="N8" s="57"/>
      <c r="O8" s="20"/>
      <c r="P8" s="20"/>
      <c r="Q8" s="20"/>
      <c r="R8" s="20"/>
      <c r="S8" s="20"/>
      <c r="T8" s="20"/>
      <c r="U8" s="21"/>
    </row>
    <row r="9" spans="1:21" x14ac:dyDescent="0.25"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30"/>
      <c r="P9" s="20"/>
      <c r="Q9" s="20"/>
      <c r="R9" s="20"/>
      <c r="S9" s="20"/>
      <c r="T9" s="20"/>
      <c r="U9" s="21"/>
    </row>
    <row r="10" spans="1:21" ht="15.75" x14ac:dyDescent="0.25">
      <c r="A10" s="47" t="s">
        <v>28</v>
      </c>
      <c r="B10" s="48"/>
      <c r="C10" s="11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1"/>
      <c r="O10" s="20"/>
      <c r="P10" s="20"/>
      <c r="Q10" s="20"/>
      <c r="R10" s="31" t="s">
        <v>53</v>
      </c>
      <c r="S10" s="31"/>
      <c r="T10" s="31"/>
      <c r="U10" s="32"/>
    </row>
    <row r="11" spans="1:21" x14ac:dyDescent="0.25">
      <c r="A11" s="5" t="s">
        <v>8</v>
      </c>
      <c r="B11" s="39" t="s">
        <v>29</v>
      </c>
      <c r="C11" s="40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1"/>
      <c r="O11" s="20"/>
      <c r="P11" s="20"/>
      <c r="Q11" s="20"/>
      <c r="R11" s="27" t="s">
        <v>51</v>
      </c>
      <c r="S11" s="25">
        <f>B20</f>
        <v>1.6818749999999998</v>
      </c>
      <c r="T11" s="26">
        <f>S11</f>
        <v>1.6818749999999998</v>
      </c>
      <c r="U11" s="28" t="s">
        <v>52</v>
      </c>
    </row>
    <row r="12" spans="1:21" ht="17.25" x14ac:dyDescent="0.25">
      <c r="A12" s="4" t="s">
        <v>32</v>
      </c>
      <c r="B12" s="13">
        <f>IF(B11="ASHRAE 62.1-2022 Flow Rates",VLOOKUP(B5,Lists!A1:D18,4),"-")</f>
        <v>0.6</v>
      </c>
      <c r="C12" s="14" t="str">
        <f>IF(B11="ASHRAE 62.1-2022 Flow Rates","-",)</f>
        <v>-</v>
      </c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20"/>
      <c r="P12" s="20"/>
      <c r="Q12" s="20"/>
      <c r="R12" s="20"/>
      <c r="S12" s="20"/>
      <c r="T12" s="20"/>
      <c r="U12" s="21"/>
    </row>
    <row r="13" spans="1:21" x14ac:dyDescent="0.25">
      <c r="A13" s="4" t="s">
        <v>33</v>
      </c>
      <c r="B13" s="13">
        <f>IF(B11="ASHRAE 62.1-2022 Flow Rates",VLOOKUP(B5,Lists!A1:D18,3),"-")</f>
        <v>3.8</v>
      </c>
      <c r="C13" s="14" t="str">
        <f>IF(B11="ASHRAE 62.1-2022 Flow Rates","-",)</f>
        <v>-</v>
      </c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20"/>
      <c r="P13" s="20"/>
      <c r="Q13" s="20"/>
      <c r="R13" s="20"/>
      <c r="S13" s="20"/>
      <c r="T13" s="20"/>
      <c r="U13" s="21"/>
    </row>
    <row r="14" spans="1:21" x14ac:dyDescent="0.25">
      <c r="D14" s="9"/>
      <c r="E14" s="7"/>
      <c r="F14" s="7"/>
      <c r="G14" s="7"/>
      <c r="H14" s="7"/>
      <c r="I14" s="7"/>
      <c r="J14" s="7"/>
      <c r="K14" s="7"/>
      <c r="L14" s="7"/>
      <c r="M14" s="7"/>
      <c r="N14" s="29"/>
      <c r="O14" s="20"/>
      <c r="P14" s="20"/>
      <c r="Q14" s="20"/>
      <c r="R14" s="20"/>
      <c r="S14" s="20"/>
      <c r="T14" s="20"/>
      <c r="U14" s="21"/>
    </row>
    <row r="15" spans="1:21" x14ac:dyDescent="0.25">
      <c r="A15" s="1" t="s">
        <v>47</v>
      </c>
      <c r="B15" s="33">
        <f>IF(B11="ASHRAE 62.1-2022 Flow Rates",(B12*B4)+(B13*B8),(C12*B4)+(C13*B8))</f>
        <v>5850</v>
      </c>
      <c r="C15" s="34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1"/>
      <c r="O15" s="20"/>
      <c r="P15" s="20"/>
      <c r="Q15" s="20"/>
      <c r="R15" s="20"/>
      <c r="S15" s="20"/>
      <c r="T15" s="20"/>
      <c r="U15" s="21"/>
    </row>
    <row r="16" spans="1:21" ht="36" customHeight="1" x14ac:dyDescent="0.25">
      <c r="A16" s="1" t="s">
        <v>48</v>
      </c>
      <c r="B16" s="33">
        <f>B15/1000</f>
        <v>5.85</v>
      </c>
      <c r="C16" s="34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1"/>
      <c r="O16" s="20"/>
      <c r="P16" s="20"/>
      <c r="Q16" s="20"/>
      <c r="R16" s="20"/>
      <c r="S16" s="20"/>
      <c r="T16" s="20"/>
      <c r="U16" s="21"/>
    </row>
    <row r="17" spans="1:21" x14ac:dyDescent="0.25">
      <c r="D17" s="9"/>
      <c r="E17" s="7"/>
      <c r="F17" s="7"/>
      <c r="G17" s="7"/>
      <c r="H17" s="7"/>
      <c r="I17" s="7"/>
      <c r="J17" s="7"/>
      <c r="K17" s="7"/>
      <c r="L17" s="7"/>
      <c r="M17" s="7"/>
      <c r="N17" s="29"/>
      <c r="O17" s="20"/>
      <c r="P17" s="20"/>
      <c r="Q17" s="20"/>
      <c r="R17" s="20"/>
      <c r="S17" s="20"/>
      <c r="T17" s="20"/>
      <c r="U17" s="21"/>
    </row>
    <row r="18" spans="1:21" x14ac:dyDescent="0.25">
      <c r="A18" s="1" t="s">
        <v>49</v>
      </c>
      <c r="B18" s="33">
        <v>8</v>
      </c>
      <c r="C18" s="34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1"/>
      <c r="O18" s="20"/>
      <c r="P18" s="20"/>
      <c r="Q18" s="20"/>
      <c r="R18" s="20"/>
      <c r="S18" s="20"/>
      <c r="T18" s="20"/>
      <c r="U18" s="21"/>
    </row>
    <row r="19" spans="1:21" x14ac:dyDescent="0.25">
      <c r="A19" s="1" t="s">
        <v>34</v>
      </c>
      <c r="B19" s="35">
        <v>0.15</v>
      </c>
      <c r="C19" s="36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1"/>
      <c r="O19" s="20"/>
      <c r="P19" s="20"/>
      <c r="Q19" s="20"/>
      <c r="R19" s="20"/>
      <c r="S19" s="20"/>
      <c r="T19" s="20"/>
      <c r="U19" s="21"/>
    </row>
    <row r="20" spans="1:21" ht="36" customHeight="1" x14ac:dyDescent="0.25">
      <c r="A20" s="10" t="s">
        <v>56</v>
      </c>
      <c r="B20" s="88">
        <f>((B16/B18)*(1+B19))*2</f>
        <v>1.6818749999999998</v>
      </c>
      <c r="C20" s="89"/>
      <c r="D20" s="74"/>
      <c r="E20" s="75"/>
      <c r="F20" s="75"/>
      <c r="G20" s="75"/>
      <c r="H20" s="75"/>
      <c r="I20" s="81"/>
      <c r="J20" s="81"/>
      <c r="K20" s="81"/>
      <c r="L20" s="81"/>
      <c r="M20" s="81"/>
      <c r="N20" s="82"/>
      <c r="O20" s="30"/>
      <c r="P20" s="20"/>
      <c r="Q20" s="20"/>
      <c r="R20" s="20"/>
      <c r="S20" s="20"/>
      <c r="T20" s="20"/>
      <c r="U20" s="21"/>
    </row>
    <row r="21" spans="1:21" ht="36" customHeight="1" x14ac:dyDescent="0.25">
      <c r="A21" s="10" t="s">
        <v>58</v>
      </c>
      <c r="B21" s="90">
        <f>B20</f>
        <v>1.6818749999999998</v>
      </c>
      <c r="C21" s="91"/>
      <c r="D21" s="76"/>
      <c r="E21" s="73"/>
      <c r="F21" s="73"/>
      <c r="G21" s="73"/>
      <c r="H21" s="77"/>
      <c r="I21" s="83"/>
      <c r="J21" s="73"/>
      <c r="K21" s="73"/>
      <c r="L21" s="73"/>
      <c r="M21" s="73"/>
      <c r="N21" s="84"/>
      <c r="O21" s="30"/>
      <c r="P21" s="20"/>
      <c r="Q21" s="20"/>
      <c r="R21" s="20"/>
      <c r="S21" s="20"/>
      <c r="T21" s="20"/>
      <c r="U21" s="21"/>
    </row>
    <row r="22" spans="1:21" ht="36" customHeight="1" x14ac:dyDescent="0.25">
      <c r="A22" s="10" t="s">
        <v>57</v>
      </c>
      <c r="B22" s="92">
        <f>SUM(B20:C21)</f>
        <v>3.3637499999999996</v>
      </c>
      <c r="C22" s="93"/>
      <c r="D22" s="78"/>
      <c r="E22" s="79"/>
      <c r="F22" s="79"/>
      <c r="G22" s="79"/>
      <c r="H22" s="80"/>
      <c r="I22" s="85"/>
      <c r="J22" s="79"/>
      <c r="K22" s="79"/>
      <c r="L22" s="79"/>
      <c r="M22" s="79"/>
      <c r="N22" s="86"/>
      <c r="O22" s="87"/>
      <c r="P22" s="23"/>
      <c r="Q22" s="23"/>
      <c r="R22" s="23"/>
      <c r="S22" s="23"/>
      <c r="T22" s="23"/>
      <c r="U22" s="24"/>
    </row>
    <row r="24" spans="1:21" ht="3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6" spans="1:21" x14ac:dyDescent="0.25">
      <c r="A26" s="41" t="s">
        <v>37</v>
      </c>
      <c r="B26" s="42"/>
      <c r="C26" s="43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16"/>
      <c r="P26" s="17"/>
      <c r="Q26" s="17"/>
      <c r="R26" s="17"/>
      <c r="S26" s="17"/>
      <c r="T26" s="17"/>
      <c r="U26" s="18"/>
    </row>
    <row r="27" spans="1:21" x14ac:dyDescent="0.25">
      <c r="A27" s="44"/>
      <c r="B27" s="45"/>
      <c r="C27" s="46"/>
      <c r="D27" s="52" t="s">
        <v>2</v>
      </c>
      <c r="E27" s="47"/>
      <c r="F27" s="47"/>
      <c r="G27" s="47"/>
      <c r="H27" s="47"/>
      <c r="I27" s="53" t="s">
        <v>36</v>
      </c>
      <c r="J27" s="54"/>
      <c r="K27" s="54"/>
      <c r="L27" s="54"/>
      <c r="M27" s="54"/>
      <c r="N27" s="54"/>
      <c r="O27" s="19"/>
      <c r="P27" s="94" t="str">
        <f>IF(B22&gt;B43,"Shafts for the dedicated outdoor air system are larger than shafts for the all-air system","Shafts for the all-air system are larger than shafts for the dedicated outdoor air system")</f>
        <v>Shafts for the all-air system are larger than shafts for the dedicated outdoor air system</v>
      </c>
      <c r="Q27" s="94"/>
      <c r="R27" s="94"/>
      <c r="S27" s="94"/>
      <c r="T27" s="94"/>
      <c r="U27" s="21"/>
    </row>
    <row r="28" spans="1:21" x14ac:dyDescent="0.25">
      <c r="A28" s="5" t="s">
        <v>38</v>
      </c>
      <c r="B28" s="59">
        <v>100</v>
      </c>
      <c r="C28" s="60"/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19"/>
      <c r="P28" s="94"/>
      <c r="Q28" s="94"/>
      <c r="R28" s="94"/>
      <c r="S28" s="94"/>
      <c r="T28" s="94"/>
      <c r="U28" s="21"/>
    </row>
    <row r="29" spans="1:21" x14ac:dyDescent="0.25">
      <c r="A29" s="5" t="s">
        <v>39</v>
      </c>
      <c r="B29" s="59">
        <v>150</v>
      </c>
      <c r="C29" s="60"/>
      <c r="D29" s="49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19"/>
      <c r="P29" s="94"/>
      <c r="Q29" s="94"/>
      <c r="R29" s="94"/>
      <c r="S29" s="94"/>
      <c r="T29" s="94"/>
      <c r="U29" s="21"/>
    </row>
    <row r="30" spans="1:21" x14ac:dyDescent="0.25">
      <c r="A30" s="5" t="s">
        <v>41</v>
      </c>
      <c r="B30" s="59">
        <v>24</v>
      </c>
      <c r="C30" s="60"/>
      <c r="D30" s="49"/>
      <c r="E30" s="50"/>
      <c r="F30" s="50"/>
      <c r="G30" s="50"/>
      <c r="H30" s="50"/>
      <c r="I30" s="50"/>
      <c r="J30" s="50"/>
      <c r="K30" s="50"/>
      <c r="L30" s="50"/>
      <c r="M30" s="50"/>
      <c r="N30" s="58"/>
      <c r="O30" s="19"/>
      <c r="P30" s="20"/>
      <c r="Q30" s="20"/>
      <c r="R30" s="95"/>
      <c r="S30" s="95"/>
      <c r="T30" s="95"/>
      <c r="U30" s="21"/>
    </row>
    <row r="31" spans="1:21" x14ac:dyDescent="0.25">
      <c r="A31" s="5" t="s">
        <v>42</v>
      </c>
      <c r="B31" s="59">
        <v>18</v>
      </c>
      <c r="C31" s="60"/>
      <c r="D31" s="49"/>
      <c r="E31" s="50"/>
      <c r="F31" s="50"/>
      <c r="G31" s="50"/>
      <c r="H31" s="50"/>
      <c r="I31" s="50"/>
      <c r="J31" s="50"/>
      <c r="K31" s="50"/>
      <c r="L31" s="50"/>
      <c r="M31" s="50"/>
      <c r="N31" s="58"/>
      <c r="O31" s="19"/>
      <c r="P31" s="20"/>
      <c r="Q31" s="20"/>
      <c r="R31" s="95"/>
      <c r="S31" s="95"/>
      <c r="T31" s="95"/>
      <c r="U31" s="21"/>
    </row>
    <row r="32" spans="1:21" x14ac:dyDescent="0.25">
      <c r="B32" s="15"/>
      <c r="C32" s="15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19"/>
      <c r="P32" s="20"/>
      <c r="Q32" s="20"/>
      <c r="R32" s="20"/>
      <c r="S32" s="20"/>
      <c r="T32" s="20"/>
      <c r="U32" s="21"/>
    </row>
    <row r="33" spans="1:21" ht="15.75" x14ac:dyDescent="0.25">
      <c r="A33" s="5" t="s">
        <v>43</v>
      </c>
      <c r="B33" s="33">
        <v>12.8</v>
      </c>
      <c r="C33" s="34"/>
      <c r="D33" s="49"/>
      <c r="E33" s="50"/>
      <c r="F33" s="50"/>
      <c r="G33" s="50"/>
      <c r="H33" s="50"/>
      <c r="I33" s="50"/>
      <c r="J33" s="50"/>
      <c r="K33" s="50"/>
      <c r="L33" s="50"/>
      <c r="M33" s="50"/>
      <c r="N33" s="58"/>
      <c r="O33" s="19"/>
      <c r="P33" s="20"/>
      <c r="Q33" s="20"/>
      <c r="R33" s="31" t="s">
        <v>53</v>
      </c>
      <c r="S33" s="31"/>
      <c r="T33" s="31"/>
      <c r="U33" s="32"/>
    </row>
    <row r="34" spans="1:21" x14ac:dyDescent="0.25">
      <c r="A34" s="5" t="s">
        <v>40</v>
      </c>
      <c r="B34" s="33">
        <v>1.006</v>
      </c>
      <c r="C34" s="34"/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8"/>
      <c r="O34" s="19"/>
      <c r="P34" s="20"/>
      <c r="Q34" s="20"/>
      <c r="R34" s="27" t="s">
        <v>54</v>
      </c>
      <c r="S34" s="25">
        <f>B41</f>
        <v>4.5722719869188815</v>
      </c>
      <c r="T34" s="26">
        <f>S34*0.8</f>
        <v>3.6578175895351053</v>
      </c>
      <c r="U34" s="28" t="s">
        <v>55</v>
      </c>
    </row>
    <row r="35" spans="1:21" ht="17.25" x14ac:dyDescent="0.25">
      <c r="A35" s="5" t="s">
        <v>44</v>
      </c>
      <c r="B35" s="33">
        <v>1.202</v>
      </c>
      <c r="C35" s="34"/>
      <c r="D35" s="49"/>
      <c r="E35" s="50"/>
      <c r="F35" s="50"/>
      <c r="G35" s="50"/>
      <c r="H35" s="50"/>
      <c r="I35" s="50"/>
      <c r="J35" s="50"/>
      <c r="K35" s="50"/>
      <c r="L35" s="50"/>
      <c r="M35" s="50"/>
      <c r="N35" s="58"/>
      <c r="O35" s="19"/>
      <c r="P35" s="20"/>
      <c r="Q35" s="20"/>
      <c r="R35" s="20"/>
      <c r="S35" s="20"/>
      <c r="T35" s="20"/>
      <c r="U35" s="21"/>
    </row>
    <row r="36" spans="1:21" ht="17.25" x14ac:dyDescent="0.25">
      <c r="A36" s="1" t="s">
        <v>45</v>
      </c>
      <c r="B36" s="37">
        <f>B28/B34/B35/(B31-B33)</f>
        <v>15.903554737109154</v>
      </c>
      <c r="C36" s="38"/>
      <c r="D36" s="49"/>
      <c r="E36" s="50"/>
      <c r="F36" s="50"/>
      <c r="G36" s="50"/>
      <c r="H36" s="50"/>
      <c r="I36" s="50"/>
      <c r="J36" s="50"/>
      <c r="K36" s="50"/>
      <c r="L36" s="50"/>
      <c r="M36" s="50"/>
      <c r="N36" s="58"/>
      <c r="O36" s="19"/>
      <c r="P36" s="20"/>
      <c r="Q36" s="20"/>
      <c r="R36" s="20"/>
      <c r="S36" s="20"/>
      <c r="T36" s="20"/>
      <c r="U36" s="21"/>
    </row>
    <row r="37" spans="1:21" ht="17.25" x14ac:dyDescent="0.25">
      <c r="A37" s="1" t="s">
        <v>46</v>
      </c>
      <c r="B37" s="37">
        <f>B29/B34/B35/(B30-B33)</f>
        <v>11.075689906201017</v>
      </c>
      <c r="C37" s="38"/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8"/>
      <c r="O37" s="19"/>
      <c r="P37" s="20"/>
      <c r="Q37" s="20"/>
      <c r="R37" s="20"/>
      <c r="S37" s="20"/>
      <c r="T37" s="20"/>
      <c r="U37" s="21"/>
    </row>
    <row r="38" spans="1:21" x14ac:dyDescent="0.25">
      <c r="B38" s="15"/>
      <c r="C38" s="15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19"/>
      <c r="P38" s="20"/>
      <c r="Q38" s="20"/>
      <c r="R38" s="20"/>
      <c r="S38" s="20"/>
      <c r="T38" s="20"/>
      <c r="U38" s="21"/>
    </row>
    <row r="39" spans="1:21" x14ac:dyDescent="0.25">
      <c r="A39" s="1" t="s">
        <v>49</v>
      </c>
      <c r="B39" s="33">
        <v>8</v>
      </c>
      <c r="C39" s="34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8"/>
      <c r="O39" s="19"/>
      <c r="P39" s="20"/>
      <c r="Q39" s="20"/>
      <c r="R39" s="20"/>
      <c r="S39" s="20"/>
      <c r="T39" s="20"/>
      <c r="U39" s="21"/>
    </row>
    <row r="40" spans="1:21" x14ac:dyDescent="0.25">
      <c r="A40" s="1" t="s">
        <v>34</v>
      </c>
      <c r="B40" s="35">
        <v>0.15</v>
      </c>
      <c r="C40" s="36"/>
      <c r="D40" s="49"/>
      <c r="E40" s="50"/>
      <c r="F40" s="50"/>
      <c r="G40" s="50"/>
      <c r="H40" s="50"/>
      <c r="I40" s="50"/>
      <c r="J40" s="50"/>
      <c r="K40" s="50"/>
      <c r="L40" s="50"/>
      <c r="M40" s="50"/>
      <c r="N40" s="58"/>
      <c r="O40" s="19"/>
      <c r="P40" s="20"/>
      <c r="Q40" s="20"/>
      <c r="R40" s="20"/>
      <c r="S40" s="20"/>
      <c r="T40" s="20"/>
      <c r="U40" s="21"/>
    </row>
    <row r="41" spans="1:21" ht="36" customHeight="1" x14ac:dyDescent="0.25">
      <c r="A41" s="10" t="s">
        <v>56</v>
      </c>
      <c r="B41" s="88">
        <f>((MAX(B36:B37)/B39)*(1+B40))*2</f>
        <v>4.5722719869188815</v>
      </c>
      <c r="C41" s="89"/>
      <c r="D41" s="67"/>
      <c r="E41" s="62"/>
      <c r="F41" s="62"/>
      <c r="G41" s="62"/>
      <c r="H41" s="63"/>
      <c r="I41" s="61"/>
      <c r="J41" s="62"/>
      <c r="K41" s="62"/>
      <c r="L41" s="62"/>
      <c r="M41" s="62"/>
      <c r="N41" s="63"/>
      <c r="O41" s="19"/>
      <c r="P41" s="20"/>
      <c r="Q41" s="20"/>
      <c r="R41" s="20"/>
      <c r="S41" s="20"/>
      <c r="T41" s="20"/>
      <c r="U41" s="21"/>
    </row>
    <row r="42" spans="1:21" ht="36" customHeight="1" x14ac:dyDescent="0.25">
      <c r="A42" s="10" t="s">
        <v>59</v>
      </c>
      <c r="B42" s="90">
        <f>B41*0.8</f>
        <v>3.6578175895351053</v>
      </c>
      <c r="C42" s="91"/>
      <c r="D42" s="68"/>
      <c r="E42" s="69"/>
      <c r="F42" s="69"/>
      <c r="G42" s="69"/>
      <c r="H42" s="71"/>
      <c r="I42" s="70"/>
      <c r="J42" s="69"/>
      <c r="K42" s="69"/>
      <c r="L42" s="69"/>
      <c r="M42" s="69"/>
      <c r="N42" s="71"/>
      <c r="O42" s="19"/>
      <c r="P42" s="20"/>
      <c r="Q42" s="20"/>
      <c r="R42" s="20"/>
      <c r="S42" s="20"/>
      <c r="T42" s="20"/>
      <c r="U42" s="21"/>
    </row>
    <row r="43" spans="1:21" ht="36" customHeight="1" x14ac:dyDescent="0.25">
      <c r="A43" s="10" t="s">
        <v>57</v>
      </c>
      <c r="B43" s="92">
        <f>SUM(B41:C42)</f>
        <v>8.2300895764539863</v>
      </c>
      <c r="C43" s="93"/>
      <c r="D43" s="72"/>
      <c r="E43" s="65"/>
      <c r="F43" s="65"/>
      <c r="G43" s="65"/>
      <c r="H43" s="66"/>
      <c r="I43" s="64"/>
      <c r="J43" s="65"/>
      <c r="K43" s="65"/>
      <c r="L43" s="65"/>
      <c r="M43" s="65"/>
      <c r="N43" s="66"/>
      <c r="O43" s="22"/>
      <c r="P43" s="23"/>
      <c r="Q43" s="23"/>
      <c r="R43" s="23"/>
      <c r="S43" s="23"/>
      <c r="T43" s="23"/>
      <c r="U43" s="24"/>
    </row>
    <row r="45" spans="1:21" ht="3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</sheetData>
  <mergeCells count="62">
    <mergeCell ref="D41:H43"/>
    <mergeCell ref="I41:N43"/>
    <mergeCell ref="P2:T5"/>
    <mergeCell ref="P27:T29"/>
    <mergeCell ref="A26:C27"/>
    <mergeCell ref="B28:C28"/>
    <mergeCell ref="B29:C29"/>
    <mergeCell ref="B30:C30"/>
    <mergeCell ref="B31:C31"/>
    <mergeCell ref="D26:N26"/>
    <mergeCell ref="D27:H27"/>
    <mergeCell ref="I27:N27"/>
    <mergeCell ref="D30:H31"/>
    <mergeCell ref="I30:N31"/>
    <mergeCell ref="I29:N29"/>
    <mergeCell ref="D39:N40"/>
    <mergeCell ref="D36:H37"/>
    <mergeCell ref="D35:H35"/>
    <mergeCell ref="D34:H34"/>
    <mergeCell ref="D29:H29"/>
    <mergeCell ref="D28:H28"/>
    <mergeCell ref="I36:N37"/>
    <mergeCell ref="I35:N35"/>
    <mergeCell ref="I34:N34"/>
    <mergeCell ref="I28:N28"/>
    <mergeCell ref="D33:H33"/>
    <mergeCell ref="I33:N33"/>
    <mergeCell ref="A10:B10"/>
    <mergeCell ref="D8:H8"/>
    <mergeCell ref="D1:N1"/>
    <mergeCell ref="D20:H20"/>
    <mergeCell ref="I20:N20"/>
    <mergeCell ref="D18:N19"/>
    <mergeCell ref="D3:N7"/>
    <mergeCell ref="D2:H2"/>
    <mergeCell ref="I2:N2"/>
    <mergeCell ref="D10:N13"/>
    <mergeCell ref="D15:N15"/>
    <mergeCell ref="D16:H16"/>
    <mergeCell ref="I8:N8"/>
    <mergeCell ref="I16:N16"/>
    <mergeCell ref="B6:C6"/>
    <mergeCell ref="B8:C8"/>
    <mergeCell ref="B4:C4"/>
    <mergeCell ref="A1:C2"/>
    <mergeCell ref="A3:B3"/>
    <mergeCell ref="R10:U10"/>
    <mergeCell ref="R33:U33"/>
    <mergeCell ref="B39:C39"/>
    <mergeCell ref="B40:C40"/>
    <mergeCell ref="B41:C41"/>
    <mergeCell ref="B33:C33"/>
    <mergeCell ref="B34:C34"/>
    <mergeCell ref="B35:C35"/>
    <mergeCell ref="B36:C36"/>
    <mergeCell ref="B37:C37"/>
    <mergeCell ref="B15:C15"/>
    <mergeCell ref="B16:C16"/>
    <mergeCell ref="B18:C18"/>
    <mergeCell ref="B19:C19"/>
    <mergeCell ref="B20:C20"/>
    <mergeCell ref="B11:C11"/>
  </mergeCells>
  <conditionalFormatting sqref="B7">
    <cfRule type="cellIs" dxfId="5" priority="6" stopIfTrue="1" operator="notEqual">
      <formula>"-"</formula>
    </cfRule>
  </conditionalFormatting>
  <conditionalFormatting sqref="C7">
    <cfRule type="cellIs" dxfId="4" priority="5" stopIfTrue="1" operator="notEqual">
      <formula>"-"</formula>
    </cfRule>
  </conditionalFormatting>
  <conditionalFormatting sqref="B12">
    <cfRule type="cellIs" dxfId="3" priority="4" stopIfTrue="1" operator="notEqual">
      <formula>"-"</formula>
    </cfRule>
  </conditionalFormatting>
  <conditionalFormatting sqref="B13">
    <cfRule type="cellIs" dxfId="2" priority="3" stopIfTrue="1" operator="notEqual">
      <formula>"-"</formula>
    </cfRule>
  </conditionalFormatting>
  <conditionalFormatting sqref="C12">
    <cfRule type="cellIs" dxfId="1" priority="2" stopIfTrue="1" operator="notEqual">
      <formula>"-"</formula>
    </cfRule>
  </conditionalFormatting>
  <conditionalFormatting sqref="C13">
    <cfRule type="cellIs" dxfId="0" priority="1" stopIfTrue="1" operator="notEqual">
      <formula>"-"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Lists!$A$20:$A$21</xm:f>
          </x14:formula1>
          <xm:sqref>B6</xm:sqref>
        </x14:dataValidation>
        <x14:dataValidation type="list" allowBlank="1" showInputMessage="1" showErrorMessage="1" xr:uid="{00000000-0002-0000-0000-000001000000}">
          <x14:formula1>
            <xm:f>Lists!$A$23:$A$24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Lists!$A$2:$A$18</xm:f>
          </x14:formula1>
          <xm:sqref>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A49" sqref="A49"/>
    </sheetView>
  </sheetViews>
  <sheetFormatPr defaultRowHeight="15" x14ac:dyDescent="0.25"/>
  <cols>
    <col min="1" max="1" width="48.28515625" bestFit="1" customWidth="1"/>
    <col min="2" max="2" width="35.7109375" customWidth="1"/>
  </cols>
  <sheetData>
    <row r="1" spans="1:4" x14ac:dyDescent="0.25">
      <c r="B1" t="s">
        <v>9</v>
      </c>
      <c r="C1" t="s">
        <v>4</v>
      </c>
      <c r="D1" t="s">
        <v>3</v>
      </c>
    </row>
    <row r="2" spans="1:4" x14ac:dyDescent="0.25">
      <c r="A2" t="s">
        <v>11</v>
      </c>
      <c r="B2">
        <v>0.1</v>
      </c>
      <c r="C2">
        <v>2.5</v>
      </c>
      <c r="D2">
        <v>0.3</v>
      </c>
    </row>
    <row r="3" spans="1:4" x14ac:dyDescent="0.25">
      <c r="A3" t="s">
        <v>10</v>
      </c>
      <c r="B3">
        <v>0.05</v>
      </c>
      <c r="C3">
        <v>2.5</v>
      </c>
      <c r="D3">
        <v>0.3</v>
      </c>
    </row>
    <row r="4" spans="1:4" x14ac:dyDescent="0.25">
      <c r="A4" t="s">
        <v>21</v>
      </c>
      <c r="B4">
        <v>1</v>
      </c>
      <c r="C4">
        <v>3.8</v>
      </c>
      <c r="D4">
        <v>0.3</v>
      </c>
    </row>
    <row r="5" spans="1:4" x14ac:dyDescent="0.25">
      <c r="A5" t="s">
        <v>16</v>
      </c>
      <c r="B5">
        <v>0.25</v>
      </c>
      <c r="C5">
        <v>5</v>
      </c>
      <c r="D5">
        <v>0.6</v>
      </c>
    </row>
    <row r="6" spans="1:4" x14ac:dyDescent="0.25">
      <c r="A6" t="s">
        <v>17</v>
      </c>
      <c r="B6">
        <v>0.35</v>
      </c>
      <c r="C6">
        <v>5</v>
      </c>
      <c r="D6">
        <v>0.6</v>
      </c>
    </row>
    <row r="7" spans="1:4" x14ac:dyDescent="0.25">
      <c r="A7" t="s">
        <v>18</v>
      </c>
      <c r="B7">
        <v>0.65</v>
      </c>
      <c r="C7">
        <v>3.8</v>
      </c>
      <c r="D7">
        <v>0.3</v>
      </c>
    </row>
    <row r="8" spans="1:4" x14ac:dyDescent="0.25">
      <c r="A8" t="s">
        <v>19</v>
      </c>
      <c r="B8">
        <v>1.5</v>
      </c>
      <c r="C8">
        <v>3.8</v>
      </c>
      <c r="D8">
        <v>0.3</v>
      </c>
    </row>
    <row r="9" spans="1:4" x14ac:dyDescent="0.25">
      <c r="A9" t="s">
        <v>20</v>
      </c>
      <c r="B9">
        <v>0.1</v>
      </c>
      <c r="C9">
        <v>2.5</v>
      </c>
      <c r="D9">
        <v>0.6</v>
      </c>
    </row>
    <row r="10" spans="1:4" x14ac:dyDescent="0.25">
      <c r="A10" t="s">
        <v>22</v>
      </c>
      <c r="B10">
        <v>0.25</v>
      </c>
      <c r="C10">
        <v>5</v>
      </c>
      <c r="D10">
        <v>0.9</v>
      </c>
    </row>
    <row r="11" spans="1:4" x14ac:dyDescent="0.25">
      <c r="A11" t="s">
        <v>13</v>
      </c>
      <c r="B11">
        <v>1.5</v>
      </c>
      <c r="C11">
        <v>2.5</v>
      </c>
      <c r="D11">
        <v>0.3</v>
      </c>
    </row>
    <row r="12" spans="1:4" x14ac:dyDescent="0.25">
      <c r="A12" t="s">
        <v>14</v>
      </c>
      <c r="B12">
        <v>0.1</v>
      </c>
      <c r="C12">
        <v>2.5</v>
      </c>
      <c r="D12">
        <v>0.6</v>
      </c>
    </row>
    <row r="13" spans="1:4" x14ac:dyDescent="0.25">
      <c r="A13" t="s">
        <v>15</v>
      </c>
      <c r="B13">
        <v>0.4</v>
      </c>
      <c r="C13">
        <v>3.8</v>
      </c>
      <c r="D13">
        <v>0.3</v>
      </c>
    </row>
    <row r="14" spans="1:4" x14ac:dyDescent="0.25">
      <c r="A14" t="s">
        <v>23</v>
      </c>
      <c r="B14">
        <v>0.15</v>
      </c>
      <c r="C14">
        <v>3.8</v>
      </c>
      <c r="D14">
        <v>0.6</v>
      </c>
    </row>
    <row r="15" spans="1:4" x14ac:dyDescent="0.25">
      <c r="A15" t="s">
        <v>24</v>
      </c>
      <c r="B15">
        <v>0.4</v>
      </c>
      <c r="C15">
        <v>3.8</v>
      </c>
      <c r="D15">
        <v>0.3</v>
      </c>
    </row>
    <row r="16" spans="1:4" x14ac:dyDescent="0.25">
      <c r="A16" t="s">
        <v>25</v>
      </c>
      <c r="B16">
        <v>0.08</v>
      </c>
      <c r="C16">
        <v>3.8</v>
      </c>
      <c r="D16">
        <v>0.3</v>
      </c>
    </row>
    <row r="17" spans="1:4" x14ac:dyDescent="0.25">
      <c r="A17" t="s">
        <v>12</v>
      </c>
      <c r="B17">
        <v>0</v>
      </c>
      <c r="C17">
        <v>0</v>
      </c>
      <c r="D17">
        <v>0.3</v>
      </c>
    </row>
    <row r="18" spans="1:4" x14ac:dyDescent="0.25">
      <c r="A18" t="s">
        <v>5</v>
      </c>
      <c r="B18">
        <v>0.1</v>
      </c>
      <c r="C18">
        <v>2.5</v>
      </c>
      <c r="D18">
        <v>0.3</v>
      </c>
    </row>
    <row r="20" spans="1:4" x14ac:dyDescent="0.25">
      <c r="A20" t="s">
        <v>26</v>
      </c>
    </row>
    <row r="21" spans="1:4" x14ac:dyDescent="0.25">
      <c r="A21" t="s">
        <v>31</v>
      </c>
    </row>
    <row r="23" spans="1:4" x14ac:dyDescent="0.25">
      <c r="A23" t="s">
        <v>29</v>
      </c>
    </row>
    <row r="24" spans="1:4" x14ac:dyDescent="0.25">
      <c r="A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Irani</dc:creator>
  <cp:lastModifiedBy>Ali Irani</cp:lastModifiedBy>
  <dcterms:created xsi:type="dcterms:W3CDTF">2024-08-06T19:46:33Z</dcterms:created>
  <dcterms:modified xsi:type="dcterms:W3CDTF">2024-09-09T15:30:55Z</dcterms:modified>
</cp:coreProperties>
</file>