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135" windowWidth="17220" windowHeight="8205" firstSheet="1" activeTab="2"/>
  </bookViews>
  <sheets>
    <sheet name="E10_Scaled_170134_L2" sheetId="5" r:id="rId1"/>
    <sheet name="Cal 2017-02-27 CCD" sheetId="8" r:id="rId2"/>
    <sheet name="Sheet2" sheetId="10" r:id="rId3"/>
    <sheet name="Cal 2017-02-27 PAO" sheetId="9" r:id="rId4"/>
    <sheet name="VAC" sheetId="4" r:id="rId5"/>
    <sheet name="ILINE" sheetId="6" r:id="rId6"/>
    <sheet name="8MHz Crystal" sheetId="2" r:id="rId7"/>
    <sheet name="Baudrates" sheetId="3" r:id="rId8"/>
    <sheet name="Sheet1" sheetId="7" r:id="rId9"/>
  </sheets>
  <externalReferences>
    <externalReference r:id="rId10"/>
  </externalReferences>
  <calcPr calcId="125725"/>
</workbook>
</file>

<file path=xl/calcChain.xml><?xml version="1.0" encoding="utf-8"?>
<calcChain xmlns="http://schemas.openxmlformats.org/spreadsheetml/2006/main">
  <c r="F33" i="10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X22" i="8"/>
  <c r="X20"/>
  <c r="X19"/>
  <c r="X16"/>
  <c r="X14"/>
  <c r="X7"/>
  <c r="X21"/>
  <c r="X18"/>
  <c r="X15"/>
  <c r="X13"/>
  <c r="X10"/>
  <c r="X6"/>
  <c r="X17"/>
  <c r="X12"/>
  <c r="X9"/>
  <c r="X5"/>
  <c r="X11"/>
  <c r="X8"/>
  <c r="X4"/>
  <c r="H24" i="9"/>
  <c r="I24" s="1"/>
  <c r="G24"/>
  <c r="H23"/>
  <c r="G23"/>
  <c r="I23" s="1"/>
  <c r="H22"/>
  <c r="I22" s="1"/>
  <c r="G22"/>
  <c r="H21"/>
  <c r="G21"/>
  <c r="I21" s="1"/>
  <c r="H20"/>
  <c r="I20" s="1"/>
  <c r="G20"/>
  <c r="H19"/>
  <c r="G19"/>
  <c r="I19" s="1"/>
  <c r="H18"/>
  <c r="I18" s="1"/>
  <c r="G18"/>
  <c r="H17"/>
  <c r="G17"/>
  <c r="I17" s="1"/>
  <c r="H16"/>
  <c r="I16" s="1"/>
  <c r="G16"/>
  <c r="H15"/>
  <c r="G15"/>
  <c r="I15" s="1"/>
  <c r="H14"/>
  <c r="I14" s="1"/>
  <c r="G14"/>
  <c r="H13"/>
  <c r="G13"/>
  <c r="I13" s="1"/>
  <c r="H12"/>
  <c r="I12" s="1"/>
  <c r="G12"/>
  <c r="H11"/>
  <c r="G11"/>
  <c r="I11" s="1"/>
  <c r="H10"/>
  <c r="I10" s="1"/>
  <c r="G10"/>
  <c r="H9"/>
  <c r="G9"/>
  <c r="I9" s="1"/>
  <c r="H8"/>
  <c r="I8" s="1"/>
  <c r="G8"/>
  <c r="H7"/>
  <c r="G7"/>
  <c r="I7" s="1"/>
  <c r="H6"/>
  <c r="I6" s="1"/>
  <c r="G6"/>
  <c r="G5"/>
  <c r="I5" s="1"/>
  <c r="H5"/>
  <c r="I9" i="7"/>
  <c r="I10"/>
  <c r="I11"/>
  <c r="I12"/>
  <c r="I8"/>
  <c r="G9"/>
  <c r="G10"/>
  <c r="G11"/>
  <c r="G12"/>
  <c r="G8"/>
  <c r="F9"/>
  <c r="F10"/>
  <c r="F11"/>
  <c r="F12"/>
  <c r="F8"/>
  <c r="B9"/>
  <c r="B10"/>
  <c r="B11"/>
  <c r="B12"/>
  <c r="B8"/>
  <c r="H9"/>
  <c r="H10"/>
  <c r="H11"/>
  <c r="H12"/>
  <c r="H8"/>
  <c r="B2"/>
  <c r="D11" s="1"/>
  <c r="D12" l="1"/>
  <c r="D8"/>
  <c r="D9"/>
  <c r="D10"/>
  <c r="E15" i="6" l="1"/>
  <c r="E11"/>
  <c r="E7"/>
  <c r="B5"/>
  <c r="E14" s="1"/>
  <c r="B4"/>
  <c r="E16" s="1"/>
  <c r="C11" i="3"/>
  <c r="D11" s="1"/>
  <c r="C18"/>
  <c r="D18" s="1"/>
  <c r="C15"/>
  <c r="D15"/>
  <c r="D16"/>
  <c r="D7"/>
  <c r="C16"/>
  <c r="C17"/>
  <c r="D17" s="1"/>
  <c r="C19"/>
  <c r="D19" s="1"/>
  <c r="C7"/>
  <c r="B8"/>
  <c r="C8" s="1"/>
  <c r="D8" s="1"/>
  <c r="B9"/>
  <c r="C9" s="1"/>
  <c r="D9" s="1"/>
  <c r="B10"/>
  <c r="C10" s="1"/>
  <c r="D10" s="1"/>
  <c r="B12"/>
  <c r="C12" s="1"/>
  <c r="D12" s="1"/>
  <c r="B13"/>
  <c r="C13" s="1"/>
  <c r="D13" s="1"/>
  <c r="B14"/>
  <c r="C14" s="1"/>
  <c r="D14" s="1"/>
  <c r="B17"/>
  <c r="B7"/>
  <c r="B4" i="5"/>
  <c r="E10" i="6" l="1"/>
  <c r="E9"/>
  <c r="E13"/>
  <c r="E17"/>
  <c r="E8"/>
  <c r="E12"/>
  <c r="B5" i="5"/>
  <c r="G2" s="1"/>
  <c r="B5" i="4"/>
  <c r="B4"/>
  <c r="D8" i="5" l="1"/>
  <c r="D16"/>
  <c r="D24"/>
  <c r="D9"/>
  <c r="D17"/>
  <c r="D25"/>
  <c r="D12"/>
  <c r="D20"/>
  <c r="D28"/>
  <c r="D13"/>
  <c r="D21"/>
  <c r="D10"/>
  <c r="D18"/>
  <c r="D26"/>
  <c r="D11"/>
  <c r="D19"/>
  <c r="D27"/>
  <c r="D14"/>
  <c r="D22"/>
  <c r="D7"/>
  <c r="D15"/>
  <c r="D23"/>
  <c r="C14" i="4"/>
  <c r="C11"/>
  <c r="C12"/>
  <c r="C9"/>
  <c r="C17"/>
  <c r="C10"/>
  <c r="G2"/>
  <c r="C7"/>
  <c r="C15"/>
  <c r="C8"/>
  <c r="C16"/>
  <c r="C13"/>
</calcChain>
</file>

<file path=xl/comments1.xml><?xml version="1.0" encoding="utf-8"?>
<comments xmlns="http://schemas.openxmlformats.org/spreadsheetml/2006/main">
  <authors>
    <author>Sensata User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Sensata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Mark Bina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Mark Bina:</t>
        </r>
        <r>
          <rPr>
            <sz val="9"/>
            <color indexed="81"/>
            <rFont val="Tahoma"/>
            <family val="2"/>
          </rPr>
          <t xml:space="preserve">
This is (approx) the delay for calling the Start-Timer function to the time that the timer is actually started</t>
        </r>
      </text>
    </comment>
  </commentList>
</comments>
</file>

<file path=xl/sharedStrings.xml><?xml version="1.0" encoding="utf-8"?>
<sst xmlns="http://schemas.openxmlformats.org/spreadsheetml/2006/main" count="171" uniqueCount="102">
  <si>
    <t>adc</t>
  </si>
  <si>
    <t>max scale</t>
  </si>
  <si>
    <t>slope:</t>
  </si>
  <si>
    <t>volts</t>
  </si>
  <si>
    <t>intercept:</t>
  </si>
  <si>
    <t>fit</t>
  </si>
  <si>
    <t>test date:</t>
  </si>
  <si>
    <t>Vref:</t>
  </si>
  <si>
    <t>adc(16)</t>
  </si>
  <si>
    <t>01AE</t>
  </si>
  <si>
    <t>01C8</t>
  </si>
  <si>
    <t>01E4</t>
  </si>
  <si>
    <t>0200</t>
  </si>
  <si>
    <t>021A</t>
  </si>
  <si>
    <t>0236</t>
  </si>
  <si>
    <t>0244</t>
  </si>
  <si>
    <t>026C</t>
  </si>
  <si>
    <t>027A</t>
  </si>
  <si>
    <t>025E</t>
  </si>
  <si>
    <t>0250</t>
  </si>
  <si>
    <t>0286</t>
  </si>
  <si>
    <t>0292</t>
  </si>
  <si>
    <t>02A8</t>
  </si>
  <si>
    <t>02BE</t>
  </si>
  <si>
    <t>02F4</t>
  </si>
  <si>
    <t>032A</t>
  </si>
  <si>
    <t>0360</t>
  </si>
  <si>
    <t>0398</t>
  </si>
  <si>
    <t>03CE</t>
  </si>
  <si>
    <t>0404</t>
  </si>
  <si>
    <t>043A</t>
  </si>
  <si>
    <t>3.3V</t>
  </si>
  <si>
    <t>desc</t>
  </si>
  <si>
    <t>register</t>
  </si>
  <si>
    <t>This sheet comprises configuration setting differences from 7.3728MHz to 8.0000MHz crystal</t>
  </si>
  <si>
    <t>1 millisecond timer</t>
  </si>
  <si>
    <t>SPI port (NP)</t>
  </si>
  <si>
    <t>System Clock</t>
  </si>
  <si>
    <t>comments</t>
  </si>
  <si>
    <t>The dsPIC33F is specified for up to 40MIPS.
Prior versions of code ran at 29.4912MIPS for legacy [dsPIC30F] compatability.
40MIPS will be used going forward, for CAN Bus compatability.</t>
  </si>
  <si>
    <t>n/a</t>
  </si>
  <si>
    <t>PLLFBDbits.PLLDIV</t>
  </si>
  <si>
    <t>T1CONbits.TCKPS</t>
  </si>
  <si>
    <t>MIPS (Fosc)</t>
  </si>
  <si>
    <t>PR1</t>
  </si>
  <si>
    <t>PWM</t>
  </si>
  <si>
    <t>Baud Rate Calc</t>
  </si>
  <si>
    <t>Baud</t>
  </si>
  <si>
    <t>BRG</t>
  </si>
  <si>
    <t>Calc</t>
  </si>
  <si>
    <t>%error</t>
  </si>
  <si>
    <t>BRG = (Fcy/(16*BaudRate))-1</t>
  </si>
  <si>
    <t>Fcy</t>
  </si>
  <si>
    <t>BaudRate = ((FCY/BRG)-1)/16</t>
  </si>
  <si>
    <t>serial port 9600 Baud</t>
  </si>
  <si>
    <t>serial port 115.2 Kbaud</t>
  </si>
  <si>
    <t>PTPER</t>
  </si>
  <si>
    <t>PTPER is initialized using PTPER_INIT_VAL which is calculated in file 'sine_table.h"
Test dead-time, Test Fan PWM</t>
  </si>
  <si>
    <t>amps</t>
  </si>
  <si>
    <t>Imeas</t>
  </si>
  <si>
    <t>Iline</t>
  </si>
  <si>
    <t>% Duty</t>
  </si>
  <si>
    <t>I am attempting to empirically determine the relationship between the PWM time and Timer2</t>
  </si>
  <si>
    <t>PDC</t>
  </si>
  <si>
    <t>PR2</t>
  </si>
  <si>
    <t>MAX_DUTY:</t>
  </si>
  <si>
    <t>T2_ofst</t>
  </si>
  <si>
    <t>PWM_offset</t>
  </si>
  <si>
    <t>T2_inc</t>
  </si>
  <si>
    <t>PD_inc</t>
  </si>
  <si>
    <t>PWM_T</t>
  </si>
  <si>
    <t>T2_meas</t>
  </si>
  <si>
    <t>PD_calc</t>
  </si>
  <si>
    <t>PD_Diff</t>
  </si>
  <si>
    <t>ratio</t>
  </si>
  <si>
    <t>Cal</t>
  </si>
  <si>
    <t>Vbatt V</t>
  </si>
  <si>
    <t>Vbatt adc</t>
  </si>
  <si>
    <t>AC V</t>
  </si>
  <si>
    <t>AC adc</t>
  </si>
  <si>
    <t>Imeas A</t>
  </si>
  <si>
    <t>Imeas adc</t>
  </si>
  <si>
    <t>CCD</t>
  </si>
  <si>
    <t>272/270</t>
  </si>
  <si>
    <t>PAO</t>
  </si>
  <si>
    <t>VACout (Vac)</t>
  </si>
  <si>
    <t>IACout (Iac)</t>
  </si>
  <si>
    <t>VDCin (Vdc)</t>
  </si>
  <si>
    <t>IDCin (Idc)</t>
  </si>
  <si>
    <t>VAC (adc)</t>
  </si>
  <si>
    <t>Imeas (adc)</t>
  </si>
  <si>
    <t>Pwr out (watts)</t>
  </si>
  <si>
    <t>Pwr in (watts)</t>
  </si>
  <si>
    <t>Effic (%)</t>
  </si>
  <si>
    <t>DC Amps</t>
  </si>
  <si>
    <t>DC Volts</t>
  </si>
  <si>
    <t>Volts</t>
  </si>
  <si>
    <t>Slope</t>
  </si>
  <si>
    <t>Intercept</t>
  </si>
  <si>
    <t>DC Watts</t>
  </si>
  <si>
    <t>AC amps</t>
  </si>
  <si>
    <t>calculated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</si>
</sst>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yyyy\-mm\-dd"/>
    <numFmt numFmtId="166" formatCode="0.0"/>
  </numFmts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right"/>
    </xf>
    <xf numFmtId="11" fontId="0" fillId="0" borderId="0" xfId="0" applyNumberFormat="1"/>
    <xf numFmtId="0" fontId="0" fillId="0" borderId="0" xfId="0" applyAlignment="1">
      <alignment vertical="top"/>
    </xf>
    <xf numFmtId="11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166" fontId="0" fillId="0" borderId="5" xfId="0" applyNumberForma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1"/>
          <c:order val="1"/>
          <c:tx>
            <c:strRef>
              <c:f>E10_Scaled_170134_L2!$D$6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E10_Scaled_170134_L2!$A$7:$A$28</c:f>
              <c:numCache>
                <c:formatCode>0.00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12.6</c:v>
                </c:pt>
                <c:pt idx="9">
                  <c:v>12.2</c:v>
                </c:pt>
                <c:pt idx="10">
                  <c:v>12</c:v>
                </c:pt>
                <c:pt idx="11">
                  <c:v>11.75</c:v>
                </c:pt>
                <c:pt idx="12">
                  <c:v>11.5</c:v>
                </c:pt>
                <c:pt idx="13">
                  <c:v>11.25</c:v>
                </c:pt>
                <c:pt idx="14">
                  <c:v>11</c:v>
                </c:pt>
                <c:pt idx="15">
                  <c:v>10.75</c:v>
                </c:pt>
                <c:pt idx="16">
                  <c:v>10.5</c:v>
                </c:pt>
                <c:pt idx="17">
                  <c:v>10</c:v>
                </c:pt>
                <c:pt idx="18">
                  <c:v>9.5</c:v>
                </c:pt>
                <c:pt idx="19">
                  <c:v>9</c:v>
                </c:pt>
                <c:pt idx="20">
                  <c:v>8.5</c:v>
                </c:pt>
                <c:pt idx="21">
                  <c:v>8</c:v>
                </c:pt>
              </c:numCache>
            </c:numRef>
          </c:xVal>
          <c:yVal>
            <c:numRef>
              <c:f>E10_Scaled_170134_L2!$D$7:$D$28</c:f>
              <c:numCache>
                <c:formatCode>0.00</c:formatCode>
                <c:ptCount val="22"/>
                <c:pt idx="0">
                  <c:v>1230.0863787421617</c:v>
                </c:pt>
                <c:pt idx="1">
                  <c:v>1168.3372389972415</c:v>
                </c:pt>
                <c:pt idx="2">
                  <c:v>1106.5880992523212</c:v>
                </c:pt>
                <c:pt idx="3">
                  <c:v>1044.8389595074009</c:v>
                </c:pt>
                <c:pt idx="4">
                  <c:v>983.08981976248026</c:v>
                </c:pt>
                <c:pt idx="5">
                  <c:v>921.34068001755986</c:v>
                </c:pt>
                <c:pt idx="6">
                  <c:v>859.59154027263946</c:v>
                </c:pt>
                <c:pt idx="7">
                  <c:v>797.84240052771906</c:v>
                </c:pt>
                <c:pt idx="8">
                  <c:v>773.14274462975084</c:v>
                </c:pt>
                <c:pt idx="9">
                  <c:v>748.44308873178261</c:v>
                </c:pt>
                <c:pt idx="10">
                  <c:v>736.09326078279867</c:v>
                </c:pt>
                <c:pt idx="11">
                  <c:v>720.65597584656848</c:v>
                </c:pt>
                <c:pt idx="12">
                  <c:v>705.21869091033841</c:v>
                </c:pt>
                <c:pt idx="13">
                  <c:v>689.78140597410834</c:v>
                </c:pt>
                <c:pt idx="14">
                  <c:v>674.34412103787815</c:v>
                </c:pt>
                <c:pt idx="15">
                  <c:v>658.90683610164808</c:v>
                </c:pt>
                <c:pt idx="16">
                  <c:v>643.46955116541801</c:v>
                </c:pt>
                <c:pt idx="17">
                  <c:v>612.59498129295775</c:v>
                </c:pt>
                <c:pt idx="18">
                  <c:v>581.72041142049761</c:v>
                </c:pt>
                <c:pt idx="19">
                  <c:v>550.84584154803736</c:v>
                </c:pt>
                <c:pt idx="20">
                  <c:v>519.97127167557721</c:v>
                </c:pt>
                <c:pt idx="21">
                  <c:v>489.09670180311696</c:v>
                </c:pt>
              </c:numCache>
            </c:numRef>
          </c:yVal>
        </c:ser>
        <c:ser>
          <c:idx val="0"/>
          <c:order val="0"/>
          <c:tx>
            <c:strRef>
              <c:f>E10_Scaled_170134_L2!$C$6</c:f>
              <c:strCache>
                <c:ptCount val="1"/>
                <c:pt idx="0">
                  <c:v>adc</c:v>
                </c:pt>
              </c:strCache>
            </c:strRef>
          </c:tx>
          <c:marker>
            <c:symbol val="none"/>
          </c:marker>
          <c:xVal>
            <c:numRef>
              <c:f>E10_Scaled_170134_L2!$A$7:$A$28</c:f>
              <c:numCache>
                <c:formatCode>0.00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12.6</c:v>
                </c:pt>
                <c:pt idx="9">
                  <c:v>12.2</c:v>
                </c:pt>
                <c:pt idx="10">
                  <c:v>12</c:v>
                </c:pt>
                <c:pt idx="11">
                  <c:v>11.75</c:v>
                </c:pt>
                <c:pt idx="12">
                  <c:v>11.5</c:v>
                </c:pt>
                <c:pt idx="13">
                  <c:v>11.25</c:v>
                </c:pt>
                <c:pt idx="14">
                  <c:v>11</c:v>
                </c:pt>
                <c:pt idx="15">
                  <c:v>10.75</c:v>
                </c:pt>
                <c:pt idx="16">
                  <c:v>10.5</c:v>
                </c:pt>
                <c:pt idx="17">
                  <c:v>10</c:v>
                </c:pt>
                <c:pt idx="18">
                  <c:v>9.5</c:v>
                </c:pt>
                <c:pt idx="19">
                  <c:v>9</c:v>
                </c:pt>
                <c:pt idx="20">
                  <c:v>8.5</c:v>
                </c:pt>
                <c:pt idx="21">
                  <c:v>8</c:v>
                </c:pt>
              </c:numCache>
            </c:numRef>
          </c:xVal>
          <c:yVal>
            <c:numRef>
              <c:f>E10_Scaled_170134_L2!$C$7:$C$28</c:f>
              <c:numCache>
                <c:formatCode>0</c:formatCode>
                <c:ptCount val="22"/>
                <c:pt idx="0">
                  <c:v>1230</c:v>
                </c:pt>
                <c:pt idx="1">
                  <c:v>1168</c:v>
                </c:pt>
                <c:pt idx="2">
                  <c:v>1107</c:v>
                </c:pt>
                <c:pt idx="3">
                  <c:v>1045</c:v>
                </c:pt>
                <c:pt idx="4">
                  <c:v>983</c:v>
                </c:pt>
                <c:pt idx="5">
                  <c:v>922</c:v>
                </c:pt>
                <c:pt idx="6">
                  <c:v>859</c:v>
                </c:pt>
                <c:pt idx="7">
                  <c:v>798</c:v>
                </c:pt>
                <c:pt idx="8">
                  <c:v>773</c:v>
                </c:pt>
                <c:pt idx="9">
                  <c:v>748</c:v>
                </c:pt>
                <c:pt idx="10">
                  <c:v>736</c:v>
                </c:pt>
                <c:pt idx="11">
                  <c:v>720</c:v>
                </c:pt>
                <c:pt idx="12">
                  <c:v>706</c:v>
                </c:pt>
                <c:pt idx="13">
                  <c:v>690</c:v>
                </c:pt>
                <c:pt idx="14">
                  <c:v>674</c:v>
                </c:pt>
                <c:pt idx="15">
                  <c:v>659</c:v>
                </c:pt>
                <c:pt idx="16">
                  <c:v>644</c:v>
                </c:pt>
                <c:pt idx="17">
                  <c:v>612</c:v>
                </c:pt>
                <c:pt idx="18">
                  <c:v>582</c:v>
                </c:pt>
                <c:pt idx="19">
                  <c:v>551</c:v>
                </c:pt>
                <c:pt idx="20">
                  <c:v>520</c:v>
                </c:pt>
                <c:pt idx="21">
                  <c:v>489</c:v>
                </c:pt>
              </c:numCache>
            </c:numRef>
          </c:yVal>
        </c:ser>
        <c:axId val="114441216"/>
        <c:axId val="114468352"/>
      </c:scatterChart>
      <c:valAx>
        <c:axId val="114441216"/>
        <c:scaling>
          <c:orientation val="minMax"/>
          <c:max val="20"/>
          <c:min val="8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Battery</a:t>
                </a:r>
                <a:r>
                  <a:rPr lang="en-US" baseline="0"/>
                  <a:t> Volts DC</a:t>
                </a:r>
                <a:endParaRPr lang="en-US"/>
              </a:p>
            </c:rich>
          </c:tx>
        </c:title>
        <c:numFmt formatCode="0.00" sourceLinked="1"/>
        <c:tickLblPos val="nextTo"/>
        <c:crossAx val="114468352"/>
        <c:crosses val="autoZero"/>
        <c:crossBetween val="midCat"/>
      </c:valAx>
      <c:valAx>
        <c:axId val="114468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ADC Couonts</a:t>
                </a:r>
              </a:p>
            </c:rich>
          </c:tx>
        </c:title>
        <c:numFmt formatCode="0" sourceLinked="0"/>
        <c:tickLblPos val="nextTo"/>
        <c:crossAx val="114441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4.6529029232170734E-2"/>
          <c:y val="5.8333333333333334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'Cal 2017-02-27 CCD'!$R$21</c:f>
              <c:strCache>
                <c:ptCount val="1"/>
                <c:pt idx="0">
                  <c:v>Intercept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9.5684173498931185E-2"/>
                  <c:y val="-0.647437007874015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-0.8794* volts - 2.4661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'Cal 2017-02-27 CCD'!$P$22:$P$25</c:f>
              <c:numCache>
                <c:formatCode>General</c:formatCode>
                <c:ptCount val="4"/>
                <c:pt idx="0">
                  <c:v>11.93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</c:numCache>
            </c:numRef>
          </c:xVal>
          <c:yVal>
            <c:numRef>
              <c:f>'Cal 2017-02-27 CCD'!$R$22:$R$25</c:f>
              <c:numCache>
                <c:formatCode>General</c:formatCode>
                <c:ptCount val="4"/>
                <c:pt idx="0">
                  <c:v>-12.37</c:v>
                </c:pt>
                <c:pt idx="1">
                  <c:v>-15.265000000000001</c:v>
                </c:pt>
                <c:pt idx="2">
                  <c:v>-17.346</c:v>
                </c:pt>
                <c:pt idx="3">
                  <c:v>-17.587</c:v>
                </c:pt>
              </c:numCache>
            </c:numRef>
          </c:yVal>
        </c:ser>
        <c:axId val="115505024"/>
        <c:axId val="115503488"/>
      </c:scatterChart>
      <c:valAx>
        <c:axId val="115505024"/>
        <c:scaling>
          <c:orientation val="minMax"/>
        </c:scaling>
        <c:axPos val="b"/>
        <c:numFmt formatCode="General" sourceLinked="1"/>
        <c:tickLblPos val="nextTo"/>
        <c:crossAx val="115503488"/>
        <c:crosses val="autoZero"/>
        <c:crossBetween val="midCat"/>
      </c:valAx>
      <c:valAx>
        <c:axId val="115503488"/>
        <c:scaling>
          <c:orientation val="minMax"/>
        </c:scaling>
        <c:axPos val="l"/>
        <c:majorGridlines/>
        <c:numFmt formatCode="General" sourceLinked="1"/>
        <c:tickLblPos val="nextTo"/>
        <c:crossAx val="1155050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3.2273334254270862E-2"/>
          <c:y val="2.614379084967321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'Cal 2017-02-27 PAO'!$F$4</c:f>
              <c:strCache>
                <c:ptCount val="1"/>
                <c:pt idx="0">
                  <c:v>Imeas (adc)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0.26882507333642131"/>
                  <c:y val="-0.23733218802195183"/>
                </c:manualLayout>
              </c:layout>
              <c:numFmt formatCode="#,##0.000000" sourceLinked="0"/>
            </c:trendlineLbl>
          </c:trendline>
          <c:xVal>
            <c:numRef>
              <c:f>'Cal 2017-02-27 PAO'!$B$5:$B$24</c:f>
              <c:numCache>
                <c:formatCode>General</c:formatCode>
                <c:ptCount val="20"/>
                <c:pt idx="0">
                  <c:v>0</c:v>
                </c:pt>
                <c:pt idx="1">
                  <c:v>0.12</c:v>
                </c:pt>
                <c:pt idx="2">
                  <c:v>0.2</c:v>
                </c:pt>
                <c:pt idx="3">
                  <c:v>0.5</c:v>
                </c:pt>
                <c:pt idx="4">
                  <c:v>0.83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13.75</c:v>
                </c:pt>
                <c:pt idx="17">
                  <c:v>14</c:v>
                </c:pt>
                <c:pt idx="18">
                  <c:v>14.375</c:v>
                </c:pt>
                <c:pt idx="19">
                  <c:v>14.5</c:v>
                </c:pt>
              </c:numCache>
            </c:numRef>
          </c:xVal>
          <c:yVal>
            <c:numRef>
              <c:f>'Cal 2017-02-27 PAO'!$F$5:$F$24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27</c:v>
                </c:pt>
                <c:pt idx="7">
                  <c:v>41</c:v>
                </c:pt>
                <c:pt idx="8">
                  <c:v>54</c:v>
                </c:pt>
                <c:pt idx="9">
                  <c:v>67</c:v>
                </c:pt>
                <c:pt idx="10">
                  <c:v>135</c:v>
                </c:pt>
                <c:pt idx="11">
                  <c:v>149</c:v>
                </c:pt>
                <c:pt idx="12">
                  <c:v>162</c:v>
                </c:pt>
                <c:pt idx="13">
                  <c:v>169</c:v>
                </c:pt>
                <c:pt idx="14">
                  <c:v>176</c:v>
                </c:pt>
                <c:pt idx="15">
                  <c:v>182</c:v>
                </c:pt>
                <c:pt idx="16">
                  <c:v>186</c:v>
                </c:pt>
                <c:pt idx="17">
                  <c:v>190</c:v>
                </c:pt>
                <c:pt idx="18">
                  <c:v>194</c:v>
                </c:pt>
                <c:pt idx="19">
                  <c:v>196</c:v>
                </c:pt>
              </c:numCache>
            </c:numRef>
          </c:yVal>
        </c:ser>
        <c:axId val="114615424"/>
        <c:axId val="114617344"/>
      </c:scatterChart>
      <c:valAx>
        <c:axId val="114615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</a:t>
                </a:r>
                <a:r>
                  <a:rPr lang="en-US" baseline="0"/>
                  <a:t> amps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4617344"/>
        <c:crosses val="autoZero"/>
        <c:crossBetween val="midCat"/>
      </c:valAx>
      <c:valAx>
        <c:axId val="114617344"/>
        <c:scaling>
          <c:orientation val="minMax"/>
        </c:scaling>
        <c:axPos val="l"/>
        <c:majorGridlines/>
        <c:numFmt formatCode="General" sourceLinked="1"/>
        <c:tickLblPos val="nextTo"/>
        <c:crossAx val="11461542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4.0386214018329689E-2"/>
          <c:y val="2.9850527158681434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'Cal 2017-02-27 PAO'!$F$4</c:f>
              <c:strCache>
                <c:ptCount val="1"/>
                <c:pt idx="0">
                  <c:v>Imeas (adc)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2.511852162680292E-2"/>
                  <c:y val="-0.22553492380616605"/>
                </c:manualLayout>
              </c:layout>
              <c:numFmt formatCode="General" sourceLinked="0"/>
            </c:trendlineLbl>
          </c:trendline>
          <c:xVal>
            <c:numRef>
              <c:f>'Cal 2017-02-27 PAO'!$D$5:$D$24</c:f>
              <c:numCache>
                <c:formatCode>General</c:formatCode>
                <c:ptCount val="20"/>
                <c:pt idx="0">
                  <c:v>3.3</c:v>
                </c:pt>
                <c:pt idx="1">
                  <c:v>4.5999999999999996</c:v>
                </c:pt>
                <c:pt idx="2">
                  <c:v>5.5</c:v>
                </c:pt>
                <c:pt idx="3">
                  <c:v>8.5</c:v>
                </c:pt>
                <c:pt idx="4">
                  <c:v>12</c:v>
                </c:pt>
                <c:pt idx="5">
                  <c:v>13.8</c:v>
                </c:pt>
                <c:pt idx="6">
                  <c:v>24.4</c:v>
                </c:pt>
                <c:pt idx="7">
                  <c:v>35.1</c:v>
                </c:pt>
                <c:pt idx="8">
                  <c:v>46</c:v>
                </c:pt>
                <c:pt idx="9">
                  <c:v>57.9</c:v>
                </c:pt>
                <c:pt idx="10">
                  <c:v>119.3</c:v>
                </c:pt>
                <c:pt idx="11">
                  <c:v>133.69999999999999</c:v>
                </c:pt>
                <c:pt idx="12">
                  <c:v>149.5</c:v>
                </c:pt>
                <c:pt idx="13">
                  <c:v>157</c:v>
                </c:pt>
                <c:pt idx="14">
                  <c:v>165.3</c:v>
                </c:pt>
                <c:pt idx="15">
                  <c:v>172.5</c:v>
                </c:pt>
                <c:pt idx="16">
                  <c:v>176.7</c:v>
                </c:pt>
                <c:pt idx="17">
                  <c:v>179.3</c:v>
                </c:pt>
                <c:pt idx="18">
                  <c:v>187.3</c:v>
                </c:pt>
                <c:pt idx="19">
                  <c:v>189.4</c:v>
                </c:pt>
              </c:numCache>
            </c:numRef>
          </c:xVal>
          <c:yVal>
            <c:numRef>
              <c:f>'Cal 2017-02-27 PAO'!$F$5:$F$24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27</c:v>
                </c:pt>
                <c:pt idx="7">
                  <c:v>41</c:v>
                </c:pt>
                <c:pt idx="8">
                  <c:v>54</c:v>
                </c:pt>
                <c:pt idx="9">
                  <c:v>67</c:v>
                </c:pt>
                <c:pt idx="10">
                  <c:v>135</c:v>
                </c:pt>
                <c:pt idx="11">
                  <c:v>149</c:v>
                </c:pt>
                <c:pt idx="12">
                  <c:v>162</c:v>
                </c:pt>
                <c:pt idx="13">
                  <c:v>169</c:v>
                </c:pt>
                <c:pt idx="14">
                  <c:v>176</c:v>
                </c:pt>
                <c:pt idx="15">
                  <c:v>182</c:v>
                </c:pt>
                <c:pt idx="16">
                  <c:v>186</c:v>
                </c:pt>
                <c:pt idx="17">
                  <c:v>190</c:v>
                </c:pt>
                <c:pt idx="18">
                  <c:v>194</c:v>
                </c:pt>
                <c:pt idx="19">
                  <c:v>196</c:v>
                </c:pt>
              </c:numCache>
            </c:numRef>
          </c:yVal>
        </c:ser>
        <c:axId val="118647808"/>
        <c:axId val="118654080"/>
      </c:scatterChart>
      <c:valAx>
        <c:axId val="11864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 amps</a:t>
                </a:r>
              </a:p>
            </c:rich>
          </c:tx>
          <c:layout/>
        </c:title>
        <c:numFmt formatCode="General" sourceLinked="1"/>
        <c:tickLblPos val="nextTo"/>
        <c:crossAx val="118654080"/>
        <c:crosses val="autoZero"/>
        <c:crossBetween val="midCat"/>
      </c:valAx>
      <c:valAx>
        <c:axId val="118654080"/>
        <c:scaling>
          <c:orientation val="minMax"/>
        </c:scaling>
        <c:axPos val="l"/>
        <c:majorGridlines/>
        <c:numFmt formatCode="General" sourceLinked="1"/>
        <c:tickLblPos val="nextTo"/>
        <c:crossAx val="11864780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'Cal 2017-02-27 PAO'!$I$4</c:f>
              <c:strCache>
                <c:ptCount val="1"/>
                <c:pt idx="0">
                  <c:v>Effic (%)</c:v>
                </c:pt>
              </c:strCache>
            </c:strRef>
          </c:tx>
          <c:xVal>
            <c:numRef>
              <c:f>'Cal 2017-02-27 PAO'!$B$5:$B$24</c:f>
              <c:numCache>
                <c:formatCode>General</c:formatCode>
                <c:ptCount val="20"/>
                <c:pt idx="0">
                  <c:v>0</c:v>
                </c:pt>
                <c:pt idx="1">
                  <c:v>0.12</c:v>
                </c:pt>
                <c:pt idx="2">
                  <c:v>0.2</c:v>
                </c:pt>
                <c:pt idx="3">
                  <c:v>0.5</c:v>
                </c:pt>
                <c:pt idx="4">
                  <c:v>0.83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13.75</c:v>
                </c:pt>
                <c:pt idx="17">
                  <c:v>14</c:v>
                </c:pt>
                <c:pt idx="18">
                  <c:v>14.375</c:v>
                </c:pt>
                <c:pt idx="19">
                  <c:v>14.5</c:v>
                </c:pt>
              </c:numCache>
            </c:numRef>
          </c:xVal>
          <c:yVal>
            <c:numRef>
              <c:f>'Cal 2017-02-27 PAO'!$I$5:$I$24</c:f>
              <c:numCache>
                <c:formatCode>0.0</c:formatCode>
                <c:ptCount val="20"/>
                <c:pt idx="0">
                  <c:v>0</c:v>
                </c:pt>
                <c:pt idx="1">
                  <c:v>25.320910973084889</c:v>
                </c:pt>
                <c:pt idx="2">
                  <c:v>35.238095238095241</c:v>
                </c:pt>
                <c:pt idx="3">
                  <c:v>56.676003734827269</c:v>
                </c:pt>
                <c:pt idx="4">
                  <c:v>66.421957671957671</c:v>
                </c:pt>
                <c:pt idx="5">
                  <c:v>69.530710835058656</c:v>
                </c:pt>
                <c:pt idx="6">
                  <c:v>78.584439240176948</c:v>
                </c:pt>
                <c:pt idx="7">
                  <c:v>81.807081807081786</c:v>
                </c:pt>
                <c:pt idx="8">
                  <c:v>83.02277432712215</c:v>
                </c:pt>
                <c:pt idx="9">
                  <c:v>82.243605559667742</c:v>
                </c:pt>
                <c:pt idx="10">
                  <c:v>79.165502468100968</c:v>
                </c:pt>
                <c:pt idx="11">
                  <c:v>77.637686837387676</c:v>
                </c:pt>
                <c:pt idx="12">
                  <c:v>75.553432075171187</c:v>
                </c:pt>
                <c:pt idx="13">
                  <c:v>74.87867758568396</c:v>
                </c:pt>
                <c:pt idx="14">
                  <c:v>73.838811588357856</c:v>
                </c:pt>
                <c:pt idx="15">
                  <c:v>73.354037267080741</c:v>
                </c:pt>
                <c:pt idx="16">
                  <c:v>72.874839428319916</c:v>
                </c:pt>
                <c:pt idx="17">
                  <c:v>73.123876804858384</c:v>
                </c:pt>
                <c:pt idx="18">
                  <c:v>71.753786049034318</c:v>
                </c:pt>
                <c:pt idx="19">
                  <c:v>71.51447344161177</c:v>
                </c:pt>
              </c:numCache>
            </c:numRef>
          </c:yVal>
        </c:ser>
        <c:axId val="118661504"/>
        <c:axId val="118663424"/>
      </c:scatterChart>
      <c:valAx>
        <c:axId val="118661504"/>
        <c:scaling>
          <c:orientation val="minMax"/>
          <c:max val="1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 amps</a:t>
                </a:r>
              </a:p>
            </c:rich>
          </c:tx>
          <c:layout/>
        </c:title>
        <c:numFmt formatCode="General" sourceLinked="1"/>
        <c:tickLblPos val="nextTo"/>
        <c:crossAx val="118663424"/>
        <c:crosses val="autoZero"/>
        <c:crossBetween val="midCat"/>
      </c:valAx>
      <c:valAx>
        <c:axId val="118663424"/>
        <c:scaling>
          <c:orientation val="minMax"/>
        </c:scaling>
        <c:axPos val="l"/>
        <c:majorGridlines/>
        <c:numFmt formatCode="0.0" sourceLinked="1"/>
        <c:tickLblPos val="nextTo"/>
        <c:crossAx val="11866150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RMS ADC Calibration</a:t>
            </a:r>
          </a:p>
        </c:rich>
      </c:tx>
    </c:title>
    <c:plotArea>
      <c:layout/>
      <c:scatterChart>
        <c:scatterStyle val="lineMarker"/>
        <c:ser>
          <c:idx val="1"/>
          <c:order val="1"/>
          <c:tx>
            <c:strRef>
              <c:f>VAC!$C$6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VAC!$A$7:$A$17</c:f>
              <c:numCache>
                <c:formatCode>0.00</c:formatCode>
                <c:ptCount val="11"/>
                <c:pt idx="0">
                  <c:v>140</c:v>
                </c:pt>
                <c:pt idx="1">
                  <c:v>135</c:v>
                </c:pt>
                <c:pt idx="2">
                  <c:v>130</c:v>
                </c:pt>
                <c:pt idx="3">
                  <c:v>125</c:v>
                </c:pt>
                <c:pt idx="4">
                  <c:v>120</c:v>
                </c:pt>
                <c:pt idx="5">
                  <c:v>115</c:v>
                </c:pt>
                <c:pt idx="6">
                  <c:v>110</c:v>
                </c:pt>
                <c:pt idx="7">
                  <c:v>105</c:v>
                </c:pt>
                <c:pt idx="8">
                  <c:v>100</c:v>
                </c:pt>
                <c:pt idx="9">
                  <c:v>95</c:v>
                </c:pt>
                <c:pt idx="10">
                  <c:v>90</c:v>
                </c:pt>
              </c:numCache>
            </c:numRef>
          </c:xVal>
          <c:yVal>
            <c:numRef>
              <c:f>VAC!$C$7:$C$17</c:f>
              <c:numCache>
                <c:formatCode>0.00</c:formatCode>
                <c:ptCount val="11"/>
                <c:pt idx="0">
                  <c:v>308.90909090909088</c:v>
                </c:pt>
                <c:pt idx="1">
                  <c:v>297.85454545454547</c:v>
                </c:pt>
                <c:pt idx="2">
                  <c:v>286.8</c:v>
                </c:pt>
                <c:pt idx="3">
                  <c:v>275.74545454545455</c:v>
                </c:pt>
                <c:pt idx="4">
                  <c:v>264.69090909090909</c:v>
                </c:pt>
                <c:pt idx="5">
                  <c:v>253.63636363636363</c:v>
                </c:pt>
                <c:pt idx="6">
                  <c:v>242.58181818181816</c:v>
                </c:pt>
                <c:pt idx="7">
                  <c:v>231.52727272727273</c:v>
                </c:pt>
                <c:pt idx="8">
                  <c:v>220.47272727272727</c:v>
                </c:pt>
                <c:pt idx="9">
                  <c:v>209.41818181818181</c:v>
                </c:pt>
                <c:pt idx="10">
                  <c:v>198.36363636363637</c:v>
                </c:pt>
              </c:numCache>
            </c:numRef>
          </c:yVal>
        </c:ser>
        <c:ser>
          <c:idx val="0"/>
          <c:order val="0"/>
          <c:tx>
            <c:strRef>
              <c:f>VAC!$B$6</c:f>
              <c:strCache>
                <c:ptCount val="1"/>
                <c:pt idx="0">
                  <c:v>adc</c:v>
                </c:pt>
              </c:strCache>
            </c:strRef>
          </c:tx>
          <c:marker>
            <c:symbol val="none"/>
          </c:marker>
          <c:xVal>
            <c:numRef>
              <c:f>VAC!$A$7:$A$17</c:f>
              <c:numCache>
                <c:formatCode>0.00</c:formatCode>
                <c:ptCount val="11"/>
                <c:pt idx="0">
                  <c:v>140</c:v>
                </c:pt>
                <c:pt idx="1">
                  <c:v>135</c:v>
                </c:pt>
                <c:pt idx="2">
                  <c:v>130</c:v>
                </c:pt>
                <c:pt idx="3">
                  <c:v>125</c:v>
                </c:pt>
                <c:pt idx="4">
                  <c:v>120</c:v>
                </c:pt>
                <c:pt idx="5">
                  <c:v>115</c:v>
                </c:pt>
                <c:pt idx="6">
                  <c:v>110</c:v>
                </c:pt>
                <c:pt idx="7">
                  <c:v>105</c:v>
                </c:pt>
                <c:pt idx="8">
                  <c:v>100</c:v>
                </c:pt>
                <c:pt idx="9">
                  <c:v>95</c:v>
                </c:pt>
                <c:pt idx="10">
                  <c:v>90</c:v>
                </c:pt>
              </c:numCache>
            </c:numRef>
          </c:xVal>
          <c:yVal>
            <c:numRef>
              <c:f>VAC!$B$7:$B$17</c:f>
              <c:numCache>
                <c:formatCode>0</c:formatCode>
                <c:ptCount val="11"/>
                <c:pt idx="0">
                  <c:v>308</c:v>
                </c:pt>
                <c:pt idx="1">
                  <c:v>298</c:v>
                </c:pt>
                <c:pt idx="2">
                  <c:v>288</c:v>
                </c:pt>
                <c:pt idx="3">
                  <c:v>276</c:v>
                </c:pt>
                <c:pt idx="4">
                  <c:v>264</c:v>
                </c:pt>
                <c:pt idx="5">
                  <c:v>254</c:v>
                </c:pt>
                <c:pt idx="6">
                  <c:v>242</c:v>
                </c:pt>
                <c:pt idx="7">
                  <c:v>232</c:v>
                </c:pt>
                <c:pt idx="8">
                  <c:v>220</c:v>
                </c:pt>
                <c:pt idx="9">
                  <c:v>210</c:v>
                </c:pt>
                <c:pt idx="10">
                  <c:v>198</c:v>
                </c:pt>
              </c:numCache>
            </c:numRef>
          </c:yVal>
        </c:ser>
        <c:axId val="118414720"/>
        <c:axId val="118752768"/>
      </c:scatterChart>
      <c:valAx>
        <c:axId val="118414720"/>
        <c:scaling>
          <c:orientation val="minMax"/>
          <c:max val="145"/>
          <c:min val="8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 Volts AC</a:t>
                </a:r>
              </a:p>
            </c:rich>
          </c:tx>
        </c:title>
        <c:numFmt formatCode="0.00" sourceLinked="1"/>
        <c:tickLblPos val="nextTo"/>
        <c:crossAx val="118752768"/>
        <c:crosses val="autoZero"/>
        <c:crossBetween val="midCat"/>
      </c:valAx>
      <c:valAx>
        <c:axId val="118752768"/>
        <c:scaling>
          <c:orientation val="minMax"/>
          <c:max val="310"/>
          <c:min val="19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ADC</a:t>
                </a:r>
                <a:r>
                  <a:rPr lang="en-US" baseline="0"/>
                  <a:t> Counts</a:t>
                </a:r>
                <a:endParaRPr lang="en-US"/>
              </a:p>
            </c:rich>
          </c:tx>
        </c:title>
        <c:numFmt formatCode="0" sourceLinked="0"/>
        <c:tickLblPos val="nextTo"/>
        <c:crossAx val="1184147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ILine</a:t>
            </a:r>
            <a:r>
              <a:rPr lang="en-US" baseline="0"/>
              <a:t> RMS Calibration</a:t>
            </a:r>
            <a:endParaRPr lang="en-US"/>
          </a:p>
        </c:rich>
      </c:tx>
    </c:title>
    <c:plotArea>
      <c:layout/>
      <c:scatterChart>
        <c:scatterStyle val="lineMarker"/>
        <c:ser>
          <c:idx val="1"/>
          <c:order val="1"/>
          <c:tx>
            <c:strRef>
              <c:f>ILINE!$E$6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ILINE!$B$7:$B$17</c:f>
              <c:numCache>
                <c:formatCode>0.00</c:formatCode>
                <c:ptCount val="11"/>
                <c:pt idx="0">
                  <c:v>0.41</c:v>
                </c:pt>
                <c:pt idx="1">
                  <c:v>0.73199999999999998</c:v>
                </c:pt>
                <c:pt idx="2">
                  <c:v>0.9</c:v>
                </c:pt>
                <c:pt idx="3">
                  <c:v>1.42</c:v>
                </c:pt>
                <c:pt idx="4">
                  <c:v>2.27</c:v>
                </c:pt>
                <c:pt idx="5">
                  <c:v>2.8</c:v>
                </c:pt>
                <c:pt idx="6">
                  <c:v>3</c:v>
                </c:pt>
                <c:pt idx="7">
                  <c:v>3.55</c:v>
                </c:pt>
                <c:pt idx="8">
                  <c:v>4.43</c:v>
                </c:pt>
                <c:pt idx="9">
                  <c:v>5.16</c:v>
                </c:pt>
                <c:pt idx="10">
                  <c:v>5.69</c:v>
                </c:pt>
              </c:numCache>
            </c:numRef>
          </c:xVal>
          <c:yVal>
            <c:numRef>
              <c:f>ILINE!$E$7:$E$17</c:f>
              <c:numCache>
                <c:formatCode>0.00</c:formatCode>
                <c:ptCount val="11"/>
                <c:pt idx="0">
                  <c:v>6.2336586718801454</c:v>
                </c:pt>
                <c:pt idx="1">
                  <c:v>9.3902570389001241</c:v>
                </c:pt>
                <c:pt idx="2">
                  <c:v>11.037177926040984</c:v>
                </c:pt>
                <c:pt idx="3">
                  <c:v>16.13479019576269</c:v>
                </c:pt>
                <c:pt idx="4">
                  <c:v>24.467425636653939</c:v>
                </c:pt>
                <c:pt idx="5">
                  <c:v>29.663068911562601</c:v>
                </c:pt>
                <c:pt idx="6">
                  <c:v>31.623689015301721</c:v>
                </c:pt>
                <c:pt idx="7">
                  <c:v>37.01539430058429</c:v>
                </c:pt>
                <c:pt idx="8">
                  <c:v>45.642122757036411</c:v>
                </c:pt>
                <c:pt idx="9">
                  <c:v>52.79838613568419</c:v>
                </c:pt>
                <c:pt idx="10">
                  <c:v>57.994029410592859</c:v>
                </c:pt>
              </c:numCache>
            </c:numRef>
          </c:yVal>
        </c:ser>
        <c:ser>
          <c:idx val="0"/>
          <c:order val="0"/>
          <c:tx>
            <c:strRef>
              <c:f>ILINE!$D$6</c:f>
              <c:strCache>
                <c:ptCount val="1"/>
                <c:pt idx="0">
                  <c:v>Iline</c:v>
                </c:pt>
              </c:strCache>
            </c:strRef>
          </c:tx>
          <c:marker>
            <c:symbol val="none"/>
          </c:marker>
          <c:xVal>
            <c:numRef>
              <c:f>ILINE!$B$7:$B$17</c:f>
              <c:numCache>
                <c:formatCode>0.00</c:formatCode>
                <c:ptCount val="11"/>
                <c:pt idx="0">
                  <c:v>0.41</c:v>
                </c:pt>
                <c:pt idx="1">
                  <c:v>0.73199999999999998</c:v>
                </c:pt>
                <c:pt idx="2">
                  <c:v>0.9</c:v>
                </c:pt>
                <c:pt idx="3">
                  <c:v>1.42</c:v>
                </c:pt>
                <c:pt idx="4">
                  <c:v>2.27</c:v>
                </c:pt>
                <c:pt idx="5">
                  <c:v>2.8</c:v>
                </c:pt>
                <c:pt idx="6">
                  <c:v>3</c:v>
                </c:pt>
                <c:pt idx="7">
                  <c:v>3.55</c:v>
                </c:pt>
                <c:pt idx="8">
                  <c:v>4.43</c:v>
                </c:pt>
                <c:pt idx="9">
                  <c:v>5.16</c:v>
                </c:pt>
                <c:pt idx="10">
                  <c:v>5.69</c:v>
                </c:pt>
              </c:numCache>
            </c:numRef>
          </c:xVal>
          <c:yVal>
            <c:numRef>
              <c:f>ILINE!$D$7:$D$17</c:f>
              <c:numCache>
                <c:formatCode>0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17</c:v>
                </c:pt>
                <c:pt idx="4">
                  <c:v>24</c:v>
                </c:pt>
                <c:pt idx="5">
                  <c:v>30</c:v>
                </c:pt>
                <c:pt idx="6">
                  <c:v>32</c:v>
                </c:pt>
                <c:pt idx="7">
                  <c:v>37</c:v>
                </c:pt>
                <c:pt idx="8">
                  <c:v>45</c:v>
                </c:pt>
                <c:pt idx="9">
                  <c:v>53</c:v>
                </c:pt>
                <c:pt idx="10">
                  <c:v>58</c:v>
                </c:pt>
              </c:numCache>
            </c:numRef>
          </c:yVal>
        </c:ser>
        <c:axId val="118815360"/>
        <c:axId val="118911744"/>
      </c:scatterChart>
      <c:valAx>
        <c:axId val="11881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Amps</a:t>
                </a:r>
              </a:p>
            </c:rich>
          </c:tx>
        </c:title>
        <c:numFmt formatCode="0.00" sourceLinked="1"/>
        <c:tickLblPos val="nextTo"/>
        <c:crossAx val="118911744"/>
        <c:crosses val="autoZero"/>
        <c:crossBetween val="midCat"/>
      </c:valAx>
      <c:valAx>
        <c:axId val="118911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ADC Counts</a:t>
                </a:r>
              </a:p>
            </c:rich>
          </c:tx>
        </c:title>
        <c:numFmt formatCode="0" sourceLinked="0"/>
        <c:tickLblPos val="nextTo"/>
        <c:crossAx val="1188153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3.3543139375948605E-2"/>
          <c:y val="4.1200655287216607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[1]Sheet1!$B$3</c:f>
              <c:strCache>
                <c:ptCount val="1"/>
                <c:pt idx="0">
                  <c:v>Vbatt adc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0.2796505469149968"/>
                  <c:y val="-0.19231299212598424"/>
                </c:manualLayout>
              </c:layout>
              <c:numFmt formatCode="#,##0.00000000" sourceLinked="0"/>
            </c:trendlineLbl>
          </c:trendline>
          <c:xVal>
            <c:numRef>
              <c:f>[1]Sheet1!$A$4:$A$10</c:f>
              <c:numCache>
                <c:formatCode>General</c:formatCode>
                <c:ptCount val="7"/>
                <c:pt idx="0">
                  <c:v>10.69</c:v>
                </c:pt>
                <c:pt idx="1">
                  <c:v>11.11</c:v>
                </c:pt>
                <c:pt idx="2">
                  <c:v>12.78</c:v>
                </c:pt>
                <c:pt idx="3">
                  <c:v>16.11</c:v>
                </c:pt>
                <c:pt idx="4">
                  <c:v>17.36</c:v>
                </c:pt>
                <c:pt idx="5">
                  <c:v>18.61</c:v>
                </c:pt>
                <c:pt idx="6">
                  <c:v>20.27</c:v>
                </c:pt>
              </c:numCache>
            </c:numRef>
          </c:xVal>
          <c:yVal>
            <c:numRef>
              <c:f>[1]Sheet1!$B$4:$B$10</c:f>
              <c:numCache>
                <c:formatCode>General</c:formatCode>
                <c:ptCount val="7"/>
                <c:pt idx="0">
                  <c:v>657</c:v>
                </c:pt>
                <c:pt idx="1">
                  <c:v>683</c:v>
                </c:pt>
                <c:pt idx="2">
                  <c:v>787</c:v>
                </c:pt>
                <c:pt idx="3">
                  <c:v>994</c:v>
                </c:pt>
                <c:pt idx="4">
                  <c:v>1072</c:v>
                </c:pt>
                <c:pt idx="5">
                  <c:v>1149</c:v>
                </c:pt>
                <c:pt idx="6">
                  <c:v>1253</c:v>
                </c:pt>
              </c:numCache>
            </c:numRef>
          </c:yVal>
        </c:ser>
        <c:axId val="118430336"/>
        <c:axId val="118432128"/>
      </c:scatterChart>
      <c:valAx>
        <c:axId val="118430336"/>
        <c:scaling>
          <c:orientation val="minMax"/>
          <c:min val="10"/>
        </c:scaling>
        <c:axPos val="b"/>
        <c:numFmt formatCode="General" sourceLinked="1"/>
        <c:tickLblPos val="nextTo"/>
        <c:crossAx val="118432128"/>
        <c:crosses val="autoZero"/>
        <c:crossBetween val="midCat"/>
      </c:valAx>
      <c:valAx>
        <c:axId val="118432128"/>
        <c:scaling>
          <c:orientation val="minMax"/>
        </c:scaling>
        <c:axPos val="l"/>
        <c:majorGridlines/>
        <c:numFmt formatCode="General" sourceLinked="1"/>
        <c:tickLblPos val="nextTo"/>
        <c:crossAx val="11843033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7.4752682941659432E-2"/>
          <c:y val="4.1456356416986334E-3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[1]Sheet1!$E$3</c:f>
              <c:strCache>
                <c:ptCount val="1"/>
                <c:pt idx="0">
                  <c:v>AC adc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0.19423778924186208"/>
                  <c:y val="-0.21861241333272657"/>
                </c:manualLayout>
              </c:layout>
              <c:numFmt formatCode="#,##0.000000" sourceLinked="0"/>
            </c:trendlineLbl>
          </c:trendline>
          <c:xVal>
            <c:numRef>
              <c:f>[1]Sheet1!$D$4:$D$7</c:f>
              <c:numCache>
                <c:formatCode>General</c:formatCode>
                <c:ptCount val="4"/>
                <c:pt idx="0">
                  <c:v>102.8</c:v>
                </c:pt>
                <c:pt idx="1">
                  <c:v>112.2</c:v>
                </c:pt>
                <c:pt idx="2">
                  <c:v>121.7</c:v>
                </c:pt>
                <c:pt idx="3">
                  <c:v>131</c:v>
                </c:pt>
              </c:numCache>
            </c:numRef>
          </c:xVal>
          <c:yVal>
            <c:numRef>
              <c:f>[1]Sheet1!$E$4:$E$7</c:f>
              <c:numCache>
                <c:formatCode>General</c:formatCode>
                <c:ptCount val="4"/>
                <c:pt idx="0">
                  <c:v>230</c:v>
                </c:pt>
                <c:pt idx="1">
                  <c:v>250</c:v>
                </c:pt>
                <c:pt idx="2">
                  <c:v>272</c:v>
                </c:pt>
                <c:pt idx="3">
                  <c:v>292</c:v>
                </c:pt>
              </c:numCache>
            </c:numRef>
          </c:yVal>
        </c:ser>
        <c:axId val="118468992"/>
        <c:axId val="118470528"/>
      </c:scatterChart>
      <c:valAx>
        <c:axId val="118468992"/>
        <c:scaling>
          <c:orientation val="minMax"/>
          <c:min val="90"/>
        </c:scaling>
        <c:axPos val="b"/>
        <c:numFmt formatCode="General" sourceLinked="1"/>
        <c:tickLblPos val="nextTo"/>
        <c:crossAx val="118470528"/>
        <c:crosses val="autoZero"/>
        <c:crossBetween val="midCat"/>
      </c:valAx>
      <c:valAx>
        <c:axId val="118470528"/>
        <c:scaling>
          <c:orientation val="minMax"/>
        </c:scaling>
        <c:axPos val="l"/>
        <c:majorGridlines/>
        <c:numFmt formatCode="General" sourceLinked="1"/>
        <c:tickLblPos val="nextTo"/>
        <c:crossAx val="11846899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3.2901782014090379E-2"/>
          <c:y val="6.9420632765731958E-3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[1]Sheet1!$H$3</c:f>
              <c:strCache>
                <c:ptCount val="1"/>
                <c:pt idx="0">
                  <c:v>Imeas adc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9.2724777823824656E-2"/>
                  <c:y val="-0.21785914691698036"/>
                </c:manualLayout>
              </c:layout>
              <c:numFmt formatCode="#,##0.000000" sourceLinked="0"/>
            </c:trendlineLbl>
          </c:trendline>
          <c:xVal>
            <c:numRef>
              <c:f>[1]Sheet1!$G$4:$G$11</c:f>
              <c:numCache>
                <c:formatCode>General</c:formatCode>
                <c:ptCount val="8"/>
                <c:pt idx="0">
                  <c:v>0.04</c:v>
                </c:pt>
                <c:pt idx="1">
                  <c:v>0.153</c:v>
                </c:pt>
                <c:pt idx="2">
                  <c:v>0.70599999999999996</c:v>
                </c:pt>
                <c:pt idx="3">
                  <c:v>1.4350000000000001</c:v>
                </c:pt>
                <c:pt idx="4">
                  <c:v>1.5309999999999999</c:v>
                </c:pt>
                <c:pt idx="5">
                  <c:v>1.6559999999999999</c:v>
                </c:pt>
                <c:pt idx="6">
                  <c:v>2.0670000000000002</c:v>
                </c:pt>
                <c:pt idx="7">
                  <c:v>2.8050000000000002</c:v>
                </c:pt>
              </c:numCache>
            </c:numRef>
          </c:xVal>
          <c:yVal>
            <c:numRef>
              <c:f>[1]Sheet1!$H$4:$H$11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37</c:v>
                </c:pt>
                <c:pt idx="3">
                  <c:v>75</c:v>
                </c:pt>
                <c:pt idx="4">
                  <c:v>79</c:v>
                </c:pt>
                <c:pt idx="5">
                  <c:v>86</c:v>
                </c:pt>
                <c:pt idx="6">
                  <c:v>110</c:v>
                </c:pt>
                <c:pt idx="7">
                  <c:v>151</c:v>
                </c:pt>
              </c:numCache>
            </c:numRef>
          </c:yVal>
        </c:ser>
        <c:axId val="118367744"/>
        <c:axId val="118369280"/>
      </c:scatterChart>
      <c:valAx>
        <c:axId val="118367744"/>
        <c:scaling>
          <c:orientation val="minMax"/>
        </c:scaling>
        <c:axPos val="b"/>
        <c:numFmt formatCode="General" sourceLinked="1"/>
        <c:tickLblPos val="nextTo"/>
        <c:crossAx val="118369280"/>
        <c:crosses val="autoZero"/>
        <c:crossBetween val="midCat"/>
      </c:valAx>
      <c:valAx>
        <c:axId val="118369280"/>
        <c:scaling>
          <c:orientation val="minMax"/>
        </c:scaling>
        <c:axPos val="l"/>
        <c:majorGridlines/>
        <c:numFmt formatCode="General" sourceLinked="1"/>
        <c:tickLblPos val="nextTo"/>
        <c:crossAx val="11836774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Imeas adc @ 11.93</a:t>
            </a:r>
            <a:r>
              <a:rPr lang="en-US" baseline="0"/>
              <a:t> v</a:t>
            </a:r>
            <a:endParaRPr lang="en-US"/>
          </a:p>
        </c:rich>
      </c:tx>
      <c:layout>
        <c:manualLayout>
          <c:xMode val="edge"/>
          <c:yMode val="edge"/>
          <c:x val="5.7219369317965688E-2"/>
          <c:y val="1.8518796261578412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'Cal 2017-02-27 CCD'!$L$3</c:f>
              <c:strCache>
                <c:ptCount val="1"/>
                <c:pt idx="0">
                  <c:v>Imeas adc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1.2144678496384533E-2"/>
                  <c:y val="-0.15726828264114046"/>
                </c:manualLayout>
              </c:layout>
              <c:numFmt formatCode="General" sourceLinked="0"/>
            </c:trendlineLbl>
          </c:trendline>
          <c:xVal>
            <c:numRef>
              <c:f>'Cal 2017-02-27 CCD'!$K$4:$K$6</c:f>
              <c:numCache>
                <c:formatCode>General</c:formatCode>
                <c:ptCount val="3"/>
                <c:pt idx="0">
                  <c:v>3.12</c:v>
                </c:pt>
                <c:pt idx="1">
                  <c:v>4.46</c:v>
                </c:pt>
                <c:pt idx="2">
                  <c:v>10.44</c:v>
                </c:pt>
              </c:numCache>
            </c:numRef>
          </c:xVal>
          <c:yVal>
            <c:numRef>
              <c:f>'Cal 2017-02-27 CCD'!$L$4:$L$6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36</c:v>
                </c:pt>
              </c:numCache>
            </c:numRef>
          </c:yVal>
        </c:ser>
        <c:axId val="130038784"/>
        <c:axId val="130035712"/>
      </c:scatterChart>
      <c:valAx>
        <c:axId val="130038784"/>
        <c:scaling>
          <c:orientation val="minMax"/>
        </c:scaling>
        <c:axPos val="b"/>
        <c:numFmt formatCode="General" sourceLinked="1"/>
        <c:tickLblPos val="nextTo"/>
        <c:crossAx val="130035712"/>
        <c:crosses val="autoZero"/>
        <c:crossBetween val="midCat"/>
      </c:valAx>
      <c:valAx>
        <c:axId val="130035712"/>
        <c:scaling>
          <c:orientation val="minMax"/>
        </c:scaling>
        <c:axPos val="l"/>
        <c:majorGridlines/>
        <c:numFmt formatCode="General" sourceLinked="1"/>
        <c:tickLblPos val="nextTo"/>
        <c:crossAx val="13003878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Imeas adc @ 14 v</a:t>
            </a:r>
          </a:p>
        </c:rich>
      </c:tx>
      <c:layout>
        <c:manualLayout>
          <c:xMode val="edge"/>
          <c:yMode val="edge"/>
          <c:x val="8.4697190628949176E-2"/>
          <c:y val="2.9205484828415139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'Cal 2017-02-27 CCD'!$P$3</c:f>
              <c:strCache>
                <c:ptCount val="1"/>
                <c:pt idx="0">
                  <c:v>Imeas adc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0.15354489779686631"/>
                  <c:y val="-0.14378541467363309"/>
                </c:manualLayout>
              </c:layout>
              <c:numFmt formatCode="General" sourceLinked="0"/>
            </c:trendlineLbl>
          </c:trendline>
          <c:xVal>
            <c:numRef>
              <c:f>'Cal 2017-02-27 CCD'!$O$4:$O$7</c:f>
              <c:numCache>
                <c:formatCode>General</c:formatCode>
                <c:ptCount val="4"/>
                <c:pt idx="0">
                  <c:v>3.26</c:v>
                </c:pt>
                <c:pt idx="1">
                  <c:v>4.4000000000000004</c:v>
                </c:pt>
                <c:pt idx="2">
                  <c:v>9.59</c:v>
                </c:pt>
                <c:pt idx="3">
                  <c:v>16.88</c:v>
                </c:pt>
              </c:numCache>
            </c:numRef>
          </c:xVal>
          <c:yVal>
            <c:numRef>
              <c:f>'Cal 2017-02-27 CCD'!$P$4:$P$7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37</c:v>
                </c:pt>
                <c:pt idx="3">
                  <c:v>75</c:v>
                </c:pt>
              </c:numCache>
            </c:numRef>
          </c:yVal>
        </c:ser>
        <c:axId val="164194176"/>
        <c:axId val="163994240"/>
      </c:scatterChart>
      <c:valAx>
        <c:axId val="164194176"/>
        <c:scaling>
          <c:orientation val="minMax"/>
        </c:scaling>
        <c:axPos val="b"/>
        <c:numFmt formatCode="General" sourceLinked="1"/>
        <c:tickLblPos val="nextTo"/>
        <c:crossAx val="163994240"/>
        <c:crosses val="autoZero"/>
        <c:crossBetween val="midCat"/>
      </c:valAx>
      <c:valAx>
        <c:axId val="163994240"/>
        <c:scaling>
          <c:orientation val="minMax"/>
        </c:scaling>
        <c:axPos val="l"/>
        <c:majorGridlines/>
        <c:numFmt formatCode="General" sourceLinked="1"/>
        <c:tickLblPos val="nextTo"/>
        <c:crossAx val="16419417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Imeas adc @ 16v</a:t>
            </a:r>
          </a:p>
        </c:rich>
      </c:tx>
      <c:layout>
        <c:manualLayout>
          <c:xMode val="edge"/>
          <c:yMode val="edge"/>
          <c:x val="8.0847112860892398E-2"/>
          <c:y val="2.7777777777777776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'Cal 2017-02-27 CCD'!$T$3</c:f>
              <c:strCache>
                <c:ptCount val="1"/>
                <c:pt idx="0">
                  <c:v>Imeas adc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2.8173447069116359E-2"/>
                  <c:y val="-0.17470290172061825"/>
                </c:manualLayout>
              </c:layout>
              <c:numFmt formatCode="General" sourceLinked="0"/>
            </c:trendlineLbl>
          </c:trendline>
          <c:xVal>
            <c:numRef>
              <c:f>'Cal 2017-02-27 CCD'!$S$4:$S$9</c:f>
              <c:numCache>
                <c:formatCode>General</c:formatCode>
                <c:ptCount val="6"/>
                <c:pt idx="0">
                  <c:v>3.5</c:v>
                </c:pt>
                <c:pt idx="1">
                  <c:v>4.51</c:v>
                </c:pt>
                <c:pt idx="2">
                  <c:v>9</c:v>
                </c:pt>
                <c:pt idx="3">
                  <c:v>15.5</c:v>
                </c:pt>
                <c:pt idx="4">
                  <c:v>16.29</c:v>
                </c:pt>
                <c:pt idx="5">
                  <c:v>17.93</c:v>
                </c:pt>
              </c:numCache>
            </c:numRef>
          </c:xVal>
          <c:yVal>
            <c:numRef>
              <c:f>'Cal 2017-02-27 CCD'!$T$4:$T$9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37</c:v>
                </c:pt>
                <c:pt idx="3">
                  <c:v>74</c:v>
                </c:pt>
                <c:pt idx="4">
                  <c:v>79</c:v>
                </c:pt>
                <c:pt idx="5">
                  <c:v>86</c:v>
                </c:pt>
              </c:numCache>
            </c:numRef>
          </c:yVal>
        </c:ser>
        <c:axId val="163991936"/>
        <c:axId val="132685824"/>
      </c:scatterChart>
      <c:valAx>
        <c:axId val="163991936"/>
        <c:scaling>
          <c:orientation val="minMax"/>
        </c:scaling>
        <c:axPos val="b"/>
        <c:numFmt formatCode="General" sourceLinked="1"/>
        <c:tickLblPos val="nextTo"/>
        <c:crossAx val="132685824"/>
        <c:crosses val="autoZero"/>
        <c:crossBetween val="midCat"/>
      </c:valAx>
      <c:valAx>
        <c:axId val="132685824"/>
        <c:scaling>
          <c:orientation val="minMax"/>
        </c:scaling>
        <c:axPos val="l"/>
        <c:majorGridlines/>
        <c:numFmt formatCode="General" sourceLinked="1"/>
        <c:tickLblPos val="nextTo"/>
        <c:crossAx val="1639919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Imeas adc @18v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'Cal 2017-02-27 CCD'!$T$12</c:f>
              <c:strCache>
                <c:ptCount val="1"/>
                <c:pt idx="0">
                  <c:v>Imeas adc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0.13656788356000954"/>
                  <c:y val="-0.15947428504522437"/>
                </c:manualLayout>
              </c:layout>
              <c:numFmt formatCode="General" sourceLinked="0"/>
            </c:trendlineLbl>
          </c:trendline>
          <c:xVal>
            <c:numRef>
              <c:f>'Cal 2017-02-27 CCD'!$S$13:$S$18</c:f>
              <c:numCache>
                <c:formatCode>General</c:formatCode>
                <c:ptCount val="6"/>
                <c:pt idx="0">
                  <c:v>3.73</c:v>
                </c:pt>
                <c:pt idx="1">
                  <c:v>8.6199999999999992</c:v>
                </c:pt>
                <c:pt idx="2">
                  <c:v>14.42</c:v>
                </c:pt>
                <c:pt idx="3">
                  <c:v>15.15</c:v>
                </c:pt>
                <c:pt idx="4">
                  <c:v>16.670000000000002</c:v>
                </c:pt>
                <c:pt idx="5">
                  <c:v>21.19</c:v>
                </c:pt>
              </c:numCache>
            </c:numRef>
          </c:xVal>
          <c:yVal>
            <c:numRef>
              <c:f>'Cal 2017-02-27 CCD'!$T$13:$T$18</c:f>
              <c:numCache>
                <c:formatCode>General</c:formatCode>
                <c:ptCount val="6"/>
                <c:pt idx="0">
                  <c:v>5</c:v>
                </c:pt>
                <c:pt idx="1">
                  <c:v>37</c:v>
                </c:pt>
                <c:pt idx="2">
                  <c:v>74</c:v>
                </c:pt>
                <c:pt idx="3">
                  <c:v>79</c:v>
                </c:pt>
                <c:pt idx="4">
                  <c:v>85</c:v>
                </c:pt>
                <c:pt idx="5">
                  <c:v>115</c:v>
                </c:pt>
              </c:numCache>
            </c:numRef>
          </c:yVal>
        </c:ser>
        <c:axId val="174376448"/>
        <c:axId val="165827712"/>
      </c:scatterChart>
      <c:valAx>
        <c:axId val="174376448"/>
        <c:scaling>
          <c:orientation val="minMax"/>
        </c:scaling>
        <c:axPos val="b"/>
        <c:numFmt formatCode="General" sourceLinked="1"/>
        <c:tickLblPos val="nextTo"/>
        <c:crossAx val="165827712"/>
        <c:crosses val="autoZero"/>
        <c:crossBetween val="midCat"/>
      </c:valAx>
      <c:valAx>
        <c:axId val="165827712"/>
        <c:scaling>
          <c:orientation val="minMax"/>
        </c:scaling>
        <c:axPos val="l"/>
        <c:majorGridlines/>
        <c:numFmt formatCode="General" sourceLinked="1"/>
        <c:tickLblPos val="nextTo"/>
        <c:crossAx val="1743764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1036609440213416"/>
          <c:y val="4.0899795501022497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'Cal 2017-02-27 CCD'!$Q$21</c:f>
              <c:strCache>
                <c:ptCount val="1"/>
                <c:pt idx="0">
                  <c:v>Slope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0.15856081924185705"/>
                  <c:y val="-0.3649202131942096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0.2715*volts + 1.4593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'Cal 2017-02-27 CCD'!$P$22:$P$25</c:f>
              <c:numCache>
                <c:formatCode>General</c:formatCode>
                <c:ptCount val="4"/>
                <c:pt idx="0">
                  <c:v>11.93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</c:numCache>
            </c:numRef>
          </c:xVal>
          <c:yVal>
            <c:numRef>
              <c:f>'Cal 2017-02-27 CCD'!$Q$22:$Q$25</c:f>
              <c:numCache>
                <c:formatCode>General</c:formatCode>
                <c:ptCount val="4"/>
                <c:pt idx="0">
                  <c:v>4.6120999999999999</c:v>
                </c:pt>
                <c:pt idx="1">
                  <c:v>5.3636999999999997</c:v>
                </c:pt>
                <c:pt idx="2">
                  <c:v>5.8605</c:v>
                </c:pt>
                <c:pt idx="3">
                  <c:v>6.2736999999999998</c:v>
                </c:pt>
              </c:numCache>
            </c:numRef>
          </c:yVal>
        </c:ser>
        <c:axId val="95382144"/>
        <c:axId val="95357952"/>
      </c:scatterChart>
      <c:valAx>
        <c:axId val="95382144"/>
        <c:scaling>
          <c:orientation val="minMax"/>
          <c:min val="10"/>
        </c:scaling>
        <c:axPos val="b"/>
        <c:numFmt formatCode="General" sourceLinked="1"/>
        <c:tickLblPos val="nextTo"/>
        <c:crossAx val="95357952"/>
        <c:crosses val="autoZero"/>
        <c:crossBetween val="midCat"/>
      </c:valAx>
      <c:valAx>
        <c:axId val="95357952"/>
        <c:scaling>
          <c:orientation val="minMax"/>
        </c:scaling>
        <c:axPos val="l"/>
        <c:majorGridlines/>
        <c:numFmt formatCode="General" sourceLinked="1"/>
        <c:tickLblPos val="nextTo"/>
        <c:crossAx val="953821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180974</xdr:rowOff>
    </xdr:from>
    <xdr:to>
      <xdr:col>15</xdr:col>
      <xdr:colOff>600075</xdr:colOff>
      <xdr:row>28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13</xdr:row>
      <xdr:rowOff>95250</xdr:rowOff>
    </xdr:from>
    <xdr:to>
      <xdr:col>4</xdr:col>
      <xdr:colOff>295275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13</xdr:row>
      <xdr:rowOff>95251</xdr:rowOff>
    </xdr:from>
    <xdr:to>
      <xdr:col>10</xdr:col>
      <xdr:colOff>0</xdr:colOff>
      <xdr:row>21</xdr:row>
      <xdr:rowOff>152401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23</xdr:row>
      <xdr:rowOff>123825</xdr:rowOff>
    </xdr:from>
    <xdr:to>
      <xdr:col>4</xdr:col>
      <xdr:colOff>361950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276226</xdr:colOff>
      <xdr:row>35</xdr:row>
      <xdr:rowOff>104775</xdr:rowOff>
    </xdr:from>
    <xdr:to>
      <xdr:col>4</xdr:col>
      <xdr:colOff>361951</xdr:colOff>
      <xdr:row>45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438150</xdr:colOff>
      <xdr:row>35</xdr:row>
      <xdr:rowOff>85725</xdr:rowOff>
    </xdr:from>
    <xdr:to>
      <xdr:col>9</xdr:col>
      <xdr:colOff>9525</xdr:colOff>
      <xdr:row>45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66675</xdr:colOff>
      <xdr:row>35</xdr:row>
      <xdr:rowOff>85726</xdr:rowOff>
    </xdr:from>
    <xdr:to>
      <xdr:col>13</xdr:col>
      <xdr:colOff>381000</xdr:colOff>
      <xdr:row>45</xdr:row>
      <xdr:rowOff>66676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514350</xdr:colOff>
      <xdr:row>35</xdr:row>
      <xdr:rowOff>28574</xdr:rowOff>
    </xdr:from>
    <xdr:to>
      <xdr:col>18</xdr:col>
      <xdr:colOff>504825</xdr:colOff>
      <xdr:row>45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66675</xdr:colOff>
      <xdr:row>26</xdr:row>
      <xdr:rowOff>66676</xdr:rowOff>
    </xdr:from>
    <xdr:to>
      <xdr:col>13</xdr:col>
      <xdr:colOff>342900</xdr:colOff>
      <xdr:row>34</xdr:row>
      <xdr:rowOff>47626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19050</xdr:colOff>
      <xdr:row>26</xdr:row>
      <xdr:rowOff>38100</xdr:rowOff>
    </xdr:from>
    <xdr:to>
      <xdr:col>18</xdr:col>
      <xdr:colOff>542925</xdr:colOff>
      <xdr:row>34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25</xdr:row>
      <xdr:rowOff>0</xdr:rowOff>
    </xdr:from>
    <xdr:to>
      <xdr:col>4</xdr:col>
      <xdr:colOff>504825</xdr:colOff>
      <xdr:row>35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24</xdr:row>
      <xdr:rowOff>180975</xdr:rowOff>
    </xdr:from>
    <xdr:to>
      <xdr:col>9</xdr:col>
      <xdr:colOff>476250</xdr:colOff>
      <xdr:row>36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238125</xdr:colOff>
      <xdr:row>3</xdr:row>
      <xdr:rowOff>28575</xdr:rowOff>
    </xdr:from>
    <xdr:to>
      <xdr:col>14</xdr:col>
      <xdr:colOff>400050</xdr:colOff>
      <xdr:row>14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19049</xdr:rowOff>
    </xdr:from>
    <xdr:to>
      <xdr:col>16</xdr:col>
      <xdr:colOff>200025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9524</xdr:rowOff>
    </xdr:from>
    <xdr:to>
      <xdr:col>16</xdr:col>
      <xdr:colOff>9525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PC_C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Vbatt adc</v>
          </cell>
          <cell r="E3" t="str">
            <v>AC adc</v>
          </cell>
          <cell r="H3" t="str">
            <v>Imeas adc</v>
          </cell>
        </row>
        <row r="4">
          <cell r="A4">
            <v>10.69</v>
          </cell>
          <cell r="B4">
            <v>657</v>
          </cell>
          <cell r="D4">
            <v>102.8</v>
          </cell>
          <cell r="E4">
            <v>230</v>
          </cell>
          <cell r="G4">
            <v>0.04</v>
          </cell>
          <cell r="H4">
            <v>3</v>
          </cell>
        </row>
        <row r="5">
          <cell r="A5">
            <v>11.11</v>
          </cell>
          <cell r="B5">
            <v>683</v>
          </cell>
          <cell r="D5">
            <v>112.2</v>
          </cell>
          <cell r="E5">
            <v>250</v>
          </cell>
          <cell r="G5">
            <v>0.153</v>
          </cell>
          <cell r="H5">
            <v>7</v>
          </cell>
        </row>
        <row r="6">
          <cell r="A6">
            <v>12.78</v>
          </cell>
          <cell r="B6">
            <v>787</v>
          </cell>
          <cell r="D6">
            <v>121.7</v>
          </cell>
          <cell r="E6">
            <v>272</v>
          </cell>
          <cell r="G6">
            <v>0.70599999999999996</v>
          </cell>
          <cell r="H6">
            <v>37</v>
          </cell>
        </row>
        <row r="7">
          <cell r="A7">
            <v>16.11</v>
          </cell>
          <cell r="B7">
            <v>994</v>
          </cell>
          <cell r="D7">
            <v>131</v>
          </cell>
          <cell r="E7">
            <v>292</v>
          </cell>
          <cell r="G7">
            <v>1.4350000000000001</v>
          </cell>
          <cell r="H7">
            <v>75</v>
          </cell>
        </row>
        <row r="8">
          <cell r="A8">
            <v>17.36</v>
          </cell>
          <cell r="B8">
            <v>1072</v>
          </cell>
          <cell r="G8">
            <v>1.5309999999999999</v>
          </cell>
          <cell r="H8">
            <v>79</v>
          </cell>
        </row>
        <row r="9">
          <cell r="A9">
            <v>18.61</v>
          </cell>
          <cell r="B9">
            <v>1149</v>
          </cell>
          <cell r="G9">
            <v>1.6559999999999999</v>
          </cell>
          <cell r="H9">
            <v>86</v>
          </cell>
        </row>
        <row r="10">
          <cell r="A10">
            <v>20.27</v>
          </cell>
          <cell r="B10">
            <v>1253</v>
          </cell>
          <cell r="G10">
            <v>2.0670000000000002</v>
          </cell>
          <cell r="H10">
            <v>110</v>
          </cell>
        </row>
        <row r="11">
          <cell r="G11">
            <v>2.8050000000000002</v>
          </cell>
          <cell r="H11">
            <v>151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9"/>
  <sheetViews>
    <sheetView workbookViewId="0">
      <selection activeCell="E41" sqref="E41"/>
    </sheetView>
  </sheetViews>
  <sheetFormatPr defaultRowHeight="15"/>
  <cols>
    <col min="1" max="1" width="9.5703125" bestFit="1" customWidth="1"/>
    <col min="2" max="2" width="10.42578125" style="1" bestFit="1" customWidth="1"/>
    <col min="3" max="3" width="10.28515625" style="1" customWidth="1"/>
  </cols>
  <sheetData>
    <row r="1" spans="1:17">
      <c r="F1" t="s">
        <v>0</v>
      </c>
    </row>
    <row r="2" spans="1:17">
      <c r="A2" s="2" t="s">
        <v>6</v>
      </c>
      <c r="B2" s="8">
        <v>42109</v>
      </c>
      <c r="C2" s="8"/>
      <c r="E2" t="s">
        <v>1</v>
      </c>
      <c r="F2">
        <v>2048</v>
      </c>
      <c r="G2">
        <f>(F2-B5)/B4</f>
        <v>33.24574924665442</v>
      </c>
    </row>
    <row r="3" spans="1:17">
      <c r="A3" t="s">
        <v>7</v>
      </c>
      <c r="B3" s="1" t="s">
        <v>31</v>
      </c>
    </row>
    <row r="4" spans="1:17">
      <c r="A4" s="3" t="s">
        <v>2</v>
      </c>
      <c r="B4" s="4">
        <f>SLOPE(C7:C28,A7:A28)</f>
        <v>61.749139744920413</v>
      </c>
      <c r="C4" s="4"/>
    </row>
    <row r="5" spans="1:17">
      <c r="A5" s="3" t="s">
        <v>4</v>
      </c>
      <c r="B5" s="4">
        <f>INTERCEPT(C7:C28,A7:A28)</f>
        <v>-4.896416156246346</v>
      </c>
      <c r="C5" s="4"/>
    </row>
    <row r="6" spans="1:17" s="3" customFormat="1">
      <c r="A6" s="3" t="s">
        <v>3</v>
      </c>
      <c r="B6" s="3" t="s">
        <v>8</v>
      </c>
      <c r="C6" s="5" t="s">
        <v>0</v>
      </c>
      <c r="D6" s="3" t="s">
        <v>5</v>
      </c>
      <c r="N6"/>
      <c r="O6"/>
      <c r="P6"/>
      <c r="Q6"/>
    </row>
    <row r="7" spans="1:17">
      <c r="A7" s="6">
        <v>20</v>
      </c>
      <c r="B7" s="9" t="s">
        <v>30</v>
      </c>
      <c r="C7" s="7">
        <v>1230</v>
      </c>
      <c r="D7" s="6">
        <f>($B$4*A7)+$B$5</f>
        <v>1230.0863787421617</v>
      </c>
      <c r="N7" s="3"/>
      <c r="O7" s="3"/>
    </row>
    <row r="8" spans="1:17">
      <c r="A8" s="6">
        <v>19</v>
      </c>
      <c r="B8" s="9" t="s">
        <v>29</v>
      </c>
      <c r="C8" s="7">
        <v>1168</v>
      </c>
      <c r="D8" s="6">
        <f t="shared" ref="D8:D27" si="0">($B$4*A8)+$B$5</f>
        <v>1168.3372389972415</v>
      </c>
      <c r="O8" s="3"/>
    </row>
    <row r="9" spans="1:17">
      <c r="A9" s="6">
        <v>18</v>
      </c>
      <c r="B9" s="9" t="s">
        <v>28</v>
      </c>
      <c r="C9" s="7">
        <v>1107</v>
      </c>
      <c r="D9" s="6">
        <f t="shared" si="0"/>
        <v>1106.5880992523212</v>
      </c>
      <c r="O9" s="3"/>
    </row>
    <row r="10" spans="1:17">
      <c r="A10" s="6">
        <v>17</v>
      </c>
      <c r="B10" s="9" t="s">
        <v>27</v>
      </c>
      <c r="C10" s="7">
        <v>1045</v>
      </c>
      <c r="D10" s="6">
        <f t="shared" si="0"/>
        <v>1044.8389595074009</v>
      </c>
      <c r="O10" s="3"/>
    </row>
    <row r="11" spans="1:17">
      <c r="A11" s="6">
        <v>16</v>
      </c>
      <c r="B11" s="9" t="s">
        <v>26</v>
      </c>
      <c r="C11" s="7">
        <v>983</v>
      </c>
      <c r="D11" s="6">
        <f t="shared" si="0"/>
        <v>983.08981976248026</v>
      </c>
      <c r="O11" s="3"/>
    </row>
    <row r="12" spans="1:17">
      <c r="A12" s="6">
        <v>15</v>
      </c>
      <c r="B12" s="9" t="s">
        <v>25</v>
      </c>
      <c r="C12" s="7">
        <v>922</v>
      </c>
      <c r="D12" s="6">
        <f t="shared" si="0"/>
        <v>921.34068001755986</v>
      </c>
      <c r="O12" s="3"/>
    </row>
    <row r="13" spans="1:17">
      <c r="A13" s="6">
        <v>14</v>
      </c>
      <c r="B13" s="9" t="s">
        <v>24</v>
      </c>
      <c r="C13" s="7">
        <v>859</v>
      </c>
      <c r="D13" s="6">
        <f t="shared" si="0"/>
        <v>859.59154027263946</v>
      </c>
      <c r="O13" s="3"/>
    </row>
    <row r="14" spans="1:17">
      <c r="A14" s="6">
        <v>13</v>
      </c>
      <c r="B14" s="9" t="s">
        <v>23</v>
      </c>
      <c r="C14" s="7">
        <v>798</v>
      </c>
      <c r="D14" s="6">
        <f t="shared" si="0"/>
        <v>797.84240052771906</v>
      </c>
      <c r="O14" s="3"/>
    </row>
    <row r="15" spans="1:17">
      <c r="A15" s="6">
        <v>12.6</v>
      </c>
      <c r="B15" s="9" t="s">
        <v>22</v>
      </c>
      <c r="C15" s="7">
        <v>773</v>
      </c>
      <c r="D15" s="6">
        <f t="shared" si="0"/>
        <v>773.14274462975084</v>
      </c>
      <c r="O15" s="3"/>
    </row>
    <row r="16" spans="1:17">
      <c r="A16" s="6">
        <v>12.2</v>
      </c>
      <c r="B16" s="9" t="s">
        <v>21</v>
      </c>
      <c r="C16" s="7">
        <v>748</v>
      </c>
      <c r="D16" s="6">
        <f t="shared" si="0"/>
        <v>748.44308873178261</v>
      </c>
      <c r="O16" s="3"/>
    </row>
    <row r="17" spans="1:15">
      <c r="A17" s="6">
        <v>12</v>
      </c>
      <c r="B17" s="9" t="s">
        <v>20</v>
      </c>
      <c r="C17" s="7">
        <v>736</v>
      </c>
      <c r="D17" s="6">
        <f t="shared" si="0"/>
        <v>736.09326078279867</v>
      </c>
      <c r="O17" s="3"/>
    </row>
    <row r="18" spans="1:15">
      <c r="A18" s="6">
        <v>11.75</v>
      </c>
      <c r="B18" s="9" t="s">
        <v>17</v>
      </c>
      <c r="C18" s="7">
        <v>720</v>
      </c>
      <c r="D18" s="6">
        <f t="shared" si="0"/>
        <v>720.65597584656848</v>
      </c>
      <c r="O18" s="3"/>
    </row>
    <row r="19" spans="1:15">
      <c r="A19" s="6">
        <v>11.5</v>
      </c>
      <c r="B19" s="9" t="s">
        <v>16</v>
      </c>
      <c r="C19" s="7">
        <v>706</v>
      </c>
      <c r="D19" s="6">
        <f t="shared" si="0"/>
        <v>705.21869091033841</v>
      </c>
      <c r="O19" s="3"/>
    </row>
    <row r="20" spans="1:15">
      <c r="A20" s="6">
        <v>11.25</v>
      </c>
      <c r="B20" s="9" t="s">
        <v>18</v>
      </c>
      <c r="C20" s="7">
        <v>690</v>
      </c>
      <c r="D20" s="6">
        <f t="shared" si="0"/>
        <v>689.78140597410834</v>
      </c>
      <c r="O20" s="3"/>
    </row>
    <row r="21" spans="1:15">
      <c r="A21" s="6">
        <v>11</v>
      </c>
      <c r="B21" s="9" t="s">
        <v>19</v>
      </c>
      <c r="C21" s="7">
        <v>674</v>
      </c>
      <c r="D21" s="6">
        <f t="shared" si="0"/>
        <v>674.34412103787815</v>
      </c>
      <c r="O21" s="3"/>
    </row>
    <row r="22" spans="1:15">
      <c r="A22" s="6">
        <v>10.75</v>
      </c>
      <c r="B22" s="9" t="s">
        <v>15</v>
      </c>
      <c r="C22" s="7">
        <v>659</v>
      </c>
      <c r="D22" s="6">
        <f t="shared" si="0"/>
        <v>658.90683610164808</v>
      </c>
      <c r="O22" s="3"/>
    </row>
    <row r="23" spans="1:15">
      <c r="A23" s="6">
        <v>10.5</v>
      </c>
      <c r="B23" s="9" t="s">
        <v>14</v>
      </c>
      <c r="C23" s="7">
        <v>644</v>
      </c>
      <c r="D23" s="6">
        <f t="shared" si="0"/>
        <v>643.46955116541801</v>
      </c>
      <c r="O23" s="3"/>
    </row>
    <row r="24" spans="1:15">
      <c r="A24" s="6">
        <v>10</v>
      </c>
      <c r="B24" s="9" t="s">
        <v>13</v>
      </c>
      <c r="C24" s="7">
        <v>612</v>
      </c>
      <c r="D24" s="6">
        <f t="shared" si="0"/>
        <v>612.59498129295775</v>
      </c>
      <c r="O24" s="3"/>
    </row>
    <row r="25" spans="1:15">
      <c r="A25" s="6">
        <v>9.5</v>
      </c>
      <c r="B25" s="9" t="s">
        <v>12</v>
      </c>
      <c r="C25" s="7">
        <v>582</v>
      </c>
      <c r="D25" s="6">
        <f t="shared" si="0"/>
        <v>581.72041142049761</v>
      </c>
      <c r="O25" s="3"/>
    </row>
    <row r="26" spans="1:15">
      <c r="A26" s="6">
        <v>9</v>
      </c>
      <c r="B26" s="9" t="s">
        <v>11</v>
      </c>
      <c r="C26" s="7">
        <v>551</v>
      </c>
      <c r="D26" s="6">
        <f t="shared" si="0"/>
        <v>550.84584154803736</v>
      </c>
      <c r="O26" s="3"/>
    </row>
    <row r="27" spans="1:15">
      <c r="A27" s="6">
        <v>8.5</v>
      </c>
      <c r="B27" s="9" t="s">
        <v>10</v>
      </c>
      <c r="C27" s="7">
        <v>520</v>
      </c>
      <c r="D27" s="6">
        <f t="shared" si="0"/>
        <v>519.97127167557721</v>
      </c>
      <c r="O27" s="3"/>
    </row>
    <row r="28" spans="1:15">
      <c r="A28" s="6">
        <v>8</v>
      </c>
      <c r="B28" s="9" t="s">
        <v>9</v>
      </c>
      <c r="C28" s="7">
        <v>489</v>
      </c>
      <c r="D28" s="6">
        <f>($B$4*A28)+$B$5</f>
        <v>489.09670180311696</v>
      </c>
      <c r="O28" s="3"/>
    </row>
    <row r="29" spans="1:15">
      <c r="A29" s="6"/>
      <c r="N29" s="3"/>
    </row>
    <row r="30" spans="1:15">
      <c r="A30" s="6"/>
      <c r="B30" s="7"/>
      <c r="C30" s="7"/>
      <c r="N30" s="3"/>
    </row>
    <row r="31" spans="1:15">
      <c r="N31" s="3"/>
    </row>
    <row r="32" spans="1:15">
      <c r="N32" s="3"/>
    </row>
    <row r="33" spans="1:14">
      <c r="N33" s="3"/>
    </row>
    <row r="34" spans="1:14">
      <c r="N34" s="3"/>
    </row>
    <row r="35" spans="1:14">
      <c r="N35" s="3"/>
    </row>
    <row r="36" spans="1:14">
      <c r="A36" s="2"/>
      <c r="N36" s="3"/>
    </row>
    <row r="37" spans="1:14">
      <c r="N37" s="3"/>
    </row>
    <row r="38" spans="1:14">
      <c r="N38" s="3"/>
    </row>
    <row r="39" spans="1:14">
      <c r="A39" s="6"/>
      <c r="N39" s="3"/>
    </row>
    <row r="40" spans="1:14">
      <c r="A40" s="6"/>
      <c r="N40" s="3"/>
    </row>
    <row r="41" spans="1:14">
      <c r="A41" s="6"/>
      <c r="N41" s="3"/>
    </row>
    <row r="42" spans="1:14">
      <c r="A42" s="6"/>
      <c r="N42" s="3"/>
    </row>
    <row r="43" spans="1:14">
      <c r="A43" s="6"/>
      <c r="N43" s="3"/>
    </row>
    <row r="44" spans="1:14">
      <c r="A44" s="6"/>
      <c r="N44" s="3"/>
    </row>
    <row r="45" spans="1:14">
      <c r="A45" s="6"/>
      <c r="N45" s="3"/>
    </row>
    <row r="46" spans="1:14">
      <c r="A46" s="6"/>
    </row>
    <row r="47" spans="1:14">
      <c r="A47" s="6"/>
    </row>
    <row r="48" spans="1:14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6"/>
  <sheetViews>
    <sheetView topLeftCell="I1" workbookViewId="0">
      <selection activeCell="V3" sqref="V3:Y22"/>
    </sheetView>
  </sheetViews>
  <sheetFormatPr defaultRowHeight="15"/>
  <cols>
    <col min="2" max="2" width="10.7109375" customWidth="1"/>
    <col min="9" max="9" width="3.5703125" customWidth="1"/>
    <col min="13" max="13" width="3.140625" customWidth="1"/>
    <col min="17" max="17" width="9" customWidth="1"/>
  </cols>
  <sheetData>
    <row r="1" spans="1:25">
      <c r="A1" s="21" t="s">
        <v>75</v>
      </c>
      <c r="B1" s="22">
        <v>42793</v>
      </c>
      <c r="C1" s="23"/>
      <c r="D1" s="24" t="s">
        <v>82</v>
      </c>
    </row>
    <row r="3" spans="1:25">
      <c r="A3" s="20" t="s">
        <v>76</v>
      </c>
      <c r="B3" s="20" t="s">
        <v>77</v>
      </c>
      <c r="D3" s="20" t="s">
        <v>78</v>
      </c>
      <c r="E3" s="20" t="s">
        <v>79</v>
      </c>
      <c r="G3" s="20" t="s">
        <v>80</v>
      </c>
      <c r="H3" s="20" t="s">
        <v>81</v>
      </c>
      <c r="I3" s="31"/>
      <c r="J3" s="30" t="s">
        <v>95</v>
      </c>
      <c r="K3" s="30" t="s">
        <v>94</v>
      </c>
      <c r="L3" s="20" t="s">
        <v>81</v>
      </c>
      <c r="N3" s="30" t="s">
        <v>95</v>
      </c>
      <c r="O3" s="30" t="s">
        <v>94</v>
      </c>
      <c r="P3" s="20" t="s">
        <v>81</v>
      </c>
      <c r="R3" s="30" t="s">
        <v>95</v>
      </c>
      <c r="S3" s="30" t="s">
        <v>94</v>
      </c>
      <c r="T3" s="20" t="s">
        <v>81</v>
      </c>
      <c r="V3" s="30" t="s">
        <v>95</v>
      </c>
      <c r="W3" s="30" t="s">
        <v>94</v>
      </c>
      <c r="X3" s="30" t="s">
        <v>99</v>
      </c>
      <c r="Y3" s="20" t="s">
        <v>81</v>
      </c>
    </row>
    <row r="4" spans="1:25">
      <c r="A4" s="20">
        <v>10.69</v>
      </c>
      <c r="B4" s="20">
        <v>657</v>
      </c>
      <c r="D4" s="20">
        <v>102.8</v>
      </c>
      <c r="E4" s="20">
        <v>230</v>
      </c>
      <c r="G4" s="20">
        <v>0.04</v>
      </c>
      <c r="H4" s="20">
        <v>3</v>
      </c>
      <c r="I4" s="31"/>
      <c r="J4" s="30">
        <v>11.93</v>
      </c>
      <c r="K4" s="30">
        <v>3.12</v>
      </c>
      <c r="L4" s="20">
        <v>3</v>
      </c>
      <c r="N4" s="30">
        <v>14</v>
      </c>
      <c r="O4" s="30">
        <v>3.26</v>
      </c>
      <c r="P4" s="20">
        <v>3</v>
      </c>
      <c r="R4" s="30">
        <v>16</v>
      </c>
      <c r="S4" s="30">
        <v>3.5</v>
      </c>
      <c r="T4" s="20">
        <v>3</v>
      </c>
      <c r="V4" s="30">
        <v>11.93</v>
      </c>
      <c r="W4" s="30">
        <v>3.12</v>
      </c>
      <c r="X4" s="32">
        <f>V4*W4</f>
        <v>37.221600000000002</v>
      </c>
      <c r="Y4" s="20">
        <v>3</v>
      </c>
    </row>
    <row r="5" spans="1:25">
      <c r="A5" s="20">
        <v>11.11</v>
      </c>
      <c r="B5" s="20">
        <v>683</v>
      </c>
      <c r="D5" s="20">
        <v>112.2</v>
      </c>
      <c r="E5" s="20">
        <v>250</v>
      </c>
      <c r="G5" s="20">
        <v>0.153</v>
      </c>
      <c r="H5" s="20">
        <v>7</v>
      </c>
      <c r="I5" s="31"/>
      <c r="J5" s="30">
        <v>11.93</v>
      </c>
      <c r="K5" s="30">
        <v>4.46</v>
      </c>
      <c r="L5" s="20">
        <v>7</v>
      </c>
      <c r="N5" s="30">
        <v>14</v>
      </c>
      <c r="O5" s="30">
        <v>4.4000000000000004</v>
      </c>
      <c r="P5" s="20">
        <v>7</v>
      </c>
      <c r="R5" s="30">
        <v>16</v>
      </c>
      <c r="S5" s="30">
        <v>4.51</v>
      </c>
      <c r="T5" s="20">
        <v>8</v>
      </c>
      <c r="V5" s="30">
        <v>14</v>
      </c>
      <c r="W5" s="30">
        <v>3.26</v>
      </c>
      <c r="X5" s="32">
        <f>V5*W5</f>
        <v>45.64</v>
      </c>
      <c r="Y5" s="20">
        <v>3</v>
      </c>
    </row>
    <row r="6" spans="1:25">
      <c r="A6" s="20">
        <v>12.78</v>
      </c>
      <c r="B6" s="20">
        <v>787</v>
      </c>
      <c r="D6" s="20">
        <v>121.7</v>
      </c>
      <c r="E6" s="20">
        <v>272</v>
      </c>
      <c r="G6" s="20">
        <v>0.70599999999999996</v>
      </c>
      <c r="H6" s="20">
        <v>37</v>
      </c>
      <c r="I6" s="31"/>
      <c r="J6" s="30">
        <v>11.93</v>
      </c>
      <c r="K6" s="30">
        <v>10.44</v>
      </c>
      <c r="L6" s="20">
        <v>36</v>
      </c>
      <c r="N6" s="30">
        <v>14</v>
      </c>
      <c r="O6" s="30">
        <v>9.59</v>
      </c>
      <c r="P6" s="20">
        <v>37</v>
      </c>
      <c r="R6" s="30">
        <v>16</v>
      </c>
      <c r="S6" s="30">
        <v>9</v>
      </c>
      <c r="T6" s="20">
        <v>37</v>
      </c>
      <c r="V6" s="30">
        <v>16</v>
      </c>
      <c r="W6" s="30">
        <v>3.5</v>
      </c>
      <c r="X6" s="32">
        <f>V6*W6</f>
        <v>56</v>
      </c>
      <c r="Y6" s="20">
        <v>3</v>
      </c>
    </row>
    <row r="7" spans="1:25">
      <c r="A7" s="20">
        <v>16.11</v>
      </c>
      <c r="B7" s="20">
        <v>994</v>
      </c>
      <c r="D7" s="20">
        <v>131</v>
      </c>
      <c r="E7" s="20">
        <v>292</v>
      </c>
      <c r="G7" s="20">
        <v>1.4350000000000001</v>
      </c>
      <c r="H7" s="20">
        <v>75</v>
      </c>
      <c r="I7" s="31"/>
      <c r="J7" s="30">
        <v>11.93</v>
      </c>
      <c r="K7" s="30"/>
      <c r="L7" s="20"/>
      <c r="N7" s="30">
        <v>14</v>
      </c>
      <c r="O7" s="30">
        <v>16.88</v>
      </c>
      <c r="P7" s="20">
        <v>75</v>
      </c>
      <c r="R7" s="30">
        <v>16</v>
      </c>
      <c r="S7" s="30">
        <v>15.5</v>
      </c>
      <c r="T7" s="20">
        <v>74</v>
      </c>
      <c r="V7" s="30">
        <v>18</v>
      </c>
      <c r="W7" s="30">
        <v>3.73</v>
      </c>
      <c r="X7" s="32">
        <f>V7*W7</f>
        <v>67.14</v>
      </c>
      <c r="Y7" s="20">
        <v>5</v>
      </c>
    </row>
    <row r="8" spans="1:25">
      <c r="A8" s="20">
        <v>17.36</v>
      </c>
      <c r="B8" s="20">
        <v>1072</v>
      </c>
      <c r="G8" s="20">
        <v>1.5309999999999999</v>
      </c>
      <c r="H8" s="20">
        <v>79</v>
      </c>
      <c r="I8" s="31"/>
      <c r="J8" s="30">
        <v>11.93</v>
      </c>
      <c r="K8" s="30"/>
      <c r="L8" s="20"/>
      <c r="N8" s="30">
        <v>14</v>
      </c>
      <c r="O8" s="30"/>
      <c r="P8" s="20"/>
      <c r="R8" s="30">
        <v>16</v>
      </c>
      <c r="S8" s="30">
        <v>16.29</v>
      </c>
      <c r="T8" s="20">
        <v>79</v>
      </c>
      <c r="V8" s="30">
        <v>11.93</v>
      </c>
      <c r="W8" s="30">
        <v>4.46</v>
      </c>
      <c r="X8" s="32">
        <f>V8*W8</f>
        <v>53.207799999999999</v>
      </c>
      <c r="Y8" s="20">
        <v>7</v>
      </c>
    </row>
    <row r="9" spans="1:25">
      <c r="A9" s="20">
        <v>18.61</v>
      </c>
      <c r="B9" s="20">
        <v>1149</v>
      </c>
      <c r="G9" s="20">
        <v>1.6559999999999999</v>
      </c>
      <c r="H9" s="20">
        <v>86</v>
      </c>
      <c r="I9" s="31"/>
      <c r="J9" s="30">
        <v>11.93</v>
      </c>
      <c r="K9" s="30"/>
      <c r="L9" s="20"/>
      <c r="N9" s="30">
        <v>14</v>
      </c>
      <c r="O9" s="30"/>
      <c r="P9" s="20"/>
      <c r="R9" s="30">
        <v>16</v>
      </c>
      <c r="S9" s="30">
        <v>17.93</v>
      </c>
      <c r="T9" s="20">
        <v>86</v>
      </c>
      <c r="V9" s="30">
        <v>14</v>
      </c>
      <c r="W9" s="30">
        <v>4.4000000000000004</v>
      </c>
      <c r="X9" s="32">
        <f>V9*W9</f>
        <v>61.600000000000009</v>
      </c>
      <c r="Y9" s="20">
        <v>7</v>
      </c>
    </row>
    <row r="10" spans="1:25">
      <c r="A10" s="20">
        <v>20.27</v>
      </c>
      <c r="B10" s="20">
        <v>1253</v>
      </c>
      <c r="G10" s="20">
        <v>2.0670000000000002</v>
      </c>
      <c r="H10" s="20">
        <v>110</v>
      </c>
      <c r="I10" s="31"/>
      <c r="V10" s="30">
        <v>16</v>
      </c>
      <c r="W10" s="30">
        <v>4.51</v>
      </c>
      <c r="X10" s="32">
        <f>V10*W10</f>
        <v>72.16</v>
      </c>
      <c r="Y10" s="20">
        <v>8</v>
      </c>
    </row>
    <row r="11" spans="1:25">
      <c r="G11" s="20">
        <v>2.8050000000000002</v>
      </c>
      <c r="H11" s="20">
        <v>151</v>
      </c>
      <c r="I11" s="31"/>
      <c r="V11" s="30">
        <v>11.93</v>
      </c>
      <c r="W11" s="30">
        <v>10.44</v>
      </c>
      <c r="X11" s="32">
        <f>V11*W11</f>
        <v>124.54919999999998</v>
      </c>
      <c r="Y11" s="20">
        <v>36</v>
      </c>
    </row>
    <row r="12" spans="1:25">
      <c r="R12" s="30" t="s">
        <v>95</v>
      </c>
      <c r="S12" s="30" t="s">
        <v>94</v>
      </c>
      <c r="T12" s="20" t="s">
        <v>81</v>
      </c>
      <c r="V12" s="30">
        <v>14</v>
      </c>
      <c r="W12" s="30">
        <v>9.59</v>
      </c>
      <c r="X12" s="32">
        <f>V12*W12</f>
        <v>134.26</v>
      </c>
      <c r="Y12" s="20">
        <v>37</v>
      </c>
    </row>
    <row r="13" spans="1:25">
      <c r="R13" s="30">
        <v>18</v>
      </c>
      <c r="S13" s="30">
        <v>3.73</v>
      </c>
      <c r="T13" s="20">
        <v>5</v>
      </c>
      <c r="V13" s="30">
        <v>16</v>
      </c>
      <c r="W13" s="30">
        <v>9</v>
      </c>
      <c r="X13" s="32">
        <f>V13*W13</f>
        <v>144</v>
      </c>
      <c r="Y13" s="20">
        <v>37</v>
      </c>
    </row>
    <row r="14" spans="1:25">
      <c r="R14" s="30">
        <v>18</v>
      </c>
      <c r="S14" s="30">
        <v>8.6199999999999992</v>
      </c>
      <c r="T14" s="20">
        <v>37</v>
      </c>
      <c r="V14" s="30">
        <v>18</v>
      </c>
      <c r="W14" s="30">
        <v>8.6199999999999992</v>
      </c>
      <c r="X14" s="32">
        <f>V14*W14</f>
        <v>155.16</v>
      </c>
      <c r="Y14" s="20">
        <v>37</v>
      </c>
    </row>
    <row r="15" spans="1:25">
      <c r="R15" s="30">
        <v>18</v>
      </c>
      <c r="S15" s="30">
        <v>14.42</v>
      </c>
      <c r="T15" s="20">
        <v>74</v>
      </c>
      <c r="V15" s="30">
        <v>16</v>
      </c>
      <c r="W15" s="30">
        <v>15.5</v>
      </c>
      <c r="X15" s="32">
        <f>V15*W15</f>
        <v>248</v>
      </c>
      <c r="Y15" s="20">
        <v>74</v>
      </c>
    </row>
    <row r="16" spans="1:25">
      <c r="R16" s="30">
        <v>18</v>
      </c>
      <c r="S16" s="30">
        <v>15.15</v>
      </c>
      <c r="T16" s="20">
        <v>79</v>
      </c>
      <c r="V16" s="30">
        <v>18</v>
      </c>
      <c r="W16" s="30">
        <v>14.42</v>
      </c>
      <c r="X16" s="32">
        <f>V16*W16</f>
        <v>259.56</v>
      </c>
      <c r="Y16" s="20">
        <v>74</v>
      </c>
    </row>
    <row r="17" spans="16:25">
      <c r="R17" s="30">
        <v>18</v>
      </c>
      <c r="S17" s="30">
        <v>16.670000000000002</v>
      </c>
      <c r="T17" s="20">
        <v>85</v>
      </c>
      <c r="V17" s="30">
        <v>14</v>
      </c>
      <c r="W17" s="30">
        <v>16.88</v>
      </c>
      <c r="X17" s="32">
        <f>V17*W17</f>
        <v>236.32</v>
      </c>
      <c r="Y17" s="20">
        <v>75</v>
      </c>
    </row>
    <row r="18" spans="16:25">
      <c r="R18" s="20">
        <v>18</v>
      </c>
      <c r="S18" s="30">
        <v>21.19</v>
      </c>
      <c r="T18" s="30">
        <v>115</v>
      </c>
      <c r="V18" s="30">
        <v>16</v>
      </c>
      <c r="W18" s="30">
        <v>16.29</v>
      </c>
      <c r="X18" s="32">
        <f>V18*W18</f>
        <v>260.64</v>
      </c>
      <c r="Y18" s="20">
        <v>79</v>
      </c>
    </row>
    <row r="19" spans="16:25">
      <c r="V19" s="30">
        <v>18</v>
      </c>
      <c r="W19" s="30">
        <v>15.15</v>
      </c>
      <c r="X19" s="32">
        <f>V19*W19</f>
        <v>272.7</v>
      </c>
      <c r="Y19" s="20">
        <v>79</v>
      </c>
    </row>
    <row r="20" spans="16:25">
      <c r="V20" s="30">
        <v>18</v>
      </c>
      <c r="W20" s="30">
        <v>16.670000000000002</v>
      </c>
      <c r="X20" s="32">
        <f>V20*W20</f>
        <v>300.06000000000006</v>
      </c>
      <c r="Y20" s="20">
        <v>85</v>
      </c>
    </row>
    <row r="21" spans="16:25">
      <c r="P21" s="20" t="s">
        <v>96</v>
      </c>
      <c r="Q21" s="20" t="s">
        <v>97</v>
      </c>
      <c r="R21" s="20" t="s">
        <v>98</v>
      </c>
      <c r="V21" s="30">
        <v>16</v>
      </c>
      <c r="W21" s="30">
        <v>17.93</v>
      </c>
      <c r="X21" s="32">
        <f>V21*W21</f>
        <v>286.88</v>
      </c>
      <c r="Y21" s="20">
        <v>86</v>
      </c>
    </row>
    <row r="22" spans="16:25">
      <c r="P22" s="20">
        <v>11.93</v>
      </c>
      <c r="Q22" s="20">
        <v>4.6120999999999999</v>
      </c>
      <c r="R22" s="20">
        <v>-12.37</v>
      </c>
      <c r="V22" s="20">
        <v>18</v>
      </c>
      <c r="W22" s="30">
        <v>21.19</v>
      </c>
      <c r="X22" s="32">
        <f>V22*W22</f>
        <v>381.42</v>
      </c>
      <c r="Y22" s="30">
        <v>115</v>
      </c>
    </row>
    <row r="23" spans="16:25">
      <c r="P23" s="20">
        <v>14</v>
      </c>
      <c r="Q23" s="20">
        <v>5.3636999999999997</v>
      </c>
      <c r="R23" s="20">
        <v>-15.265000000000001</v>
      </c>
    </row>
    <row r="24" spans="16:25">
      <c r="P24" s="20">
        <v>16</v>
      </c>
      <c r="Q24" s="20">
        <v>5.8605</v>
      </c>
      <c r="R24" s="20">
        <v>-17.346</v>
      </c>
    </row>
    <row r="25" spans="16:25">
      <c r="P25" s="20">
        <v>18</v>
      </c>
      <c r="Q25" s="20">
        <v>6.2736999999999998</v>
      </c>
      <c r="R25" s="20">
        <v>-17.587</v>
      </c>
    </row>
    <row r="26" spans="16:25">
      <c r="P26" s="17"/>
      <c r="Q26" s="17"/>
      <c r="R26" s="17"/>
    </row>
  </sheetData>
  <sortState ref="V4:Y22">
    <sortCondition ref="Y4:Y2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P33"/>
  <sheetViews>
    <sheetView tabSelected="1" topLeftCell="A7" workbookViewId="0">
      <selection activeCell="J12" sqref="J12"/>
    </sheetView>
  </sheetViews>
  <sheetFormatPr defaultRowHeight="15"/>
  <cols>
    <col min="5" max="5" width="9.5703125" customWidth="1"/>
  </cols>
  <sheetData>
    <row r="3" spans="2:16">
      <c r="B3" s="30" t="s">
        <v>95</v>
      </c>
      <c r="C3" s="30" t="s">
        <v>94</v>
      </c>
      <c r="D3" s="20" t="s">
        <v>81</v>
      </c>
      <c r="F3" s="30" t="s">
        <v>95</v>
      </c>
      <c r="G3" s="30" t="s">
        <v>94</v>
      </c>
      <c r="H3" s="20" t="s">
        <v>81</v>
      </c>
      <c r="J3" s="30" t="s">
        <v>95</v>
      </c>
      <c r="K3" s="30" t="s">
        <v>94</v>
      </c>
      <c r="L3" s="20" t="s">
        <v>81</v>
      </c>
      <c r="N3" s="30" t="s">
        <v>95</v>
      </c>
      <c r="O3" s="30" t="s">
        <v>94</v>
      </c>
      <c r="P3" s="20" t="s">
        <v>81</v>
      </c>
    </row>
    <row r="4" spans="2:16">
      <c r="B4" s="30">
        <v>11.93</v>
      </c>
      <c r="C4" s="30">
        <v>3.12</v>
      </c>
      <c r="D4" s="20">
        <v>3</v>
      </c>
      <c r="F4" s="30">
        <v>14</v>
      </c>
      <c r="G4" s="30">
        <v>3.26</v>
      </c>
      <c r="H4" s="20">
        <v>3</v>
      </c>
      <c r="J4" s="30">
        <v>16</v>
      </c>
      <c r="K4" s="30">
        <v>3.5</v>
      </c>
      <c r="L4" s="20">
        <v>3</v>
      </c>
      <c r="N4" s="30">
        <v>18</v>
      </c>
      <c r="O4" s="30">
        <v>3.73</v>
      </c>
      <c r="P4" s="20">
        <v>5</v>
      </c>
    </row>
    <row r="5" spans="2:16">
      <c r="B5" s="30">
        <v>11.93</v>
      </c>
      <c r="C5" s="30">
        <v>4.46</v>
      </c>
      <c r="D5" s="20">
        <v>7</v>
      </c>
      <c r="F5" s="30">
        <v>14</v>
      </c>
      <c r="G5" s="30">
        <v>4.4000000000000004</v>
      </c>
      <c r="H5" s="20">
        <v>7</v>
      </c>
      <c r="J5" s="30">
        <v>16</v>
      </c>
      <c r="K5" s="30">
        <v>4.51</v>
      </c>
      <c r="L5" s="20">
        <v>8</v>
      </c>
      <c r="N5" s="30">
        <v>18</v>
      </c>
      <c r="O5" s="30">
        <v>8.6199999999999992</v>
      </c>
      <c r="P5" s="20">
        <v>37</v>
      </c>
    </row>
    <row r="6" spans="2:16">
      <c r="B6" s="30">
        <v>11.93</v>
      </c>
      <c r="C6" s="30">
        <v>10.44</v>
      </c>
      <c r="D6" s="20">
        <v>36</v>
      </c>
      <c r="F6" s="30">
        <v>14</v>
      </c>
      <c r="G6" s="30">
        <v>9.59</v>
      </c>
      <c r="H6" s="20">
        <v>37</v>
      </c>
      <c r="J6" s="30">
        <v>16</v>
      </c>
      <c r="K6" s="30">
        <v>9</v>
      </c>
      <c r="L6" s="20">
        <v>37</v>
      </c>
      <c r="N6" s="30">
        <v>18</v>
      </c>
      <c r="O6" s="30">
        <v>14.42</v>
      </c>
      <c r="P6" s="20">
        <v>74</v>
      </c>
    </row>
    <row r="7" spans="2:16">
      <c r="B7" s="30">
        <v>11.93</v>
      </c>
      <c r="C7" s="30"/>
      <c r="D7" s="20"/>
      <c r="F7" s="30">
        <v>14</v>
      </c>
      <c r="G7" s="30">
        <v>16.88</v>
      </c>
      <c r="H7" s="20">
        <v>75</v>
      </c>
      <c r="J7" s="30">
        <v>16</v>
      </c>
      <c r="K7" s="30">
        <v>15.5</v>
      </c>
      <c r="L7" s="20">
        <v>74</v>
      </c>
      <c r="N7" s="30">
        <v>18</v>
      </c>
      <c r="O7" s="30">
        <v>15.15</v>
      </c>
      <c r="P7" s="20">
        <v>79</v>
      </c>
    </row>
    <row r="8" spans="2:16">
      <c r="B8" s="30">
        <v>11.93</v>
      </c>
      <c r="C8" s="30"/>
      <c r="D8" s="20"/>
      <c r="F8" s="30">
        <v>14</v>
      </c>
      <c r="G8" s="30"/>
      <c r="H8" s="20"/>
      <c r="J8" s="30">
        <v>16</v>
      </c>
      <c r="K8" s="30">
        <v>16.29</v>
      </c>
      <c r="L8" s="20">
        <v>79</v>
      </c>
      <c r="N8" s="30">
        <v>18</v>
      </c>
      <c r="O8" s="30">
        <v>16.670000000000002</v>
      </c>
      <c r="P8" s="20">
        <v>85</v>
      </c>
    </row>
    <row r="9" spans="2:16">
      <c r="B9" s="30">
        <v>11.93</v>
      </c>
      <c r="C9" s="30"/>
      <c r="D9" s="20"/>
      <c r="F9" s="30">
        <v>14</v>
      </c>
      <c r="G9" s="30"/>
      <c r="H9" s="20"/>
      <c r="J9" s="30">
        <v>16</v>
      </c>
      <c r="K9" s="30">
        <v>17.93</v>
      </c>
      <c r="L9" s="20">
        <v>86</v>
      </c>
      <c r="N9" s="20">
        <v>18</v>
      </c>
      <c r="O9" s="30">
        <v>21.19</v>
      </c>
      <c r="P9" s="30">
        <v>115</v>
      </c>
    </row>
    <row r="13" spans="2:16">
      <c r="F13" t="s">
        <v>101</v>
      </c>
    </row>
    <row r="14" spans="2:16">
      <c r="B14" s="30" t="s">
        <v>95</v>
      </c>
      <c r="C14" s="30" t="s">
        <v>94</v>
      </c>
      <c r="D14" s="30" t="s">
        <v>99</v>
      </c>
      <c r="E14" s="20" t="s">
        <v>81</v>
      </c>
      <c r="F14" s="35" t="s">
        <v>100</v>
      </c>
    </row>
    <row r="15" spans="2:16">
      <c r="B15" s="30">
        <v>12</v>
      </c>
      <c r="C15" s="34">
        <v>3.12</v>
      </c>
      <c r="D15" s="32">
        <f>B15*C15</f>
        <v>37.44</v>
      </c>
      <c r="E15" s="20">
        <v>3</v>
      </c>
      <c r="F15" s="33">
        <f>(E15+0.97165)/53.47573</f>
        <v>7.4270140865772188E-2</v>
      </c>
      <c r="G15" s="33"/>
    </row>
    <row r="16" spans="2:16">
      <c r="B16" s="30">
        <v>14</v>
      </c>
      <c r="C16" s="34">
        <v>3.26</v>
      </c>
      <c r="D16" s="32">
        <f>B16*C16</f>
        <v>45.64</v>
      </c>
      <c r="E16" s="20">
        <v>3</v>
      </c>
      <c r="F16" s="33">
        <f t="shared" ref="F16:F33" si="0">(E16+0.97165)/53.47573</f>
        <v>7.4270140865772188E-2</v>
      </c>
      <c r="G16" s="33"/>
    </row>
    <row r="17" spans="2:7">
      <c r="B17" s="30">
        <v>16</v>
      </c>
      <c r="C17" s="34">
        <v>3.5</v>
      </c>
      <c r="D17" s="32">
        <f>B17*C17</f>
        <v>56</v>
      </c>
      <c r="E17" s="20">
        <v>3</v>
      </c>
      <c r="F17" s="33">
        <f t="shared" si="0"/>
        <v>7.4270140865772188E-2</v>
      </c>
      <c r="G17" s="33"/>
    </row>
    <row r="18" spans="2:7">
      <c r="B18" s="30">
        <v>18</v>
      </c>
      <c r="C18" s="34">
        <v>3.73</v>
      </c>
      <c r="D18" s="32">
        <f>B18*C18</f>
        <v>67.14</v>
      </c>
      <c r="E18" s="20">
        <v>5</v>
      </c>
      <c r="F18" s="33">
        <f t="shared" si="0"/>
        <v>0.11167028481892628</v>
      </c>
      <c r="G18" s="33"/>
    </row>
    <row r="19" spans="2:7">
      <c r="B19" s="30">
        <v>12</v>
      </c>
      <c r="C19" s="34">
        <v>4.46</v>
      </c>
      <c r="D19" s="32">
        <f>B19*C19</f>
        <v>53.519999999999996</v>
      </c>
      <c r="E19" s="20">
        <v>7</v>
      </c>
      <c r="F19" s="33">
        <f t="shared" si="0"/>
        <v>0.14907042877208035</v>
      </c>
      <c r="G19" s="33"/>
    </row>
    <row r="20" spans="2:7">
      <c r="B20" s="30">
        <v>14</v>
      </c>
      <c r="C20" s="34">
        <v>4.4000000000000004</v>
      </c>
      <c r="D20" s="32">
        <f>B20*C20</f>
        <v>61.600000000000009</v>
      </c>
      <c r="E20" s="20">
        <v>7</v>
      </c>
      <c r="F20" s="33">
        <f t="shared" si="0"/>
        <v>0.14907042877208035</v>
      </c>
      <c r="G20" s="33"/>
    </row>
    <row r="21" spans="2:7">
      <c r="B21" s="30">
        <v>16</v>
      </c>
      <c r="C21" s="34">
        <v>4.51</v>
      </c>
      <c r="D21" s="32">
        <f>B21*C21</f>
        <v>72.16</v>
      </c>
      <c r="E21" s="20">
        <v>8</v>
      </c>
      <c r="F21" s="33">
        <f t="shared" si="0"/>
        <v>0.1677705007486574</v>
      </c>
      <c r="G21" s="33"/>
    </row>
    <row r="22" spans="2:7">
      <c r="B22" s="30">
        <v>12</v>
      </c>
      <c r="C22" s="34">
        <v>10.44</v>
      </c>
      <c r="D22" s="32">
        <f>B22*C22</f>
        <v>125.28</v>
      </c>
      <c r="E22" s="20">
        <v>36</v>
      </c>
      <c r="F22" s="33">
        <f t="shared" si="0"/>
        <v>0.69137251609281436</v>
      </c>
      <c r="G22" s="33"/>
    </row>
    <row r="23" spans="2:7">
      <c r="B23" s="30">
        <v>14</v>
      </c>
      <c r="C23" s="34">
        <v>9.59</v>
      </c>
      <c r="D23" s="32">
        <f>B23*C23</f>
        <v>134.26</v>
      </c>
      <c r="E23" s="20">
        <v>37</v>
      </c>
      <c r="F23" s="33">
        <f t="shared" si="0"/>
        <v>0.71007258806939144</v>
      </c>
      <c r="G23" s="33"/>
    </row>
    <row r="24" spans="2:7">
      <c r="B24" s="30">
        <v>16</v>
      </c>
      <c r="C24" s="34">
        <v>9</v>
      </c>
      <c r="D24" s="32">
        <f>B24*C24</f>
        <v>144</v>
      </c>
      <c r="E24" s="20">
        <v>37</v>
      </c>
      <c r="F24" s="33">
        <f t="shared" si="0"/>
        <v>0.71007258806939144</v>
      </c>
      <c r="G24" s="33"/>
    </row>
    <row r="25" spans="2:7">
      <c r="B25" s="30">
        <v>18</v>
      </c>
      <c r="C25" s="34">
        <v>8.6199999999999992</v>
      </c>
      <c r="D25" s="32">
        <f>B25*C25</f>
        <v>155.16</v>
      </c>
      <c r="E25" s="20">
        <v>37</v>
      </c>
      <c r="F25" s="33">
        <f t="shared" si="0"/>
        <v>0.71007258806939144</v>
      </c>
      <c r="G25" s="33"/>
    </row>
    <row r="26" spans="2:7">
      <c r="B26" s="30">
        <v>16</v>
      </c>
      <c r="C26" s="34">
        <v>15.5</v>
      </c>
      <c r="D26" s="32">
        <f>B26*C26</f>
        <v>248</v>
      </c>
      <c r="E26" s="20">
        <v>74</v>
      </c>
      <c r="F26" s="33">
        <f t="shared" si="0"/>
        <v>1.4019752512027419</v>
      </c>
      <c r="G26" s="33"/>
    </row>
    <row r="27" spans="2:7">
      <c r="B27" s="30">
        <v>18</v>
      </c>
      <c r="C27" s="34">
        <v>14.42</v>
      </c>
      <c r="D27" s="32">
        <f>B27*C27</f>
        <v>259.56</v>
      </c>
      <c r="E27" s="20">
        <v>74</v>
      </c>
      <c r="F27" s="33">
        <f t="shared" si="0"/>
        <v>1.4019752512027419</v>
      </c>
      <c r="G27" s="33"/>
    </row>
    <row r="28" spans="2:7">
      <c r="B28" s="30">
        <v>14</v>
      </c>
      <c r="C28" s="34">
        <v>16.88</v>
      </c>
      <c r="D28" s="32">
        <f>B28*C28</f>
        <v>236.32</v>
      </c>
      <c r="E28" s="20">
        <v>75</v>
      </c>
      <c r="F28" s="33">
        <f t="shared" si="0"/>
        <v>1.420675323179319</v>
      </c>
      <c r="G28" s="33"/>
    </row>
    <row r="29" spans="2:7">
      <c r="B29" s="30">
        <v>16</v>
      </c>
      <c r="C29" s="34">
        <v>16.29</v>
      </c>
      <c r="D29" s="32">
        <f>B29*C29</f>
        <v>260.64</v>
      </c>
      <c r="E29" s="20">
        <v>79</v>
      </c>
      <c r="F29" s="33">
        <f t="shared" si="0"/>
        <v>1.4954756110856271</v>
      </c>
      <c r="G29" s="33"/>
    </row>
    <row r="30" spans="2:7">
      <c r="B30" s="30">
        <v>18</v>
      </c>
      <c r="C30" s="34">
        <v>15.15</v>
      </c>
      <c r="D30" s="32">
        <f>B30*C30</f>
        <v>272.7</v>
      </c>
      <c r="E30" s="20">
        <v>79</v>
      </c>
      <c r="F30" s="33">
        <f t="shared" si="0"/>
        <v>1.4954756110856271</v>
      </c>
      <c r="G30" s="33"/>
    </row>
    <row r="31" spans="2:7">
      <c r="B31" s="30">
        <v>18</v>
      </c>
      <c r="C31" s="34">
        <v>16.670000000000002</v>
      </c>
      <c r="D31" s="32">
        <f>B31*C31</f>
        <v>300.06000000000006</v>
      </c>
      <c r="E31" s="20">
        <v>85</v>
      </c>
      <c r="F31" s="33">
        <f t="shared" si="0"/>
        <v>1.6076760429450894</v>
      </c>
      <c r="G31" s="33"/>
    </row>
    <row r="32" spans="2:7">
      <c r="B32" s="30">
        <v>16</v>
      </c>
      <c r="C32" s="34">
        <v>17.93</v>
      </c>
      <c r="D32" s="32">
        <f>B32*C32</f>
        <v>286.88</v>
      </c>
      <c r="E32" s="20">
        <v>86</v>
      </c>
      <c r="F32" s="33">
        <f t="shared" si="0"/>
        <v>1.6263761149216662</v>
      </c>
      <c r="G32" s="33"/>
    </row>
    <row r="33" spans="2:7">
      <c r="B33" s="20">
        <v>18</v>
      </c>
      <c r="C33" s="34">
        <v>21.19</v>
      </c>
      <c r="D33" s="32">
        <f>B33*C33</f>
        <v>381.42</v>
      </c>
      <c r="E33" s="30">
        <v>115</v>
      </c>
      <c r="F33" s="33">
        <f t="shared" si="0"/>
        <v>2.1686782022424005</v>
      </c>
      <c r="G33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O18" sqref="O18"/>
    </sheetView>
  </sheetViews>
  <sheetFormatPr defaultRowHeight="15"/>
  <cols>
    <col min="2" max="2" width="10.7109375" customWidth="1"/>
    <col min="7" max="7" width="9.140625" style="17"/>
    <col min="8" max="8" width="9.42578125" style="17" customWidth="1"/>
    <col min="9" max="9" width="8.140625" style="17" customWidth="1"/>
  </cols>
  <sheetData>
    <row r="1" spans="1:10">
      <c r="A1" s="21" t="s">
        <v>75</v>
      </c>
      <c r="B1" s="22">
        <v>42793</v>
      </c>
      <c r="C1" s="23"/>
      <c r="D1" s="24" t="s">
        <v>84</v>
      </c>
    </row>
    <row r="4" spans="1:10" ht="30">
      <c r="A4" s="29" t="s">
        <v>85</v>
      </c>
      <c r="B4" s="29" t="s">
        <v>86</v>
      </c>
      <c r="C4" s="29" t="s">
        <v>87</v>
      </c>
      <c r="D4" s="29" t="s">
        <v>88</v>
      </c>
      <c r="E4" s="29" t="s">
        <v>89</v>
      </c>
      <c r="F4" s="29" t="s">
        <v>90</v>
      </c>
      <c r="G4" s="29" t="s">
        <v>92</v>
      </c>
      <c r="H4" s="29" t="s">
        <v>91</v>
      </c>
      <c r="I4" s="29" t="s">
        <v>93</v>
      </c>
      <c r="J4" s="27"/>
    </row>
    <row r="5" spans="1:10">
      <c r="A5" s="25">
        <v>122.7</v>
      </c>
      <c r="B5" s="25">
        <v>0</v>
      </c>
      <c r="C5" s="25">
        <v>12.6</v>
      </c>
      <c r="D5" s="25">
        <v>3.3</v>
      </c>
      <c r="E5" s="25" t="s">
        <v>83</v>
      </c>
      <c r="F5" s="25">
        <v>1</v>
      </c>
      <c r="G5" s="28">
        <f>A5*B5</f>
        <v>0</v>
      </c>
      <c r="H5" s="28">
        <f>C5*D5</f>
        <v>41.58</v>
      </c>
      <c r="I5" s="28">
        <f>100*G5/H5</f>
        <v>0</v>
      </c>
    </row>
    <row r="6" spans="1:10">
      <c r="A6" s="20">
        <v>122.3</v>
      </c>
      <c r="B6" s="20">
        <v>0.12</v>
      </c>
      <c r="C6" s="20">
        <v>12.6</v>
      </c>
      <c r="D6" s="20">
        <v>4.5999999999999996</v>
      </c>
      <c r="E6" s="20" t="s">
        <v>83</v>
      </c>
      <c r="F6" s="20">
        <v>2</v>
      </c>
      <c r="G6" s="26">
        <f t="shared" ref="G6:G24" si="0">A6*B6</f>
        <v>14.675999999999998</v>
      </c>
      <c r="H6" s="26">
        <f t="shared" ref="H6:H24" si="1">C6*D6</f>
        <v>57.959999999999994</v>
      </c>
      <c r="I6" s="26">
        <f t="shared" ref="I6:I24" si="2">100*G6/H6</f>
        <v>25.320910973084889</v>
      </c>
    </row>
    <row r="7" spans="1:10">
      <c r="A7" s="20">
        <v>122.1</v>
      </c>
      <c r="B7" s="20">
        <v>0.2</v>
      </c>
      <c r="C7" s="20">
        <v>12.6</v>
      </c>
      <c r="D7" s="20">
        <v>5.5</v>
      </c>
      <c r="E7" s="20" t="s">
        <v>83</v>
      </c>
      <c r="F7" s="20">
        <v>3</v>
      </c>
      <c r="G7" s="26">
        <f t="shared" si="0"/>
        <v>24.42</v>
      </c>
      <c r="H7" s="26">
        <f t="shared" si="1"/>
        <v>69.3</v>
      </c>
      <c r="I7" s="26">
        <f t="shared" si="2"/>
        <v>35.238095238095241</v>
      </c>
    </row>
    <row r="8" spans="1:10">
      <c r="A8" s="20">
        <v>121.4</v>
      </c>
      <c r="B8" s="20">
        <v>0.5</v>
      </c>
      <c r="C8" s="20">
        <v>12.6</v>
      </c>
      <c r="D8" s="20">
        <v>8.5</v>
      </c>
      <c r="E8" s="20" t="s">
        <v>83</v>
      </c>
      <c r="F8" s="20">
        <v>7</v>
      </c>
      <c r="G8" s="26">
        <f t="shared" si="0"/>
        <v>60.7</v>
      </c>
      <c r="H8" s="26">
        <f t="shared" si="1"/>
        <v>107.1</v>
      </c>
      <c r="I8" s="26">
        <f t="shared" si="2"/>
        <v>56.676003734827269</v>
      </c>
    </row>
    <row r="9" spans="1:10">
      <c r="A9" s="20">
        <v>121</v>
      </c>
      <c r="B9" s="20">
        <v>0.83</v>
      </c>
      <c r="C9" s="20">
        <v>12.6</v>
      </c>
      <c r="D9" s="20">
        <v>12</v>
      </c>
      <c r="E9" s="20" t="s">
        <v>83</v>
      </c>
      <c r="F9" s="20">
        <v>11</v>
      </c>
      <c r="G9" s="26">
        <f t="shared" si="0"/>
        <v>100.42999999999999</v>
      </c>
      <c r="H9" s="26">
        <f t="shared" si="1"/>
        <v>151.19999999999999</v>
      </c>
      <c r="I9" s="26">
        <f t="shared" si="2"/>
        <v>66.421957671957671</v>
      </c>
    </row>
    <row r="10" spans="1:10">
      <c r="A10" s="20">
        <v>120.9</v>
      </c>
      <c r="B10" s="20">
        <v>1</v>
      </c>
      <c r="C10" s="20">
        <v>12.6</v>
      </c>
      <c r="D10" s="20">
        <v>13.8</v>
      </c>
      <c r="E10" s="20" t="s">
        <v>83</v>
      </c>
      <c r="F10" s="20">
        <v>13</v>
      </c>
      <c r="G10" s="26">
        <f t="shared" si="0"/>
        <v>120.9</v>
      </c>
      <c r="H10" s="26">
        <f t="shared" si="1"/>
        <v>173.88</v>
      </c>
      <c r="I10" s="26">
        <f t="shared" si="2"/>
        <v>69.530710835058656</v>
      </c>
    </row>
    <row r="11" spans="1:10">
      <c r="A11" s="20">
        <v>120.8</v>
      </c>
      <c r="B11" s="20">
        <v>2</v>
      </c>
      <c r="C11" s="20">
        <v>12.6</v>
      </c>
      <c r="D11" s="20">
        <v>24.4</v>
      </c>
      <c r="E11" s="20" t="s">
        <v>83</v>
      </c>
      <c r="F11" s="20">
        <v>27</v>
      </c>
      <c r="G11" s="26">
        <f t="shared" si="0"/>
        <v>241.6</v>
      </c>
      <c r="H11" s="26">
        <f t="shared" si="1"/>
        <v>307.44</v>
      </c>
      <c r="I11" s="26">
        <f t="shared" si="2"/>
        <v>78.584439240176948</v>
      </c>
    </row>
    <row r="12" spans="1:10">
      <c r="A12" s="20">
        <v>120.6</v>
      </c>
      <c r="B12" s="20">
        <v>3</v>
      </c>
      <c r="C12" s="20">
        <v>12.6</v>
      </c>
      <c r="D12" s="20">
        <v>35.1</v>
      </c>
      <c r="E12" s="20" t="s">
        <v>83</v>
      </c>
      <c r="F12" s="20">
        <v>41</v>
      </c>
      <c r="G12" s="26">
        <f t="shared" si="0"/>
        <v>361.79999999999995</v>
      </c>
      <c r="H12" s="26">
        <f t="shared" si="1"/>
        <v>442.26</v>
      </c>
      <c r="I12" s="26">
        <f t="shared" si="2"/>
        <v>81.807081807081786</v>
      </c>
    </row>
    <row r="13" spans="1:10">
      <c r="A13" s="20">
        <v>120.3</v>
      </c>
      <c r="B13" s="20">
        <v>4</v>
      </c>
      <c r="C13" s="20">
        <v>12.6</v>
      </c>
      <c r="D13" s="20">
        <v>46</v>
      </c>
      <c r="E13" s="20" t="s">
        <v>83</v>
      </c>
      <c r="F13" s="20">
        <v>54</v>
      </c>
      <c r="G13" s="26">
        <f t="shared" si="0"/>
        <v>481.2</v>
      </c>
      <c r="H13" s="26">
        <f t="shared" si="1"/>
        <v>579.6</v>
      </c>
      <c r="I13" s="26">
        <f t="shared" si="2"/>
        <v>83.02277432712215</v>
      </c>
    </row>
    <row r="14" spans="1:10">
      <c r="A14" s="20">
        <v>120</v>
      </c>
      <c r="B14" s="20">
        <v>5</v>
      </c>
      <c r="C14" s="20">
        <v>12.6</v>
      </c>
      <c r="D14" s="20">
        <v>57.9</v>
      </c>
      <c r="E14" s="20" t="s">
        <v>83</v>
      </c>
      <c r="F14" s="20">
        <v>67</v>
      </c>
      <c r="G14" s="26">
        <f t="shared" si="0"/>
        <v>600</v>
      </c>
      <c r="H14" s="26">
        <f t="shared" si="1"/>
        <v>729.54</v>
      </c>
      <c r="I14" s="26">
        <f t="shared" si="2"/>
        <v>82.243605559667742</v>
      </c>
    </row>
    <row r="15" spans="1:10">
      <c r="A15" s="20">
        <v>119</v>
      </c>
      <c r="B15" s="20">
        <v>10</v>
      </c>
      <c r="C15" s="20">
        <v>12.6</v>
      </c>
      <c r="D15" s="20">
        <v>119.3</v>
      </c>
      <c r="E15" s="20" t="s">
        <v>83</v>
      </c>
      <c r="F15" s="20">
        <v>135</v>
      </c>
      <c r="G15" s="26">
        <f t="shared" si="0"/>
        <v>1190</v>
      </c>
      <c r="H15" s="26">
        <f t="shared" si="1"/>
        <v>1503.1799999999998</v>
      </c>
      <c r="I15" s="26">
        <f t="shared" si="2"/>
        <v>79.165502468100968</v>
      </c>
    </row>
    <row r="16" spans="1:10">
      <c r="A16" s="20">
        <v>118.9</v>
      </c>
      <c r="B16" s="20">
        <v>11</v>
      </c>
      <c r="C16" s="20">
        <v>12.6</v>
      </c>
      <c r="D16" s="20">
        <v>133.69999999999999</v>
      </c>
      <c r="E16" s="20" t="s">
        <v>83</v>
      </c>
      <c r="F16" s="20">
        <v>149</v>
      </c>
      <c r="G16" s="26">
        <f t="shared" si="0"/>
        <v>1307.9000000000001</v>
      </c>
      <c r="H16" s="26">
        <f t="shared" si="1"/>
        <v>1684.62</v>
      </c>
      <c r="I16" s="26">
        <f t="shared" si="2"/>
        <v>77.637686837387676</v>
      </c>
    </row>
    <row r="17" spans="1:9">
      <c r="A17" s="20">
        <v>118.6</v>
      </c>
      <c r="B17" s="20">
        <v>12</v>
      </c>
      <c r="C17" s="20">
        <v>12.6</v>
      </c>
      <c r="D17" s="20">
        <v>149.5</v>
      </c>
      <c r="E17" s="20" t="s">
        <v>83</v>
      </c>
      <c r="F17" s="20">
        <v>162</v>
      </c>
      <c r="G17" s="26">
        <f t="shared" si="0"/>
        <v>1423.1999999999998</v>
      </c>
      <c r="H17" s="26">
        <f t="shared" si="1"/>
        <v>1883.7</v>
      </c>
      <c r="I17" s="26">
        <f t="shared" si="2"/>
        <v>75.553432075171187</v>
      </c>
    </row>
    <row r="18" spans="1:9">
      <c r="A18" s="20">
        <v>118.5</v>
      </c>
      <c r="B18" s="20">
        <v>12.5</v>
      </c>
      <c r="C18" s="20">
        <v>12.6</v>
      </c>
      <c r="D18" s="20">
        <v>157</v>
      </c>
      <c r="E18" s="20" t="s">
        <v>83</v>
      </c>
      <c r="F18" s="20">
        <v>169</v>
      </c>
      <c r="G18" s="26">
        <f t="shared" si="0"/>
        <v>1481.25</v>
      </c>
      <c r="H18" s="26">
        <f t="shared" si="1"/>
        <v>1978.2</v>
      </c>
      <c r="I18" s="26">
        <f t="shared" si="2"/>
        <v>74.87867758568396</v>
      </c>
    </row>
    <row r="19" spans="1:9">
      <c r="A19" s="20">
        <v>118.3</v>
      </c>
      <c r="B19" s="20">
        <v>13</v>
      </c>
      <c r="C19" s="20">
        <v>12.6</v>
      </c>
      <c r="D19" s="20">
        <v>165.3</v>
      </c>
      <c r="E19" s="20" t="s">
        <v>83</v>
      </c>
      <c r="F19" s="20">
        <v>176</v>
      </c>
      <c r="G19" s="26">
        <f t="shared" si="0"/>
        <v>1537.8999999999999</v>
      </c>
      <c r="H19" s="26">
        <f t="shared" si="1"/>
        <v>2082.7800000000002</v>
      </c>
      <c r="I19" s="26">
        <f t="shared" si="2"/>
        <v>73.838811588357856</v>
      </c>
    </row>
    <row r="20" spans="1:9">
      <c r="A20" s="20">
        <v>118.1</v>
      </c>
      <c r="B20" s="20">
        <v>13.5</v>
      </c>
      <c r="C20" s="20">
        <v>12.6</v>
      </c>
      <c r="D20" s="20">
        <v>172.5</v>
      </c>
      <c r="E20" s="20" t="s">
        <v>83</v>
      </c>
      <c r="F20" s="20">
        <v>182</v>
      </c>
      <c r="G20" s="26">
        <f t="shared" si="0"/>
        <v>1594.35</v>
      </c>
      <c r="H20" s="26">
        <f t="shared" si="1"/>
        <v>2173.5</v>
      </c>
      <c r="I20" s="26">
        <f t="shared" si="2"/>
        <v>73.354037267080741</v>
      </c>
    </row>
    <row r="21" spans="1:9">
      <c r="A21" s="20">
        <v>118</v>
      </c>
      <c r="B21" s="20">
        <v>13.75</v>
      </c>
      <c r="C21" s="20">
        <v>12.6</v>
      </c>
      <c r="D21" s="20">
        <v>176.7</v>
      </c>
      <c r="E21" s="20" t="s">
        <v>83</v>
      </c>
      <c r="F21" s="20">
        <v>186</v>
      </c>
      <c r="G21" s="26">
        <f t="shared" si="0"/>
        <v>1622.5</v>
      </c>
      <c r="H21" s="26">
        <f t="shared" si="1"/>
        <v>2226.4199999999996</v>
      </c>
      <c r="I21" s="26">
        <f t="shared" si="2"/>
        <v>72.874839428319916</v>
      </c>
    </row>
    <row r="22" spans="1:9">
      <c r="A22" s="20">
        <v>118</v>
      </c>
      <c r="B22" s="20">
        <v>14</v>
      </c>
      <c r="C22" s="20">
        <v>12.6</v>
      </c>
      <c r="D22" s="20">
        <v>179.3</v>
      </c>
      <c r="E22" s="20" t="s">
        <v>83</v>
      </c>
      <c r="F22" s="20">
        <v>190</v>
      </c>
      <c r="G22" s="26">
        <f t="shared" si="0"/>
        <v>1652</v>
      </c>
      <c r="H22" s="26">
        <f t="shared" si="1"/>
        <v>2259.1800000000003</v>
      </c>
      <c r="I22" s="26">
        <f t="shared" si="2"/>
        <v>73.123876804858384</v>
      </c>
    </row>
    <row r="23" spans="1:9">
      <c r="A23" s="20">
        <v>117.8</v>
      </c>
      <c r="B23" s="20">
        <v>14.375</v>
      </c>
      <c r="C23" s="20">
        <v>12.6</v>
      </c>
      <c r="D23" s="20">
        <v>187.3</v>
      </c>
      <c r="E23" s="20" t="s">
        <v>83</v>
      </c>
      <c r="F23" s="20">
        <v>194</v>
      </c>
      <c r="G23" s="26">
        <f t="shared" si="0"/>
        <v>1693.375</v>
      </c>
      <c r="H23" s="26">
        <f t="shared" si="1"/>
        <v>2359.98</v>
      </c>
      <c r="I23" s="26">
        <f t="shared" si="2"/>
        <v>71.753786049034318</v>
      </c>
    </row>
    <row r="24" spans="1:9">
      <c r="A24" s="20">
        <v>117.7</v>
      </c>
      <c r="B24" s="20">
        <v>14.5</v>
      </c>
      <c r="C24" s="20">
        <v>12.6</v>
      </c>
      <c r="D24" s="20">
        <v>189.4</v>
      </c>
      <c r="E24" s="20" t="s">
        <v>83</v>
      </c>
      <c r="F24" s="20">
        <v>196</v>
      </c>
      <c r="G24" s="26">
        <f t="shared" si="0"/>
        <v>1706.65</v>
      </c>
      <c r="H24" s="26">
        <f t="shared" si="1"/>
        <v>2386.44</v>
      </c>
      <c r="I24" s="26">
        <f t="shared" si="2"/>
        <v>71.51447344161177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8"/>
  <sheetViews>
    <sheetView workbookViewId="0">
      <selection activeCell="Q16" sqref="Q16"/>
    </sheetView>
  </sheetViews>
  <sheetFormatPr defaultRowHeight="15"/>
  <cols>
    <col min="1" max="1" width="9.5703125" bestFit="1" customWidth="1"/>
    <col min="2" max="2" width="10.42578125" style="1" bestFit="1" customWidth="1"/>
    <col min="3" max="3" width="10.28515625" style="1" customWidth="1"/>
  </cols>
  <sheetData>
    <row r="1" spans="1:16">
      <c r="F1" t="s">
        <v>0</v>
      </c>
    </row>
    <row r="2" spans="1:16">
      <c r="A2" s="2" t="s">
        <v>6</v>
      </c>
      <c r="B2" s="8">
        <v>42241</v>
      </c>
      <c r="C2" s="8"/>
      <c r="E2" t="s">
        <v>1</v>
      </c>
      <c r="F2">
        <v>2048</v>
      </c>
      <c r="G2">
        <f>(F2-B5)/B4</f>
        <v>926.59539473684208</v>
      </c>
    </row>
    <row r="3" spans="1:16">
      <c r="A3" t="s">
        <v>7</v>
      </c>
      <c r="B3" s="1" t="s">
        <v>31</v>
      </c>
    </row>
    <row r="4" spans="1:16">
      <c r="A4" s="3" t="s">
        <v>2</v>
      </c>
      <c r="B4" s="4">
        <f>SLOPE(B7:B17,A7:A17)</f>
        <v>2.2109090909090909</v>
      </c>
      <c r="C4" s="4"/>
    </row>
    <row r="5" spans="1:16">
      <c r="A5" s="3" t="s">
        <v>4</v>
      </c>
      <c r="B5" s="4">
        <f>INTERCEPT(B7:B17,A7:A17)</f>
        <v>-0.61818181818182438</v>
      </c>
      <c r="C5" s="4"/>
    </row>
    <row r="6" spans="1:16" s="3" customFormat="1">
      <c r="A6" s="3" t="s">
        <v>3</v>
      </c>
      <c r="B6" s="5" t="s">
        <v>0</v>
      </c>
      <c r="C6" s="3" t="s">
        <v>5</v>
      </c>
      <c r="M6"/>
      <c r="N6"/>
      <c r="O6"/>
      <c r="P6"/>
    </row>
    <row r="7" spans="1:16">
      <c r="A7" s="6">
        <v>140</v>
      </c>
      <c r="B7" s="7">
        <v>308</v>
      </c>
      <c r="C7" s="6">
        <f t="shared" ref="C7:C16" si="0">($B$4*A7)+$B$5</f>
        <v>308.90909090909088</v>
      </c>
      <c r="N7" s="3"/>
    </row>
    <row r="8" spans="1:16">
      <c r="A8" s="6">
        <v>135</v>
      </c>
      <c r="B8" s="7">
        <v>298</v>
      </c>
      <c r="C8" s="6">
        <f t="shared" si="0"/>
        <v>297.85454545454547</v>
      </c>
      <c r="N8" s="3"/>
    </row>
    <row r="9" spans="1:16">
      <c r="A9" s="6">
        <v>130</v>
      </c>
      <c r="B9" s="7">
        <v>288</v>
      </c>
      <c r="C9" s="6">
        <f t="shared" si="0"/>
        <v>286.8</v>
      </c>
      <c r="N9" s="3"/>
    </row>
    <row r="10" spans="1:16">
      <c r="A10" s="6">
        <v>125</v>
      </c>
      <c r="B10" s="7">
        <v>276</v>
      </c>
      <c r="C10" s="6">
        <f t="shared" si="0"/>
        <v>275.74545454545455</v>
      </c>
      <c r="N10" s="3"/>
    </row>
    <row r="11" spans="1:16">
      <c r="A11" s="6">
        <v>120</v>
      </c>
      <c r="B11" s="7">
        <v>264</v>
      </c>
      <c r="C11" s="6">
        <f t="shared" si="0"/>
        <v>264.69090909090909</v>
      </c>
      <c r="N11" s="3"/>
    </row>
    <row r="12" spans="1:16">
      <c r="A12" s="6">
        <v>115</v>
      </c>
      <c r="B12" s="7">
        <v>254</v>
      </c>
      <c r="C12" s="6">
        <f t="shared" si="0"/>
        <v>253.63636363636363</v>
      </c>
      <c r="N12" s="3"/>
    </row>
    <row r="13" spans="1:16">
      <c r="A13" s="6">
        <v>110</v>
      </c>
      <c r="B13" s="7">
        <v>242</v>
      </c>
      <c r="C13" s="6">
        <f t="shared" si="0"/>
        <v>242.58181818181816</v>
      </c>
      <c r="N13" s="3"/>
    </row>
    <row r="14" spans="1:16">
      <c r="A14" s="6">
        <v>105</v>
      </c>
      <c r="B14" s="7">
        <v>232</v>
      </c>
      <c r="C14" s="6">
        <f t="shared" si="0"/>
        <v>231.52727272727273</v>
      </c>
      <c r="N14" s="3"/>
    </row>
    <row r="15" spans="1:16">
      <c r="A15" s="6">
        <v>100</v>
      </c>
      <c r="B15" s="7">
        <v>220</v>
      </c>
      <c r="C15" s="6">
        <f t="shared" si="0"/>
        <v>220.47272727272727</v>
      </c>
      <c r="N15" s="3"/>
    </row>
    <row r="16" spans="1:16">
      <c r="A16" s="6">
        <v>95</v>
      </c>
      <c r="B16" s="7">
        <v>210</v>
      </c>
      <c r="C16" s="6">
        <f t="shared" si="0"/>
        <v>209.41818181818181</v>
      </c>
      <c r="N16" s="3"/>
    </row>
    <row r="17" spans="1:14">
      <c r="A17" s="6">
        <v>90</v>
      </c>
      <c r="B17" s="7">
        <v>198</v>
      </c>
      <c r="C17" s="6">
        <f>($B$4*A17)+$B$5</f>
        <v>198.36363636363637</v>
      </c>
      <c r="N17" s="3"/>
    </row>
    <row r="18" spans="1:14">
      <c r="A18" s="6"/>
      <c r="N18" s="3"/>
    </row>
    <row r="19" spans="1:14">
      <c r="A19" s="6"/>
      <c r="B19" s="7"/>
      <c r="C19" s="7"/>
      <c r="N19" s="3"/>
    </row>
    <row r="20" spans="1:14">
      <c r="N20" s="3"/>
    </row>
    <row r="21" spans="1:14">
      <c r="N21" s="3"/>
    </row>
    <row r="22" spans="1:14">
      <c r="N22" s="3"/>
    </row>
    <row r="23" spans="1:14">
      <c r="N23" s="3"/>
    </row>
    <row r="24" spans="1:14">
      <c r="N24" s="3"/>
    </row>
    <row r="25" spans="1:14">
      <c r="A25" s="2"/>
      <c r="N25" s="3"/>
    </row>
    <row r="26" spans="1:14">
      <c r="N26" s="3"/>
    </row>
    <row r="27" spans="1:14">
      <c r="N27" s="3"/>
    </row>
    <row r="28" spans="1:14">
      <c r="A28" s="6"/>
      <c r="N28" s="3"/>
    </row>
    <row r="29" spans="1:14">
      <c r="A29" s="6"/>
      <c r="N29" s="3"/>
    </row>
    <row r="30" spans="1:14">
      <c r="A30" s="6"/>
      <c r="N30" s="3"/>
    </row>
    <row r="31" spans="1:14">
      <c r="A31" s="6"/>
      <c r="N31" s="3"/>
    </row>
    <row r="32" spans="1:14">
      <c r="A32" s="6"/>
      <c r="N32" s="3"/>
    </row>
    <row r="33" spans="1:14">
      <c r="A33" s="6"/>
      <c r="N33" s="3"/>
    </row>
    <row r="34" spans="1:14">
      <c r="A34" s="6"/>
      <c r="N34" s="3"/>
    </row>
    <row r="35" spans="1:14">
      <c r="A35" s="6"/>
    </row>
    <row r="36" spans="1:14">
      <c r="A36" s="6"/>
    </row>
    <row r="37" spans="1:14">
      <c r="A37" s="6"/>
    </row>
    <row r="38" spans="1:14">
      <c r="A38" s="6"/>
    </row>
    <row r="39" spans="1:14">
      <c r="A39" s="6"/>
    </row>
    <row r="40" spans="1:14">
      <c r="A40" s="6"/>
    </row>
    <row r="41" spans="1:14">
      <c r="A41" s="6"/>
    </row>
    <row r="42" spans="1:14">
      <c r="A42" s="6"/>
    </row>
    <row r="43" spans="1:14">
      <c r="A43" s="6"/>
    </row>
    <row r="44" spans="1:14">
      <c r="A44" s="6"/>
    </row>
    <row r="46" spans="1:14">
      <c r="A46" s="6"/>
    </row>
    <row r="47" spans="1:14">
      <c r="A47" s="6"/>
    </row>
    <row r="48" spans="1:14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S68"/>
  <sheetViews>
    <sheetView workbookViewId="0">
      <selection activeCell="E4" sqref="E4"/>
    </sheetView>
  </sheetViews>
  <sheetFormatPr defaultRowHeight="15"/>
  <cols>
    <col min="1" max="1" width="9.5703125" bestFit="1" customWidth="1"/>
    <col min="2" max="2" width="10.42578125" style="1" bestFit="1" customWidth="1"/>
    <col min="3" max="3" width="10.28515625" style="1" customWidth="1"/>
  </cols>
  <sheetData>
    <row r="2" spans="1:19">
      <c r="A2" s="2" t="s">
        <v>6</v>
      </c>
      <c r="B2" s="8">
        <v>42241</v>
      </c>
      <c r="C2" s="8"/>
    </row>
    <row r="3" spans="1:19">
      <c r="A3" t="s">
        <v>7</v>
      </c>
      <c r="B3" s="1" t="s">
        <v>31</v>
      </c>
    </row>
    <row r="4" spans="1:19">
      <c r="A4" s="3" t="s">
        <v>2</v>
      </c>
      <c r="B4" s="4">
        <f>SLOPE(D7:D17,B7:B17)</f>
        <v>9.8031005186955884</v>
      </c>
      <c r="C4" s="4"/>
    </row>
    <row r="5" spans="1:19">
      <c r="A5" s="3" t="s">
        <v>4</v>
      </c>
      <c r="B5" s="4">
        <f>INTERCEPT(D7:D17,B7:B17)</f>
        <v>2.2143874592149544</v>
      </c>
      <c r="C5" s="4"/>
    </row>
    <row r="6" spans="1:19" s="3" customFormat="1">
      <c r="A6" s="3" t="s">
        <v>3</v>
      </c>
      <c r="B6" s="3" t="s">
        <v>58</v>
      </c>
      <c r="C6" s="3" t="s">
        <v>59</v>
      </c>
      <c r="D6" s="3" t="s">
        <v>60</v>
      </c>
      <c r="E6" s="5" t="s">
        <v>5</v>
      </c>
      <c r="P6"/>
      <c r="Q6"/>
      <c r="R6"/>
      <c r="S6"/>
    </row>
    <row r="7" spans="1:19">
      <c r="A7">
        <v>119.8</v>
      </c>
      <c r="B7" s="6">
        <v>0.41</v>
      </c>
      <c r="C7" s="7">
        <v>6</v>
      </c>
      <c r="D7" s="7">
        <v>6</v>
      </c>
      <c r="E7" s="6">
        <f t="shared" ref="E7:E17" si="0">($B$4*B7)+$B$5</f>
        <v>6.2336586718801454</v>
      </c>
      <c r="P7" s="3"/>
    </row>
    <row r="8" spans="1:19">
      <c r="A8">
        <v>118.7</v>
      </c>
      <c r="B8" s="6">
        <v>0.73199999999999998</v>
      </c>
      <c r="C8" s="7">
        <v>5</v>
      </c>
      <c r="D8" s="7">
        <v>9</v>
      </c>
      <c r="E8" s="6">
        <f t="shared" si="0"/>
        <v>9.3902570389001241</v>
      </c>
      <c r="P8" s="3"/>
    </row>
    <row r="9" spans="1:19">
      <c r="A9">
        <v>120.3</v>
      </c>
      <c r="B9" s="6">
        <v>0.9</v>
      </c>
      <c r="C9" s="7">
        <v>9</v>
      </c>
      <c r="D9" s="7">
        <v>11</v>
      </c>
      <c r="E9" s="6">
        <f t="shared" si="0"/>
        <v>11.037177926040984</v>
      </c>
      <c r="P9" s="3"/>
    </row>
    <row r="10" spans="1:19">
      <c r="A10">
        <v>120.9</v>
      </c>
      <c r="B10" s="6">
        <v>1.42</v>
      </c>
      <c r="C10" s="7">
        <v>7</v>
      </c>
      <c r="D10" s="7">
        <v>17</v>
      </c>
      <c r="E10" s="6">
        <f t="shared" si="0"/>
        <v>16.13479019576269</v>
      </c>
      <c r="P10" s="3"/>
    </row>
    <row r="11" spans="1:19">
      <c r="A11">
        <v>120.7</v>
      </c>
      <c r="B11" s="6">
        <v>2.27</v>
      </c>
      <c r="C11" s="7">
        <v>6</v>
      </c>
      <c r="D11" s="7">
        <v>24</v>
      </c>
      <c r="E11" s="6">
        <f t="shared" si="0"/>
        <v>24.467425636653939</v>
      </c>
      <c r="P11" s="3"/>
    </row>
    <row r="12" spans="1:19">
      <c r="A12">
        <v>120.1</v>
      </c>
      <c r="B12" s="6">
        <v>2.8</v>
      </c>
      <c r="C12" s="7">
        <v>6</v>
      </c>
      <c r="D12" s="7">
        <v>30</v>
      </c>
      <c r="E12" s="6">
        <f t="shared" si="0"/>
        <v>29.663068911562601</v>
      </c>
      <c r="P12" s="3"/>
    </row>
    <row r="13" spans="1:19">
      <c r="A13">
        <v>120.4</v>
      </c>
      <c r="B13" s="6">
        <v>3</v>
      </c>
      <c r="C13" s="7">
        <v>6</v>
      </c>
      <c r="D13" s="7">
        <v>32</v>
      </c>
      <c r="E13" s="6">
        <f t="shared" si="0"/>
        <v>31.623689015301721</v>
      </c>
      <c r="P13" s="3"/>
    </row>
    <row r="14" spans="1:19">
      <c r="A14">
        <v>120.5</v>
      </c>
      <c r="B14" s="6">
        <v>3.55</v>
      </c>
      <c r="C14" s="7">
        <v>6</v>
      </c>
      <c r="D14" s="7">
        <v>37</v>
      </c>
      <c r="E14" s="6">
        <f t="shared" si="0"/>
        <v>37.01539430058429</v>
      </c>
      <c r="P14" s="3"/>
    </row>
    <row r="15" spans="1:19">
      <c r="A15">
        <v>120.2</v>
      </c>
      <c r="B15" s="6">
        <v>4.43</v>
      </c>
      <c r="C15" s="7">
        <v>6</v>
      </c>
      <c r="D15" s="7">
        <v>45</v>
      </c>
      <c r="E15" s="6">
        <f t="shared" si="0"/>
        <v>45.642122757036411</v>
      </c>
      <c r="P15" s="3"/>
    </row>
    <row r="16" spans="1:19">
      <c r="A16">
        <v>119.6</v>
      </c>
      <c r="B16" s="6">
        <v>5.16</v>
      </c>
      <c r="C16" s="7">
        <v>6</v>
      </c>
      <c r="D16" s="7">
        <v>53</v>
      </c>
      <c r="E16" s="6">
        <f t="shared" si="0"/>
        <v>52.79838613568419</v>
      </c>
      <c r="P16" s="3"/>
    </row>
    <row r="17" spans="1:16">
      <c r="A17">
        <v>119.1</v>
      </c>
      <c r="B17" s="6">
        <v>5.69</v>
      </c>
      <c r="C17" s="7">
        <v>6</v>
      </c>
      <c r="D17" s="7">
        <v>58</v>
      </c>
      <c r="E17" s="6">
        <f t="shared" si="0"/>
        <v>57.994029410592859</v>
      </c>
      <c r="P17" s="3"/>
    </row>
    <row r="18" spans="1:16">
      <c r="A18" s="6"/>
      <c r="N18" s="3"/>
    </row>
    <row r="19" spans="1:16">
      <c r="A19" s="6"/>
      <c r="B19" s="7"/>
      <c r="C19" s="7"/>
      <c r="N19" s="3"/>
    </row>
    <row r="20" spans="1:16">
      <c r="N20" s="3"/>
    </row>
    <row r="21" spans="1:16">
      <c r="N21" s="3"/>
    </row>
    <row r="22" spans="1:16">
      <c r="N22" s="3"/>
    </row>
    <row r="23" spans="1:16">
      <c r="N23" s="3"/>
    </row>
    <row r="24" spans="1:16">
      <c r="N24" s="3"/>
    </row>
    <row r="25" spans="1:16">
      <c r="A25" s="2"/>
      <c r="N25" s="3"/>
    </row>
    <row r="26" spans="1:16">
      <c r="N26" s="3"/>
    </row>
    <row r="27" spans="1:16">
      <c r="N27" s="3"/>
    </row>
    <row r="28" spans="1:16">
      <c r="A28" s="6"/>
      <c r="N28" s="3"/>
    </row>
    <row r="29" spans="1:16">
      <c r="A29" s="6"/>
      <c r="N29" s="3"/>
    </row>
    <row r="30" spans="1:16">
      <c r="A30" s="6"/>
      <c r="N30" s="3"/>
    </row>
    <row r="31" spans="1:16">
      <c r="A31" s="6"/>
      <c r="N31" s="3"/>
    </row>
    <row r="32" spans="1:16">
      <c r="A32" s="6"/>
      <c r="N32" s="3"/>
    </row>
    <row r="33" spans="1:14">
      <c r="A33" s="6"/>
      <c r="N33" s="3"/>
    </row>
    <row r="34" spans="1:14">
      <c r="A34" s="6"/>
      <c r="N34" s="3"/>
    </row>
    <row r="35" spans="1:14">
      <c r="A35" s="6"/>
    </row>
    <row r="36" spans="1:14">
      <c r="A36" s="6"/>
    </row>
    <row r="37" spans="1:14">
      <c r="A37" s="6"/>
    </row>
    <row r="38" spans="1:14">
      <c r="A38" s="6"/>
    </row>
    <row r="39" spans="1:14">
      <c r="A39" s="6"/>
    </row>
    <row r="40" spans="1:14">
      <c r="A40" s="6"/>
    </row>
    <row r="41" spans="1:14">
      <c r="A41" s="6"/>
    </row>
    <row r="42" spans="1:14">
      <c r="A42" s="6"/>
    </row>
    <row r="43" spans="1:14">
      <c r="A43" s="6"/>
    </row>
    <row r="44" spans="1:14">
      <c r="A44" s="6"/>
    </row>
    <row r="46" spans="1:14">
      <c r="A46" s="6"/>
    </row>
    <row r="47" spans="1:14">
      <c r="A47" s="6"/>
    </row>
    <row r="48" spans="1:14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E22" sqref="E22"/>
    </sheetView>
  </sheetViews>
  <sheetFormatPr defaultRowHeight="15"/>
  <cols>
    <col min="1" max="1" width="21.7109375" style="11" customWidth="1"/>
    <col min="2" max="2" width="17.42578125" style="11" bestFit="1" customWidth="1"/>
    <col min="3" max="4" width="8.5703125" style="14" bestFit="1" customWidth="1"/>
    <col min="5" max="5" width="73.28515625" style="11" customWidth="1"/>
    <col min="6" max="16384" width="9.140625" style="11"/>
  </cols>
  <sheetData>
    <row r="1" spans="1:5">
      <c r="A1" s="11" t="s">
        <v>34</v>
      </c>
    </row>
    <row r="3" spans="1:5">
      <c r="A3" s="11" t="s">
        <v>32</v>
      </c>
      <c r="B3" s="11" t="s">
        <v>33</v>
      </c>
      <c r="C3" s="12">
        <v>7372800</v>
      </c>
      <c r="D3" s="12">
        <v>8000000</v>
      </c>
      <c r="E3" s="11" t="s">
        <v>38</v>
      </c>
    </row>
    <row r="4" spans="1:5" ht="45">
      <c r="A4" s="11" t="s">
        <v>43</v>
      </c>
      <c r="B4" s="11" t="s">
        <v>40</v>
      </c>
      <c r="C4" s="14">
        <v>29.491199999999999</v>
      </c>
      <c r="D4" s="14">
        <v>40</v>
      </c>
      <c r="E4" s="13" t="s">
        <v>39</v>
      </c>
    </row>
    <row r="5" spans="1:5">
      <c r="A5" s="11" t="s">
        <v>37</v>
      </c>
      <c r="B5" s="11" t="s">
        <v>41</v>
      </c>
      <c r="C5" s="15">
        <v>30</v>
      </c>
      <c r="D5" s="15">
        <v>38</v>
      </c>
    </row>
    <row r="6" spans="1:5">
      <c r="A6" s="11" t="s">
        <v>35</v>
      </c>
      <c r="B6" s="11" t="s">
        <v>42</v>
      </c>
      <c r="C6" s="15">
        <v>1</v>
      </c>
      <c r="D6" s="15">
        <v>1</v>
      </c>
    </row>
    <row r="7" spans="1:5">
      <c r="B7" s="11" t="s">
        <v>44</v>
      </c>
      <c r="C7" s="15">
        <v>3686</v>
      </c>
      <c r="D7" s="15">
        <v>5000</v>
      </c>
    </row>
    <row r="8" spans="1:5">
      <c r="A8" s="11" t="s">
        <v>54</v>
      </c>
      <c r="B8" s="11" t="s">
        <v>48</v>
      </c>
      <c r="C8" s="11">
        <v>191</v>
      </c>
      <c r="D8" s="15">
        <v>260</v>
      </c>
    </row>
    <row r="9" spans="1:5">
      <c r="A9" s="11" t="s">
        <v>55</v>
      </c>
      <c r="B9" s="11" t="s">
        <v>48</v>
      </c>
      <c r="C9" s="15">
        <v>15</v>
      </c>
      <c r="D9" s="15">
        <v>21</v>
      </c>
    </row>
    <row r="10" spans="1:5" ht="45">
      <c r="A10" s="11" t="s">
        <v>45</v>
      </c>
      <c r="B10" s="11" t="s">
        <v>56</v>
      </c>
      <c r="E10" s="13" t="s">
        <v>57</v>
      </c>
    </row>
    <row r="11" spans="1:5">
      <c r="A11" s="11" t="s">
        <v>36</v>
      </c>
      <c r="C11" s="15"/>
      <c r="D11" s="15"/>
    </row>
    <row r="12" spans="1:5">
      <c r="C12" s="15"/>
      <c r="D12" s="15"/>
    </row>
    <row r="13" spans="1:5">
      <c r="C13" s="15"/>
      <c r="D13" s="15"/>
    </row>
    <row r="14" spans="1:5">
      <c r="C14" s="15"/>
      <c r="D14" s="15"/>
    </row>
    <row r="15" spans="1:5">
      <c r="C15" s="15"/>
      <c r="D15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E12" sqref="E12"/>
    </sheetView>
  </sheetViews>
  <sheetFormatPr defaultRowHeight="15"/>
  <cols>
    <col min="3" max="3" width="12" customWidth="1"/>
    <col min="4" max="4" width="9.140625" style="16"/>
  </cols>
  <sheetData>
    <row r="1" spans="1:4">
      <c r="A1" t="s">
        <v>52</v>
      </c>
      <c r="B1" s="10">
        <v>40000000</v>
      </c>
    </row>
    <row r="2" spans="1:4">
      <c r="A2" t="s">
        <v>51</v>
      </c>
    </row>
    <row r="3" spans="1:4">
      <c r="A3" t="s">
        <v>53</v>
      </c>
    </row>
    <row r="5" spans="1:4">
      <c r="A5" t="s">
        <v>46</v>
      </c>
    </row>
    <row r="6" spans="1:4">
      <c r="A6" t="s">
        <v>47</v>
      </c>
      <c r="B6" t="s">
        <v>48</v>
      </c>
      <c r="C6" t="s">
        <v>49</v>
      </c>
      <c r="D6" s="16" t="s">
        <v>50</v>
      </c>
    </row>
    <row r="7" spans="1:4">
      <c r="A7">
        <v>1200</v>
      </c>
      <c r="B7">
        <f>INT($B$1/(16*A7))-1</f>
        <v>2082</v>
      </c>
      <c r="C7">
        <f>(($B$1/B7)-1)/16</f>
        <v>1200.7059918347743</v>
      </c>
      <c r="D7" s="16">
        <f>(C7-A7)/A7</f>
        <v>5.8832652897857917E-4</v>
      </c>
    </row>
    <row r="8" spans="1:4">
      <c r="A8">
        <v>2400</v>
      </c>
      <c r="B8">
        <f t="shared" ref="B8:B17" si="0">INT($B$1/(16*A8))-1</f>
        <v>1040</v>
      </c>
      <c r="C8">
        <f t="shared" ref="C8:C19" si="1">(($B$1/B8)-1)/16</f>
        <v>2403.7836538461538</v>
      </c>
      <c r="D8" s="16">
        <f t="shared" ref="D8:D19" si="2">(C8-A8)/A8</f>
        <v>1.5765224358974214E-3</v>
      </c>
    </row>
    <row r="9" spans="1:4">
      <c r="A9">
        <v>4800</v>
      </c>
      <c r="B9">
        <f t="shared" si="0"/>
        <v>519</v>
      </c>
      <c r="C9">
        <f t="shared" si="1"/>
        <v>4816.8931840077075</v>
      </c>
      <c r="D9" s="16">
        <f t="shared" si="2"/>
        <v>3.519413334939069E-3</v>
      </c>
    </row>
    <row r="10" spans="1:4">
      <c r="A10">
        <v>9600</v>
      </c>
      <c r="B10">
        <f t="shared" si="0"/>
        <v>259</v>
      </c>
      <c r="C10">
        <f t="shared" si="1"/>
        <v>9652.4471525096524</v>
      </c>
      <c r="D10" s="16">
        <f t="shared" si="2"/>
        <v>5.4632450530887888E-3</v>
      </c>
    </row>
    <row r="11" spans="1:4">
      <c r="A11">
        <v>9600</v>
      </c>
      <c r="B11">
        <v>260</v>
      </c>
      <c r="C11">
        <f t="shared" si="1"/>
        <v>9615.3221153846152</v>
      </c>
      <c r="D11" s="16">
        <f t="shared" ref="D11" si="3">(C11-A11)/A11</f>
        <v>1.5960536858974214E-3</v>
      </c>
    </row>
    <row r="12" spans="1:4">
      <c r="A12">
        <v>19200</v>
      </c>
      <c r="B12">
        <f t="shared" si="0"/>
        <v>129</v>
      </c>
      <c r="C12">
        <f t="shared" si="1"/>
        <v>19379.782461240309</v>
      </c>
      <c r="D12" s="16">
        <f t="shared" si="2"/>
        <v>9.3636698562661047E-3</v>
      </c>
    </row>
    <row r="13" spans="1:4">
      <c r="A13">
        <v>38400</v>
      </c>
      <c r="B13">
        <f t="shared" si="0"/>
        <v>64</v>
      </c>
      <c r="C13">
        <f t="shared" si="1"/>
        <v>39062.4375</v>
      </c>
      <c r="D13" s="16">
        <f t="shared" si="2"/>
        <v>1.7250976562499999E-2</v>
      </c>
    </row>
    <row r="14" spans="1:4">
      <c r="A14">
        <v>115200</v>
      </c>
      <c r="B14">
        <f t="shared" si="0"/>
        <v>20</v>
      </c>
      <c r="C14">
        <f t="shared" si="1"/>
        <v>124999.9375</v>
      </c>
      <c r="D14" s="16">
        <f t="shared" si="2"/>
        <v>8.5068901909722217E-2</v>
      </c>
    </row>
    <row r="15" spans="1:4">
      <c r="A15">
        <v>115200</v>
      </c>
      <c r="B15">
        <v>21</v>
      </c>
      <c r="C15">
        <f t="shared" si="1"/>
        <v>119047.55654761905</v>
      </c>
      <c r="D15" s="16">
        <f t="shared" ref="D15" si="4">(C15-A15)/A15</f>
        <v>3.3398928364748726E-2</v>
      </c>
    </row>
    <row r="16" spans="1:4">
      <c r="A16">
        <v>115200</v>
      </c>
      <c r="B16">
        <v>22</v>
      </c>
      <c r="C16">
        <f t="shared" si="1"/>
        <v>113636.30113636363</v>
      </c>
      <c r="D16" s="16">
        <f t="shared" si="2"/>
        <v>-1.3573774857954579E-2</v>
      </c>
    </row>
    <row r="17" spans="1:4">
      <c r="A17">
        <v>230400</v>
      </c>
      <c r="B17">
        <f t="shared" si="0"/>
        <v>9</v>
      </c>
      <c r="C17">
        <f t="shared" si="1"/>
        <v>277777.71527777775</v>
      </c>
      <c r="D17" s="16">
        <f t="shared" si="2"/>
        <v>0.2056324447820215</v>
      </c>
    </row>
    <row r="18" spans="1:4">
      <c r="A18">
        <v>230400</v>
      </c>
      <c r="B18">
        <v>10</v>
      </c>
      <c r="C18">
        <f t="shared" si="1"/>
        <v>249999.9375</v>
      </c>
      <c r="D18" s="16">
        <f t="shared" ref="D18" si="5">(C18-A18)/A18</f>
        <v>8.5069173177083332E-2</v>
      </c>
    </row>
    <row r="19" spans="1:4">
      <c r="A19">
        <v>230400</v>
      </c>
      <c r="B19">
        <v>11</v>
      </c>
      <c r="C19">
        <f t="shared" si="1"/>
        <v>227272.66477272726</v>
      </c>
      <c r="D19" s="16">
        <f t="shared" si="2"/>
        <v>-1.3573503590593469E-2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I1" sqref="I1:I1048576"/>
    </sheetView>
  </sheetViews>
  <sheetFormatPr defaultRowHeight="15"/>
  <cols>
    <col min="1" max="1" width="11.28515625" customWidth="1"/>
    <col min="7" max="7" width="11" bestFit="1" customWidth="1"/>
    <col min="9" max="9" width="9.140625" style="19"/>
  </cols>
  <sheetData>
    <row r="1" spans="1:9">
      <c r="A1" t="s">
        <v>62</v>
      </c>
    </row>
    <row r="2" spans="1:9">
      <c r="A2" t="s">
        <v>65</v>
      </c>
      <c r="B2">
        <f>2*1735</f>
        <v>3470</v>
      </c>
    </row>
    <row r="3" spans="1:9">
      <c r="A3" t="s">
        <v>66</v>
      </c>
      <c r="B3" s="10">
        <v>7.4499999999999996E-7</v>
      </c>
    </row>
    <row r="4" spans="1:9">
      <c r="A4" t="s">
        <v>67</v>
      </c>
      <c r="B4" s="10">
        <v>1.59E-6</v>
      </c>
    </row>
    <row r="5" spans="1:9">
      <c r="A5" t="s">
        <v>70</v>
      </c>
      <c r="B5" s="10">
        <v>4.3448999999999997E-5</v>
      </c>
    </row>
    <row r="6" spans="1:9">
      <c r="B6" s="10"/>
    </row>
    <row r="7" spans="1:9">
      <c r="A7" s="17" t="s">
        <v>61</v>
      </c>
      <c r="B7" s="17" t="s">
        <v>72</v>
      </c>
      <c r="C7" t="s">
        <v>71</v>
      </c>
      <c r="D7" t="s">
        <v>63</v>
      </c>
      <c r="E7" t="s">
        <v>64</v>
      </c>
      <c r="F7" t="s">
        <v>73</v>
      </c>
      <c r="G7" t="s">
        <v>69</v>
      </c>
      <c r="H7" t="s">
        <v>68</v>
      </c>
      <c r="I7" s="19" t="s">
        <v>74</v>
      </c>
    </row>
    <row r="8" spans="1:9">
      <c r="A8" s="18">
        <v>0.25</v>
      </c>
      <c r="B8" s="10">
        <f>$B$5*(1-A8)</f>
        <v>3.2586750000000001E-5</v>
      </c>
      <c r="C8" s="10">
        <v>3.1000000000000001E-5</v>
      </c>
      <c r="D8">
        <f>INT($B$2*(1-A8))</f>
        <v>2602</v>
      </c>
      <c r="E8">
        <v>150</v>
      </c>
      <c r="F8" s="10">
        <f>B8-C8</f>
        <v>1.5867499999999997E-6</v>
      </c>
      <c r="G8">
        <f>(C8+$B$4)/D8</f>
        <v>1.2524980784012298E-8</v>
      </c>
      <c r="H8" s="10">
        <f>(C8-$B$3)/E8</f>
        <v>2.0170000000000001E-7</v>
      </c>
      <c r="I8" s="19">
        <f>H8/G8</f>
        <v>16.103817121816508</v>
      </c>
    </row>
    <row r="9" spans="1:9">
      <c r="A9" s="18">
        <v>0.4</v>
      </c>
      <c r="B9" s="10">
        <f t="shared" ref="B9:B12" si="0">$B$5*(1-A9)</f>
        <v>2.6069399999999998E-5</v>
      </c>
      <c r="C9" s="10">
        <v>2.455E-5</v>
      </c>
      <c r="D9">
        <f t="shared" ref="D9:D12" si="1">INT($B$2*(1-A9))</f>
        <v>2082</v>
      </c>
      <c r="E9">
        <v>118</v>
      </c>
      <c r="F9" s="10">
        <f t="shared" ref="F9:F12" si="2">B9-C9</f>
        <v>1.5193999999999977E-6</v>
      </c>
      <c r="G9">
        <f t="shared" ref="G9:G12" si="3">(C9+$B$4)/D9</f>
        <v>1.2555235350624399E-8</v>
      </c>
      <c r="H9" s="10">
        <f t="shared" ref="H9:H12" si="4">(C9-$B$3)/E9</f>
        <v>2.0173728813559321E-7</v>
      </c>
      <c r="I9" s="19">
        <f t="shared" ref="I9:I12" si="5">H9/G9</f>
        <v>16.067981403913738</v>
      </c>
    </row>
    <row r="10" spans="1:9">
      <c r="A10" s="18">
        <v>0.5</v>
      </c>
      <c r="B10" s="10">
        <f t="shared" si="0"/>
        <v>2.1724499999999998E-5</v>
      </c>
      <c r="C10" s="10">
        <v>2.0166999999999999E-5</v>
      </c>
      <c r="D10">
        <f t="shared" si="1"/>
        <v>1735</v>
      </c>
      <c r="E10">
        <v>96</v>
      </c>
      <c r="F10" s="10">
        <f t="shared" si="2"/>
        <v>1.5574999999999999E-6</v>
      </c>
      <c r="G10">
        <f t="shared" si="3"/>
        <v>1.2540057636887607E-8</v>
      </c>
      <c r="H10" s="10">
        <f t="shared" si="4"/>
        <v>2.0231249999999998E-7</v>
      </c>
      <c r="I10" s="19">
        <f t="shared" si="5"/>
        <v>16.133299053178288</v>
      </c>
    </row>
    <row r="11" spans="1:9">
      <c r="A11" s="18">
        <v>0.6</v>
      </c>
      <c r="B11" s="10">
        <f t="shared" si="0"/>
        <v>1.7379599999999999E-5</v>
      </c>
      <c r="C11" s="10">
        <v>1.5829999999999999E-5</v>
      </c>
      <c r="D11">
        <f t="shared" si="1"/>
        <v>1388</v>
      </c>
      <c r="E11">
        <v>75</v>
      </c>
      <c r="F11" s="10">
        <f t="shared" si="2"/>
        <v>1.5495999999999995E-6</v>
      </c>
      <c r="G11">
        <f t="shared" si="3"/>
        <v>1.2550432276657059E-8</v>
      </c>
      <c r="H11" s="10">
        <f t="shared" si="4"/>
        <v>2.0113333333333332E-7</v>
      </c>
      <c r="I11" s="19">
        <f t="shared" si="5"/>
        <v>16.026008419441254</v>
      </c>
    </row>
    <row r="12" spans="1:9">
      <c r="A12" s="18">
        <v>0.75</v>
      </c>
      <c r="B12" s="10">
        <f t="shared" si="0"/>
        <v>1.0862249999999999E-5</v>
      </c>
      <c r="C12" s="10">
        <v>9.4099999999999997E-6</v>
      </c>
      <c r="D12">
        <f t="shared" si="1"/>
        <v>867</v>
      </c>
      <c r="E12">
        <v>42</v>
      </c>
      <c r="F12" s="10">
        <f t="shared" si="2"/>
        <v>1.4522499999999995E-6</v>
      </c>
      <c r="G12">
        <f t="shared" si="3"/>
        <v>1.2687427912341406E-8</v>
      </c>
      <c r="H12" s="10">
        <f t="shared" si="4"/>
        <v>2.063095238095238E-7</v>
      </c>
      <c r="I12" s="19">
        <f t="shared" si="5"/>
        <v>16.260941558441559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E10_Scaled_170134_L2</vt:lpstr>
      <vt:lpstr>Cal 2017-02-27 CCD</vt:lpstr>
      <vt:lpstr>Sheet2</vt:lpstr>
      <vt:lpstr>Cal 2017-02-27 PAO</vt:lpstr>
      <vt:lpstr>VAC</vt:lpstr>
      <vt:lpstr>ILINE</vt:lpstr>
      <vt:lpstr>8MHz Crystal</vt:lpstr>
      <vt:lpstr>Baudrates</vt:lpstr>
      <vt:lpstr>Sheet1</vt:lpstr>
    </vt:vector>
  </TitlesOfParts>
  <Company>Sensata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Bina</dc:creator>
  <cp:lastModifiedBy>Sensata User</cp:lastModifiedBy>
  <cp:lastPrinted>2017-03-01T21:39:03Z</cp:lastPrinted>
  <dcterms:created xsi:type="dcterms:W3CDTF">2015-02-09T13:52:59Z</dcterms:created>
  <dcterms:modified xsi:type="dcterms:W3CDTF">2017-03-01T22:08:28Z</dcterms:modified>
</cp:coreProperties>
</file>