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7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1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3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4.xml" ContentType="application/vnd.openxmlformats-officedocument.drawingml.chartshape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steigstra/Library/CloudStorage/Dropbox/Covid 19/"/>
    </mc:Choice>
  </mc:AlternateContent>
  <xr:revisionPtr revIDLastSave="0" documentId="13_ncr:1_{5E0B7E38-8D5D-5C48-9A24-946C78CFA378}" xr6:coauthVersionLast="47" xr6:coauthVersionMax="47" xr10:uidLastSave="{00000000-0000-0000-0000-000000000000}"/>
  <bookViews>
    <workbookView xWindow="420" yWindow="1400" windowWidth="25180" windowHeight="14320" firstSheet="1" activeTab="5" xr2:uid="{C3CED52E-DA96-5F40-8150-E58F3EEC9002}"/>
  </bookViews>
  <sheets>
    <sheet name="311 cov wlz" sheetId="1" r:id="rId1"/>
    <sheet name="312 cov nwlz" sheetId="2" r:id="rId2"/>
    <sheet name="321 ncov wlz" sheetId="3" r:id="rId3"/>
    <sheet name="322 ncov nwlz" sheetId="4" r:id="rId4"/>
    <sheet name="verzamel" sheetId="5" r:id="rId5"/>
    <sheet name="Corona" sheetId="6" r:id="rId6"/>
    <sheet name="Delta" sheetId="15" r:id="rId7"/>
    <sheet name="VE" sheetId="10" r:id="rId8"/>
    <sheet name="VaxOvst" sheetId="14" r:id="rId9"/>
    <sheet name="Oversterfte" sheetId="19" r:id="rId10"/>
  </sheets>
  <externalReferences>
    <externalReference r:id="rId11"/>
  </externalReferences>
  <definedNames>
    <definedName name="table_tabel_1cd4820b_3961_480b_9d85_eb5e1bda9573" localSheetId="3">'322 ncov nwlz'!$A$1:$E$106</definedName>
    <definedName name="table_tabel_5498f8e9_d98c_433b_9ae8_845ebf120eca" localSheetId="1">'312 cov nwlz'!$A$1:$E$106</definedName>
    <definedName name="table_tabel_557fa828_405a_4ae1_86e0_7dd3ce3187f3" localSheetId="0">'311 cov wlz'!$A$1:$E$106</definedName>
    <definedName name="table_tabel_cfafa6db_e588_46e6_bffb_dc002bef3f2e" localSheetId="2">'321 ncov wlz'!$A$1:$E$106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2" i="5" l="1"/>
  <c r="H103" i="5" s="1"/>
  <c r="H104" i="5" s="1"/>
  <c r="H105" i="5" s="1"/>
  <c r="E14" i="5" l="1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3" i="5"/>
  <c r="E4" i="5"/>
  <c r="E5" i="5"/>
  <c r="E6" i="5"/>
  <c r="E7" i="5"/>
  <c r="E8" i="5"/>
  <c r="E9" i="5"/>
  <c r="E10" i="5"/>
  <c r="E11" i="5"/>
  <c r="E12" i="5"/>
  <c r="E13" i="5"/>
  <c r="E2" i="5"/>
  <c r="H212" i="19" l="1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26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13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4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F259" i="19" s="1"/>
  <c r="H259" i="19" s="1"/>
  <c r="D261" i="19"/>
  <c r="D262" i="19"/>
  <c r="D263" i="19"/>
  <c r="E262" i="19" s="1"/>
  <c r="D264" i="19"/>
  <c r="D265" i="19"/>
  <c r="D266" i="19"/>
  <c r="D267" i="19"/>
  <c r="D268" i="19"/>
  <c r="D269" i="19"/>
  <c r="D270" i="19"/>
  <c r="AO8" i="6" s="1"/>
  <c r="D271" i="19"/>
  <c r="D272" i="19"/>
  <c r="D273" i="19"/>
  <c r="D274" i="19"/>
  <c r="D275" i="19"/>
  <c r="D276" i="19"/>
  <c r="D277" i="19"/>
  <c r="D278" i="19"/>
  <c r="AO16" i="6" s="1"/>
  <c r="D279" i="19"/>
  <c r="D280" i="19"/>
  <c r="D281" i="19"/>
  <c r="D282" i="19"/>
  <c r="D283" i="19"/>
  <c r="D284" i="19"/>
  <c r="D285" i="19"/>
  <c r="D286" i="19"/>
  <c r="AO24" i="6" s="1"/>
  <c r="D287" i="19"/>
  <c r="D288" i="19"/>
  <c r="D289" i="19"/>
  <c r="D290" i="19"/>
  <c r="D291" i="19"/>
  <c r="D292" i="19"/>
  <c r="D293" i="19"/>
  <c r="E294" i="19" s="1"/>
  <c r="D294" i="19"/>
  <c r="AO32" i="6" s="1"/>
  <c r="D295" i="19"/>
  <c r="AO33" i="6" s="1"/>
  <c r="D296" i="19"/>
  <c r="D297" i="19"/>
  <c r="D298" i="19"/>
  <c r="D299" i="19"/>
  <c r="D300" i="19"/>
  <c r="D301" i="19"/>
  <c r="D302" i="19"/>
  <c r="AO40" i="6" s="1"/>
  <c r="D303" i="19"/>
  <c r="D304" i="19"/>
  <c r="D305" i="19"/>
  <c r="D306" i="19"/>
  <c r="D307" i="19"/>
  <c r="D308" i="19"/>
  <c r="D309" i="19"/>
  <c r="D310" i="19"/>
  <c r="AO48" i="6" s="1"/>
  <c r="D311" i="19"/>
  <c r="D312" i="19"/>
  <c r="D313" i="19"/>
  <c r="D314" i="19"/>
  <c r="D315" i="19"/>
  <c r="D316" i="19"/>
  <c r="D317" i="19"/>
  <c r="D318" i="19"/>
  <c r="AO56" i="6" s="1"/>
  <c r="D319" i="19"/>
  <c r="D320" i="19"/>
  <c r="D321" i="19"/>
  <c r="D322" i="19"/>
  <c r="D323" i="19"/>
  <c r="D324" i="19"/>
  <c r="D325" i="19"/>
  <c r="E326" i="19" s="1"/>
  <c r="D326" i="19"/>
  <c r="AO64" i="6" s="1"/>
  <c r="D327" i="19"/>
  <c r="AO65" i="6" s="1"/>
  <c r="D328" i="19"/>
  <c r="D329" i="19"/>
  <c r="D330" i="19"/>
  <c r="D331" i="19"/>
  <c r="D332" i="19"/>
  <c r="D333" i="19"/>
  <c r="D334" i="19"/>
  <c r="AO72" i="6" s="1"/>
  <c r="D335" i="19"/>
  <c r="D336" i="19"/>
  <c r="D337" i="19"/>
  <c r="D338" i="19"/>
  <c r="D339" i="19"/>
  <c r="D340" i="19"/>
  <c r="D341" i="19"/>
  <c r="D342" i="19"/>
  <c r="AO80" i="6" s="1"/>
  <c r="D343" i="19"/>
  <c r="D344" i="19"/>
  <c r="D345" i="19"/>
  <c r="D346" i="19"/>
  <c r="D347" i="19"/>
  <c r="D348" i="19"/>
  <c r="D349" i="19"/>
  <c r="D350" i="19"/>
  <c r="AO88" i="6" s="1"/>
  <c r="D351" i="19"/>
  <c r="D352" i="19"/>
  <c r="D353" i="19"/>
  <c r="D354" i="19"/>
  <c r="D355" i="19"/>
  <c r="D356" i="19"/>
  <c r="D357" i="19"/>
  <c r="D358" i="19"/>
  <c r="AO96" i="6" s="1"/>
  <c r="D359" i="19"/>
  <c r="AO97" i="6" s="1"/>
  <c r="D360" i="19"/>
  <c r="F360" i="19" s="1"/>
  <c r="H360" i="19" s="1"/>
  <c r="D361" i="19"/>
  <c r="D362" i="19"/>
  <c r="D363" i="19"/>
  <c r="D364" i="19"/>
  <c r="D365" i="19"/>
  <c r="D366" i="19"/>
  <c r="AO104" i="6" s="1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E383" i="19" s="1"/>
  <c r="D383" i="19"/>
  <c r="D384" i="19"/>
  <c r="D385" i="19"/>
  <c r="D386" i="19"/>
  <c r="D387" i="19"/>
  <c r="D388" i="19"/>
  <c r="D389" i="19"/>
  <c r="D390" i="19"/>
  <c r="E390" i="19" s="1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E415" i="19" s="1"/>
  <c r="D415" i="19"/>
  <c r="D416" i="19"/>
  <c r="D417" i="19"/>
  <c r="D418" i="19"/>
  <c r="D419" i="19"/>
  <c r="D420" i="19"/>
  <c r="D421" i="19"/>
  <c r="E422" i="19" s="1"/>
  <c r="D422" i="19"/>
  <c r="D423" i="19"/>
  <c r="D424" i="19"/>
  <c r="F424" i="19" s="1"/>
  <c r="H424" i="19" s="1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3" i="19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I231" i="19"/>
  <c r="I238" i="19"/>
  <c r="I232" i="19"/>
  <c r="I222" i="19"/>
  <c r="I233" i="19"/>
  <c r="I254" i="19"/>
  <c r="I250" i="19"/>
  <c r="I245" i="19"/>
  <c r="I246" i="19"/>
  <c r="I251" i="19"/>
  <c r="I223" i="19"/>
  <c r="I244" i="19"/>
  <c r="I229" i="19"/>
  <c r="I249" i="19"/>
  <c r="I226" i="19"/>
  <c r="I230" i="19"/>
  <c r="I253" i="19"/>
  <c r="I259" i="19"/>
  <c r="I224" i="19"/>
  <c r="I228" i="19"/>
  <c r="I247" i="19"/>
  <c r="I258" i="19"/>
  <c r="I227" i="19"/>
  <c r="I257" i="19"/>
  <c r="I240" i="19"/>
  <c r="I235" i="19"/>
  <c r="I243" i="19"/>
  <c r="I242" i="19"/>
  <c r="I234" i="19"/>
  <c r="I255" i="19"/>
  <c r="I256" i="19"/>
  <c r="I241" i="19"/>
  <c r="I236" i="19"/>
  <c r="I239" i="19"/>
  <c r="I237" i="19"/>
  <c r="I252" i="19"/>
  <c r="I248" i="19"/>
  <c r="I221" i="19"/>
  <c r="I225" i="19"/>
  <c r="E438" i="19" l="1"/>
  <c r="E431" i="19"/>
  <c r="E414" i="19"/>
  <c r="E406" i="19"/>
  <c r="E398" i="19"/>
  <c r="E382" i="19"/>
  <c r="E374" i="19"/>
  <c r="E287" i="19"/>
  <c r="E358" i="19"/>
  <c r="F436" i="19"/>
  <c r="H436" i="19" s="1"/>
  <c r="F428" i="19"/>
  <c r="H428" i="19" s="1"/>
  <c r="F420" i="19"/>
  <c r="H420" i="19" s="1"/>
  <c r="F412" i="19"/>
  <c r="H412" i="19" s="1"/>
  <c r="F404" i="19"/>
  <c r="H404" i="19" s="1"/>
  <c r="F396" i="19"/>
  <c r="H396" i="19" s="1"/>
  <c r="F388" i="19"/>
  <c r="H388" i="19" s="1"/>
  <c r="F380" i="19"/>
  <c r="H380" i="19" s="1"/>
  <c r="F372" i="19"/>
  <c r="H372" i="19" s="1"/>
  <c r="F434" i="19"/>
  <c r="H434" i="19" s="1"/>
  <c r="F426" i="19"/>
  <c r="H426" i="19" s="1"/>
  <c r="F418" i="19"/>
  <c r="H418" i="19" s="1"/>
  <c r="F410" i="19"/>
  <c r="H410" i="19" s="1"/>
  <c r="F402" i="19"/>
  <c r="H402" i="19" s="1"/>
  <c r="F394" i="19"/>
  <c r="H394" i="19" s="1"/>
  <c r="F386" i="19"/>
  <c r="H386" i="19" s="1"/>
  <c r="F378" i="19"/>
  <c r="H378" i="19" s="1"/>
  <c r="F370" i="19"/>
  <c r="H370" i="19" s="1"/>
  <c r="F425" i="19"/>
  <c r="H425" i="19" s="1"/>
  <c r="F361" i="19"/>
  <c r="H361" i="19" s="1"/>
  <c r="F305" i="19"/>
  <c r="H305" i="19" s="1"/>
  <c r="F296" i="19"/>
  <c r="H296" i="19" s="1"/>
  <c r="E319" i="19"/>
  <c r="F364" i="19"/>
  <c r="H364" i="19" s="1"/>
  <c r="AO102" i="6"/>
  <c r="F356" i="19"/>
  <c r="H356" i="19" s="1"/>
  <c r="AO94" i="6"/>
  <c r="F348" i="19"/>
  <c r="H348" i="19" s="1"/>
  <c r="AO86" i="6"/>
  <c r="F340" i="19"/>
  <c r="H340" i="19" s="1"/>
  <c r="AO78" i="6"/>
  <c r="F332" i="19"/>
  <c r="H332" i="19" s="1"/>
  <c r="AO70" i="6"/>
  <c r="F324" i="19"/>
  <c r="H324" i="19" s="1"/>
  <c r="AO62" i="6"/>
  <c r="F316" i="19"/>
  <c r="H316" i="19" s="1"/>
  <c r="AO54" i="6"/>
  <c r="F308" i="19"/>
  <c r="H308" i="19" s="1"/>
  <c r="AO46" i="6"/>
  <c r="F300" i="19"/>
  <c r="H300" i="19" s="1"/>
  <c r="AO38" i="6"/>
  <c r="F292" i="19"/>
  <c r="H292" i="19" s="1"/>
  <c r="AO30" i="6"/>
  <c r="F284" i="19"/>
  <c r="H284" i="19" s="1"/>
  <c r="AO22" i="6"/>
  <c r="F276" i="19"/>
  <c r="H276" i="19" s="1"/>
  <c r="AO14" i="6"/>
  <c r="F268" i="19"/>
  <c r="H268" i="19" s="1"/>
  <c r="AO6" i="6"/>
  <c r="F433" i="19"/>
  <c r="H433" i="19" s="1"/>
  <c r="F369" i="19"/>
  <c r="H369" i="19" s="1"/>
  <c r="F435" i="19"/>
  <c r="H435" i="19" s="1"/>
  <c r="F427" i="19"/>
  <c r="H427" i="19" s="1"/>
  <c r="F419" i="19"/>
  <c r="H419" i="19" s="1"/>
  <c r="F411" i="19"/>
  <c r="H411" i="19" s="1"/>
  <c r="F403" i="19"/>
  <c r="H403" i="19" s="1"/>
  <c r="F395" i="19"/>
  <c r="H395" i="19" s="1"/>
  <c r="F387" i="19"/>
  <c r="H387" i="19" s="1"/>
  <c r="F379" i="19"/>
  <c r="H379" i="19" s="1"/>
  <c r="F371" i="19"/>
  <c r="H371" i="19" s="1"/>
  <c r="F363" i="19"/>
  <c r="H363" i="19" s="1"/>
  <c r="AO101" i="6"/>
  <c r="F355" i="19"/>
  <c r="H355" i="19" s="1"/>
  <c r="AO93" i="6"/>
  <c r="F347" i="19"/>
  <c r="H347" i="19" s="1"/>
  <c r="AO85" i="6"/>
  <c r="F339" i="19"/>
  <c r="H339" i="19" s="1"/>
  <c r="AO77" i="6"/>
  <c r="F331" i="19"/>
  <c r="H331" i="19" s="1"/>
  <c r="AO69" i="6"/>
  <c r="F323" i="19"/>
  <c r="H323" i="19" s="1"/>
  <c r="AO61" i="6"/>
  <c r="F315" i="19"/>
  <c r="H315" i="19" s="1"/>
  <c r="AO53" i="6"/>
  <c r="F307" i="19"/>
  <c r="H307" i="19" s="1"/>
  <c r="AO45" i="6"/>
  <c r="F299" i="19"/>
  <c r="H299" i="19" s="1"/>
  <c r="AO37" i="6"/>
  <c r="F291" i="19"/>
  <c r="H291" i="19" s="1"/>
  <c r="AO29" i="6"/>
  <c r="F283" i="19"/>
  <c r="H283" i="19" s="1"/>
  <c r="AO21" i="6"/>
  <c r="F275" i="19"/>
  <c r="H275" i="19" s="1"/>
  <c r="AO13" i="6"/>
  <c r="F267" i="19"/>
  <c r="H267" i="19" s="1"/>
  <c r="AO5" i="6"/>
  <c r="F297" i="19"/>
  <c r="H297" i="19" s="1"/>
  <c r="F362" i="19"/>
  <c r="H362" i="19" s="1"/>
  <c r="AO100" i="6"/>
  <c r="F338" i="19"/>
  <c r="H338" i="19" s="1"/>
  <c r="AO76" i="6"/>
  <c r="F306" i="19"/>
  <c r="H306" i="19" s="1"/>
  <c r="AO44" i="6"/>
  <c r="F274" i="19"/>
  <c r="H274" i="19" s="1"/>
  <c r="AO12" i="6"/>
  <c r="F346" i="19"/>
  <c r="H346" i="19" s="1"/>
  <c r="AO84" i="6"/>
  <c r="F322" i="19"/>
  <c r="H322" i="19" s="1"/>
  <c r="AO60" i="6"/>
  <c r="F314" i="19"/>
  <c r="H314" i="19" s="1"/>
  <c r="AO52" i="6"/>
  <c r="F282" i="19"/>
  <c r="H282" i="19" s="1"/>
  <c r="AO20" i="6"/>
  <c r="F266" i="19"/>
  <c r="AO4" i="6"/>
  <c r="E434" i="19"/>
  <c r="E426" i="19"/>
  <c r="E418" i="19"/>
  <c r="E410" i="19"/>
  <c r="E402" i="19"/>
  <c r="E394" i="19"/>
  <c r="E386" i="19"/>
  <c r="E378" i="19"/>
  <c r="E370" i="19"/>
  <c r="E362" i="19"/>
  <c r="AO99" i="6"/>
  <c r="E354" i="19"/>
  <c r="AO91" i="6"/>
  <c r="E346" i="19"/>
  <c r="AO83" i="6"/>
  <c r="E338" i="19"/>
  <c r="AO75" i="6"/>
  <c r="E330" i="19"/>
  <c r="AO67" i="6"/>
  <c r="E322" i="19"/>
  <c r="AO59" i="6"/>
  <c r="E314" i="19"/>
  <c r="AO51" i="6"/>
  <c r="E306" i="19"/>
  <c r="AO43" i="6"/>
  <c r="E298" i="19"/>
  <c r="AO35" i="6"/>
  <c r="E290" i="19"/>
  <c r="AO27" i="6"/>
  <c r="E282" i="19"/>
  <c r="AO19" i="6"/>
  <c r="E274" i="19"/>
  <c r="AO11" i="6"/>
  <c r="E266" i="19"/>
  <c r="AO3" i="6"/>
  <c r="F417" i="19"/>
  <c r="H417" i="19" s="1"/>
  <c r="F353" i="19"/>
  <c r="H353" i="19" s="1"/>
  <c r="F289" i="19"/>
  <c r="H289" i="19" s="1"/>
  <c r="F290" i="19"/>
  <c r="H290" i="19" s="1"/>
  <c r="AO28" i="6"/>
  <c r="E441" i="19"/>
  <c r="E433" i="19"/>
  <c r="E425" i="19"/>
  <c r="E417" i="19"/>
  <c r="E409" i="19"/>
  <c r="E401" i="19"/>
  <c r="E393" i="19"/>
  <c r="E385" i="19"/>
  <c r="E377" i="19"/>
  <c r="E369" i="19"/>
  <c r="E361" i="19"/>
  <c r="AO98" i="6"/>
  <c r="E353" i="19"/>
  <c r="AO90" i="6"/>
  <c r="E345" i="19"/>
  <c r="AO82" i="6"/>
  <c r="E337" i="19"/>
  <c r="AO74" i="6"/>
  <c r="E329" i="19"/>
  <c r="AO66" i="6"/>
  <c r="E321" i="19"/>
  <c r="AO58" i="6"/>
  <c r="E313" i="19"/>
  <c r="AO50" i="6"/>
  <c r="E305" i="19"/>
  <c r="AO42" i="6"/>
  <c r="E297" i="19"/>
  <c r="AO34" i="6"/>
  <c r="E289" i="19"/>
  <c r="AO26" i="6"/>
  <c r="E281" i="19"/>
  <c r="AO18" i="6"/>
  <c r="E273" i="19"/>
  <c r="AO10" i="6"/>
  <c r="E265" i="19"/>
  <c r="AO2" i="6"/>
  <c r="F401" i="19"/>
  <c r="H401" i="19" s="1"/>
  <c r="F337" i="19"/>
  <c r="H337" i="19" s="1"/>
  <c r="F273" i="19"/>
  <c r="H273" i="19" s="1"/>
  <c r="E367" i="19"/>
  <c r="AO105" i="6"/>
  <c r="E350" i="19"/>
  <c r="AO89" i="6"/>
  <c r="E342" i="19"/>
  <c r="AO81" i="6"/>
  <c r="E335" i="19"/>
  <c r="AO73" i="6"/>
  <c r="E318" i="19"/>
  <c r="AO57" i="6"/>
  <c r="E310" i="19"/>
  <c r="AO49" i="6"/>
  <c r="E303" i="19"/>
  <c r="AO41" i="6"/>
  <c r="E286" i="19"/>
  <c r="AO25" i="6"/>
  <c r="E278" i="19"/>
  <c r="AO17" i="6"/>
  <c r="E271" i="19"/>
  <c r="AO9" i="6"/>
  <c r="F393" i="19"/>
  <c r="H393" i="19" s="1"/>
  <c r="F329" i="19"/>
  <c r="H329" i="19" s="1"/>
  <c r="F265" i="19"/>
  <c r="H265" i="19" s="1"/>
  <c r="F392" i="19"/>
  <c r="H392" i="19" s="1"/>
  <c r="F328" i="19"/>
  <c r="H328" i="19" s="1"/>
  <c r="F264" i="19"/>
  <c r="H264" i="19" s="1"/>
  <c r="F354" i="19"/>
  <c r="H354" i="19" s="1"/>
  <c r="AO92" i="6"/>
  <c r="F330" i="19"/>
  <c r="H330" i="19" s="1"/>
  <c r="AO68" i="6"/>
  <c r="F298" i="19"/>
  <c r="H298" i="19" s="1"/>
  <c r="AO36" i="6"/>
  <c r="F437" i="19"/>
  <c r="H437" i="19" s="1"/>
  <c r="F429" i="19"/>
  <c r="H429" i="19" s="1"/>
  <c r="F421" i="19"/>
  <c r="H421" i="19" s="1"/>
  <c r="F413" i="19"/>
  <c r="H413" i="19" s="1"/>
  <c r="F405" i="19"/>
  <c r="H405" i="19" s="1"/>
  <c r="F397" i="19"/>
  <c r="H397" i="19" s="1"/>
  <c r="F389" i="19"/>
  <c r="H389" i="19" s="1"/>
  <c r="F381" i="19"/>
  <c r="H381" i="19" s="1"/>
  <c r="F373" i="19"/>
  <c r="H373" i="19" s="1"/>
  <c r="F365" i="19"/>
  <c r="H365" i="19" s="1"/>
  <c r="AO103" i="6"/>
  <c r="F357" i="19"/>
  <c r="H357" i="19" s="1"/>
  <c r="AO95" i="6"/>
  <c r="F349" i="19"/>
  <c r="H349" i="19" s="1"/>
  <c r="AO87" i="6"/>
  <c r="F341" i="19"/>
  <c r="H341" i="19" s="1"/>
  <c r="AO79" i="6"/>
  <c r="F333" i="19"/>
  <c r="H333" i="19" s="1"/>
  <c r="AO71" i="6"/>
  <c r="F325" i="19"/>
  <c r="H325" i="19" s="1"/>
  <c r="AO63" i="6"/>
  <c r="F317" i="19"/>
  <c r="H317" i="19" s="1"/>
  <c r="AO55" i="6"/>
  <c r="F309" i="19"/>
  <c r="H309" i="19" s="1"/>
  <c r="AO47" i="6"/>
  <c r="F301" i="19"/>
  <c r="H301" i="19" s="1"/>
  <c r="AO39" i="6"/>
  <c r="F293" i="19"/>
  <c r="H293" i="19" s="1"/>
  <c r="AO31" i="6"/>
  <c r="F285" i="19"/>
  <c r="H285" i="19" s="1"/>
  <c r="AO23" i="6"/>
  <c r="F277" i="19"/>
  <c r="H277" i="19" s="1"/>
  <c r="AO15" i="6"/>
  <c r="F269" i="19"/>
  <c r="H269" i="19" s="1"/>
  <c r="AO7" i="6"/>
  <c r="F261" i="19"/>
  <c r="H261" i="19" s="1"/>
  <c r="E351" i="19"/>
  <c r="F385" i="19"/>
  <c r="H385" i="19" s="1"/>
  <c r="F321" i="19"/>
  <c r="H321" i="19" s="1"/>
  <c r="J266" i="19"/>
  <c r="H266" i="19"/>
  <c r="E439" i="19"/>
  <c r="E407" i="19"/>
  <c r="E375" i="19"/>
  <c r="E343" i="19"/>
  <c r="E311" i="19"/>
  <c r="E279" i="19"/>
  <c r="F416" i="19"/>
  <c r="H416" i="19" s="1"/>
  <c r="F384" i="19"/>
  <c r="H384" i="19" s="1"/>
  <c r="F352" i="19"/>
  <c r="F320" i="19"/>
  <c r="F288" i="19"/>
  <c r="F441" i="19"/>
  <c r="H441" i="19" s="1"/>
  <c r="F409" i="19"/>
  <c r="H409" i="19" s="1"/>
  <c r="F377" i="19"/>
  <c r="H377" i="19" s="1"/>
  <c r="F345" i="19"/>
  <c r="F313" i="19"/>
  <c r="F281" i="19"/>
  <c r="E399" i="19"/>
  <c r="F440" i="19"/>
  <c r="H440" i="19" s="1"/>
  <c r="F408" i="19"/>
  <c r="H408" i="19" s="1"/>
  <c r="F376" i="19"/>
  <c r="H376" i="19" s="1"/>
  <c r="F344" i="19"/>
  <c r="F312" i="19"/>
  <c r="F280" i="19"/>
  <c r="E432" i="19"/>
  <c r="F431" i="19"/>
  <c r="H431" i="19" s="1"/>
  <c r="E416" i="19"/>
  <c r="F415" i="19"/>
  <c r="H415" i="19" s="1"/>
  <c r="E408" i="19"/>
  <c r="F407" i="19"/>
  <c r="H407" i="19" s="1"/>
  <c r="E392" i="19"/>
  <c r="F391" i="19"/>
  <c r="H391" i="19" s="1"/>
  <c r="E384" i="19"/>
  <c r="F383" i="19"/>
  <c r="H383" i="19" s="1"/>
  <c r="E376" i="19"/>
  <c r="F375" i="19"/>
  <c r="H375" i="19" s="1"/>
  <c r="E368" i="19"/>
  <c r="F367" i="19"/>
  <c r="E360" i="19"/>
  <c r="F359" i="19"/>
  <c r="E352" i="19"/>
  <c r="F351" i="19"/>
  <c r="E344" i="19"/>
  <c r="F343" i="19"/>
  <c r="E336" i="19"/>
  <c r="F335" i="19"/>
  <c r="E328" i="19"/>
  <c r="F327" i="19"/>
  <c r="E320" i="19"/>
  <c r="F319" i="19"/>
  <c r="E304" i="19"/>
  <c r="F303" i="19"/>
  <c r="E296" i="19"/>
  <c r="F295" i="19"/>
  <c r="E288" i="19"/>
  <c r="F287" i="19"/>
  <c r="E280" i="19"/>
  <c r="F279" i="19"/>
  <c r="E272" i="19"/>
  <c r="F271" i="19"/>
  <c r="E264" i="19"/>
  <c r="F263" i="19"/>
  <c r="E430" i="19"/>
  <c r="E366" i="19"/>
  <c r="E334" i="19"/>
  <c r="E302" i="19"/>
  <c r="E270" i="19"/>
  <c r="E440" i="19"/>
  <c r="F439" i="19"/>
  <c r="H439" i="19" s="1"/>
  <c r="E424" i="19"/>
  <c r="F423" i="19"/>
  <c r="H423" i="19" s="1"/>
  <c r="E400" i="19"/>
  <c r="F399" i="19"/>
  <c r="H399" i="19" s="1"/>
  <c r="E312" i="19"/>
  <c r="F311" i="19"/>
  <c r="F438" i="19"/>
  <c r="H438" i="19" s="1"/>
  <c r="F430" i="19"/>
  <c r="H430" i="19" s="1"/>
  <c r="F422" i="19"/>
  <c r="H422" i="19" s="1"/>
  <c r="F414" i="19"/>
  <c r="H414" i="19" s="1"/>
  <c r="F406" i="19"/>
  <c r="H406" i="19" s="1"/>
  <c r="F398" i="19"/>
  <c r="H398" i="19" s="1"/>
  <c r="F390" i="19"/>
  <c r="H390" i="19" s="1"/>
  <c r="F382" i="19"/>
  <c r="H382" i="19" s="1"/>
  <c r="F374" i="19"/>
  <c r="F366" i="19"/>
  <c r="F358" i="19"/>
  <c r="F350" i="19"/>
  <c r="F342" i="19"/>
  <c r="F334" i="19"/>
  <c r="F326" i="19"/>
  <c r="F318" i="19"/>
  <c r="F310" i="19"/>
  <c r="F302" i="19"/>
  <c r="F294" i="19"/>
  <c r="F286" i="19"/>
  <c r="F278" i="19"/>
  <c r="F270" i="19"/>
  <c r="F262" i="19"/>
  <c r="E423" i="19"/>
  <c r="E391" i="19"/>
  <c r="E359" i="19"/>
  <c r="E327" i="19"/>
  <c r="E295" i="19"/>
  <c r="E263" i="19"/>
  <c r="F432" i="19"/>
  <c r="H432" i="19" s="1"/>
  <c r="F400" i="19"/>
  <c r="H400" i="19" s="1"/>
  <c r="F368" i="19"/>
  <c r="F336" i="19"/>
  <c r="F304" i="19"/>
  <c r="F272" i="19"/>
  <c r="E437" i="19"/>
  <c r="E429" i="19"/>
  <c r="E421" i="19"/>
  <c r="E413" i="19"/>
  <c r="E405" i="19"/>
  <c r="E397" i="19"/>
  <c r="E389" i="19"/>
  <c r="E381" i="19"/>
  <c r="E373" i="19"/>
  <c r="E365" i="19"/>
  <c r="E357" i="19"/>
  <c r="E349" i="19"/>
  <c r="E341" i="19"/>
  <c r="E333" i="19"/>
  <c r="E325" i="19"/>
  <c r="E317" i="19"/>
  <c r="E309" i="19"/>
  <c r="E301" i="19"/>
  <c r="E293" i="19"/>
  <c r="E285" i="19"/>
  <c r="E277" i="19"/>
  <c r="E269" i="19"/>
  <c r="E261" i="19"/>
  <c r="E436" i="19"/>
  <c r="E428" i="19"/>
  <c r="E420" i="19"/>
  <c r="E412" i="19"/>
  <c r="E404" i="19"/>
  <c r="E396" i="19"/>
  <c r="E388" i="19"/>
  <c r="E380" i="19"/>
  <c r="E372" i="19"/>
  <c r="E364" i="19"/>
  <c r="E356" i="19"/>
  <c r="E348" i="19"/>
  <c r="E340" i="19"/>
  <c r="E332" i="19"/>
  <c r="E324" i="19"/>
  <c r="E316" i="19"/>
  <c r="E308" i="19"/>
  <c r="E300" i="19"/>
  <c r="E292" i="19"/>
  <c r="E284" i="19"/>
  <c r="E276" i="19"/>
  <c r="E268" i="19"/>
  <c r="E260" i="19"/>
  <c r="E435" i="19"/>
  <c r="E427" i="19"/>
  <c r="E419" i="19"/>
  <c r="E411" i="19"/>
  <c r="E403" i="19"/>
  <c r="E395" i="19"/>
  <c r="E387" i="19"/>
  <c r="E379" i="19"/>
  <c r="E371" i="19"/>
  <c r="E363" i="19"/>
  <c r="E355" i="19"/>
  <c r="E347" i="19"/>
  <c r="E339" i="19"/>
  <c r="E331" i="19"/>
  <c r="E323" i="19"/>
  <c r="E315" i="19"/>
  <c r="E307" i="19"/>
  <c r="E299" i="19"/>
  <c r="E291" i="19"/>
  <c r="E283" i="19"/>
  <c r="E275" i="19"/>
  <c r="E267" i="19"/>
  <c r="E259" i="19"/>
  <c r="F260" i="19"/>
  <c r="B19" i="10"/>
  <c r="B49" i="6"/>
  <c r="B32" i="6"/>
  <c r="B10" i="6"/>
  <c r="C9" i="5"/>
  <c r="F9" i="5"/>
  <c r="C10" i="5"/>
  <c r="F10" i="5"/>
  <c r="O10" i="5"/>
  <c r="R10" i="5"/>
  <c r="U10" i="5"/>
  <c r="I311" i="19"/>
  <c r="I402" i="19"/>
  <c r="I407" i="19"/>
  <c r="I423" i="19"/>
  <c r="I280" i="19"/>
  <c r="I325" i="19"/>
  <c r="I267" i="19"/>
  <c r="I403" i="19"/>
  <c r="I342" i="19"/>
  <c r="I365" i="19"/>
  <c r="I310" i="19"/>
  <c r="I333" i="19"/>
  <c r="I278" i="19"/>
  <c r="I346" i="19"/>
  <c r="I424" i="19"/>
  <c r="I304" i="19"/>
  <c r="I405" i="19"/>
  <c r="I295" i="19"/>
  <c r="I340" i="19"/>
  <c r="I328" i="19"/>
  <c r="I417" i="19"/>
  <c r="I263" i="19"/>
  <c r="I426" i="19"/>
  <c r="I319" i="19"/>
  <c r="I331" i="19"/>
  <c r="I321" i="19"/>
  <c r="I399" i="19"/>
  <c r="I318" i="19"/>
  <c r="I396" i="19"/>
  <c r="I315" i="19"/>
  <c r="I415" i="19"/>
  <c r="I274" i="19"/>
  <c r="I382" i="19"/>
  <c r="I425" i="19"/>
  <c r="I269" i="19"/>
  <c r="I370" i="19"/>
  <c r="I308" i="19"/>
  <c r="I440" i="19"/>
  <c r="I284" i="19"/>
  <c r="I418" i="19"/>
  <c r="I350" i="19"/>
  <c r="I309" i="19"/>
  <c r="I389" i="19"/>
  <c r="I294" i="19"/>
  <c r="I360" i="19"/>
  <c r="I433" i="19"/>
  <c r="I439" i="19"/>
  <c r="I282" i="19"/>
  <c r="I413" i="19"/>
  <c r="I366" i="19"/>
  <c r="I352" i="19"/>
  <c r="I306" i="19"/>
  <c r="I277" i="19"/>
  <c r="I341" i="19"/>
  <c r="I398" i="19"/>
  <c r="I362" i="19"/>
  <c r="I272" i="19"/>
  <c r="I394" i="19"/>
  <c r="I314" i="19"/>
  <c r="I420" i="19"/>
  <c r="I305" i="19"/>
  <c r="I383" i="19"/>
  <c r="I316" i="19"/>
  <c r="I353" i="19"/>
  <c r="I261" i="19"/>
  <c r="I292" i="19"/>
  <c r="I411" i="19"/>
  <c r="I296" i="19"/>
  <c r="I332" i="19"/>
  <c r="I285" i="19"/>
  <c r="I436" i="19"/>
  <c r="I427" i="19"/>
  <c r="I334" i="19"/>
  <c r="I371" i="19"/>
  <c r="I354" i="19"/>
  <c r="I364" i="19"/>
  <c r="I397" i="19"/>
  <c r="I276" i="19"/>
  <c r="I264" i="19"/>
  <c r="I414" i="19"/>
  <c r="I438" i="19"/>
  <c r="I421" i="19"/>
  <c r="I268" i="19"/>
  <c r="I419" i="19"/>
  <c r="I283" i="19"/>
  <c r="I437" i="19"/>
  <c r="I297" i="19"/>
  <c r="I412" i="19"/>
  <c r="I307" i="19"/>
  <c r="I302" i="19"/>
  <c r="I416" i="19"/>
  <c r="I327" i="19"/>
  <c r="I348" i="19"/>
  <c r="I374" i="19"/>
  <c r="I312" i="19"/>
  <c r="I323" i="19"/>
  <c r="I387" i="19"/>
  <c r="I329" i="19"/>
  <c r="I428" i="19"/>
  <c r="I373" i="19"/>
  <c r="I372" i="19"/>
  <c r="I337" i="19"/>
  <c r="I266" i="19"/>
  <c r="I291" i="19"/>
  <c r="I344" i="19"/>
  <c r="I299" i="19"/>
  <c r="I359" i="19"/>
  <c r="I320" i="19"/>
  <c r="I330" i="19"/>
  <c r="I409" i="19"/>
  <c r="I286" i="19"/>
  <c r="I303" i="19"/>
  <c r="I432" i="19"/>
  <c r="I361" i="19"/>
  <c r="I287" i="19"/>
  <c r="I388" i="19"/>
  <c r="I313" i="19"/>
  <c r="I441" i="19"/>
  <c r="I349" i="19"/>
  <c r="I289" i="19"/>
  <c r="I335" i="19"/>
  <c r="I326" i="19"/>
  <c r="I301" i="19"/>
  <c r="I369" i="19"/>
  <c r="I401" i="19"/>
  <c r="I400" i="19"/>
  <c r="I356" i="19"/>
  <c r="I336" i="19"/>
  <c r="I408" i="19"/>
  <c r="I434" i="19"/>
  <c r="I347" i="19"/>
  <c r="I300" i="19"/>
  <c r="I273" i="19"/>
  <c r="I435" i="19"/>
  <c r="I395" i="19"/>
  <c r="I390" i="19"/>
  <c r="I404" i="19"/>
  <c r="I270" i="19"/>
  <c r="I367" i="19"/>
  <c r="I375" i="19"/>
  <c r="I431" i="19"/>
  <c r="I376" i="19"/>
  <c r="I430" i="19"/>
  <c r="I429" i="19"/>
  <c r="I386" i="19"/>
  <c r="I260" i="19"/>
  <c r="I377" i="19"/>
  <c r="I290" i="19"/>
  <c r="I368" i="19"/>
  <c r="I391" i="19"/>
  <c r="I406" i="19"/>
  <c r="I358" i="19"/>
  <c r="I410" i="19"/>
  <c r="I379" i="19"/>
  <c r="I345" i="19"/>
  <c r="I381" i="19"/>
  <c r="I288" i="19"/>
  <c r="I293" i="19"/>
  <c r="I298" i="19"/>
  <c r="I385" i="19"/>
  <c r="I380" i="19"/>
  <c r="I343" i="19"/>
  <c r="I322" i="19"/>
  <c r="I262" i="19"/>
  <c r="I271" i="19"/>
  <c r="I281" i="19"/>
  <c r="I422" i="19"/>
  <c r="I355" i="19"/>
  <c r="I351" i="19"/>
  <c r="I357" i="19"/>
  <c r="I393" i="19"/>
  <c r="I275" i="19"/>
  <c r="I378" i="19"/>
  <c r="I339" i="19"/>
  <c r="I384" i="19"/>
  <c r="I265" i="19"/>
  <c r="I338" i="19"/>
  <c r="I363" i="19"/>
  <c r="I317" i="19"/>
  <c r="I392" i="19"/>
  <c r="I324" i="19"/>
  <c r="I279" i="19"/>
  <c r="J10" i="5" l="1"/>
  <c r="K10" i="5"/>
  <c r="J267" i="19"/>
  <c r="J268" i="19" s="1"/>
  <c r="J269" i="19" s="1"/>
  <c r="J270" i="19" s="1"/>
  <c r="J271" i="19" s="1"/>
  <c r="J272" i="19" s="1"/>
  <c r="J273" i="19" s="1"/>
  <c r="J274" i="19" s="1"/>
  <c r="J275" i="19" s="1"/>
  <c r="J276" i="19" s="1"/>
  <c r="J277" i="19" s="1"/>
  <c r="J278" i="19" s="1"/>
  <c r="J279" i="19" s="1"/>
  <c r="J280" i="19" s="1"/>
  <c r="J281" i="19" s="1"/>
  <c r="J282" i="19" s="1"/>
  <c r="J283" i="19" s="1"/>
  <c r="J284" i="19" s="1"/>
  <c r="J285" i="19" s="1"/>
  <c r="J286" i="19" s="1"/>
  <c r="J287" i="19" s="1"/>
  <c r="J288" i="19" s="1"/>
  <c r="J289" i="19" s="1"/>
  <c r="J290" i="19" s="1"/>
  <c r="J291" i="19" s="1"/>
  <c r="J292" i="19" s="1"/>
  <c r="J293" i="19" s="1"/>
  <c r="J294" i="19" s="1"/>
  <c r="J295" i="19" s="1"/>
  <c r="J296" i="19" s="1"/>
  <c r="J297" i="19" s="1"/>
  <c r="J298" i="19" s="1"/>
  <c r="J299" i="19" s="1"/>
  <c r="J300" i="19" s="1"/>
  <c r="J301" i="19" s="1"/>
  <c r="J302" i="19" s="1"/>
  <c r="J303" i="19" s="1"/>
  <c r="J304" i="19" s="1"/>
  <c r="J305" i="19" s="1"/>
  <c r="J306" i="19" s="1"/>
  <c r="J307" i="19" s="1"/>
  <c r="J308" i="19" s="1"/>
  <c r="J309" i="19" s="1"/>
  <c r="J310" i="19" s="1"/>
  <c r="J311" i="19" s="1"/>
  <c r="J312" i="19" s="1"/>
  <c r="J313" i="19" s="1"/>
  <c r="J314" i="19" s="1"/>
  <c r="J315" i="19" s="1"/>
  <c r="J316" i="19" s="1"/>
  <c r="J317" i="19" s="1"/>
  <c r="J318" i="19" s="1"/>
  <c r="J319" i="19" s="1"/>
  <c r="J320" i="19" s="1"/>
  <c r="J321" i="19" s="1"/>
  <c r="J322" i="19" s="1"/>
  <c r="J323" i="19" s="1"/>
  <c r="J324" i="19" s="1"/>
  <c r="J325" i="19" s="1"/>
  <c r="J326" i="19" s="1"/>
  <c r="J327" i="19" s="1"/>
  <c r="J328" i="19" s="1"/>
  <c r="J329" i="19" s="1"/>
  <c r="J330" i="19" s="1"/>
  <c r="J331" i="19" s="1"/>
  <c r="J332" i="19" s="1"/>
  <c r="J333" i="19" s="1"/>
  <c r="J334" i="19" s="1"/>
  <c r="J335" i="19" s="1"/>
  <c r="J336" i="19" s="1"/>
  <c r="J337" i="19" s="1"/>
  <c r="J338" i="19" s="1"/>
  <c r="J339" i="19" s="1"/>
  <c r="J340" i="19" s="1"/>
  <c r="J341" i="19" s="1"/>
  <c r="J342" i="19" s="1"/>
  <c r="J343" i="19" s="1"/>
  <c r="J344" i="19" s="1"/>
  <c r="J345" i="19" s="1"/>
  <c r="J346" i="19" s="1"/>
  <c r="J347" i="19" s="1"/>
  <c r="J348" i="19" s="1"/>
  <c r="J349" i="19" s="1"/>
  <c r="J350" i="19" s="1"/>
  <c r="J351" i="19" s="1"/>
  <c r="J352" i="19" s="1"/>
  <c r="J353" i="19" s="1"/>
  <c r="J354" i="19" s="1"/>
  <c r="J355" i="19" s="1"/>
  <c r="J356" i="19" s="1"/>
  <c r="J357" i="19" s="1"/>
  <c r="J358" i="19" s="1"/>
  <c r="J359" i="19" s="1"/>
  <c r="J360" i="19" s="1"/>
  <c r="J361" i="19" s="1"/>
  <c r="J362" i="19" s="1"/>
  <c r="J363" i="19" s="1"/>
  <c r="J364" i="19" s="1"/>
  <c r="J365" i="19" s="1"/>
  <c r="J366" i="19" s="1"/>
  <c r="J367" i="19" s="1"/>
  <c r="J368" i="19" s="1"/>
  <c r="J369" i="19" s="1"/>
  <c r="J370" i="19" s="1"/>
  <c r="J371" i="19" s="1"/>
  <c r="J372" i="19" s="1"/>
  <c r="J373" i="19" s="1"/>
  <c r="J374" i="19" s="1"/>
  <c r="J375" i="19" s="1"/>
  <c r="J376" i="19" s="1"/>
  <c r="J377" i="19" s="1"/>
  <c r="J378" i="19" s="1"/>
  <c r="J379" i="19" s="1"/>
  <c r="J380" i="19" s="1"/>
  <c r="J381" i="19" s="1"/>
  <c r="J382" i="19" s="1"/>
  <c r="J383" i="19" s="1"/>
  <c r="J384" i="19" s="1"/>
  <c r="J385" i="19" s="1"/>
  <c r="J386" i="19" s="1"/>
  <c r="J387" i="19" s="1"/>
  <c r="J388" i="19" s="1"/>
  <c r="J389" i="19" s="1"/>
  <c r="J390" i="19" s="1"/>
  <c r="J391" i="19" s="1"/>
  <c r="J392" i="19" s="1"/>
  <c r="J393" i="19" s="1"/>
  <c r="J394" i="19" s="1"/>
  <c r="J395" i="19" s="1"/>
  <c r="J396" i="19" s="1"/>
  <c r="J397" i="19" s="1"/>
  <c r="J398" i="19" s="1"/>
  <c r="J399" i="19" s="1"/>
  <c r="J400" i="19" s="1"/>
  <c r="J401" i="19" s="1"/>
  <c r="J402" i="19" s="1"/>
  <c r="J403" i="19" s="1"/>
  <c r="J404" i="19" s="1"/>
  <c r="J405" i="19" s="1"/>
  <c r="J406" i="19" s="1"/>
  <c r="J407" i="19" s="1"/>
  <c r="J408" i="19" s="1"/>
  <c r="J409" i="19" s="1"/>
  <c r="J410" i="19" s="1"/>
  <c r="J411" i="19" s="1"/>
  <c r="J412" i="19" s="1"/>
  <c r="J413" i="19" s="1"/>
  <c r="J414" i="19" s="1"/>
  <c r="J415" i="19" s="1"/>
  <c r="J416" i="19" s="1"/>
  <c r="J417" i="19" s="1"/>
  <c r="J418" i="19" s="1"/>
  <c r="J419" i="19" s="1"/>
  <c r="J420" i="19" s="1"/>
  <c r="J421" i="19" s="1"/>
  <c r="J422" i="19" s="1"/>
  <c r="J423" i="19" s="1"/>
  <c r="J424" i="19" s="1"/>
  <c r="J425" i="19" s="1"/>
  <c r="J426" i="19" s="1"/>
  <c r="J427" i="19" s="1"/>
  <c r="J428" i="19" s="1"/>
  <c r="J429" i="19" s="1"/>
  <c r="J430" i="19" s="1"/>
  <c r="J431" i="19" s="1"/>
  <c r="J432" i="19" s="1"/>
  <c r="J433" i="19" s="1"/>
  <c r="J434" i="19" s="1"/>
  <c r="J435" i="19" s="1"/>
  <c r="J436" i="19" s="1"/>
  <c r="J437" i="19" s="1"/>
  <c r="J438" i="19" s="1"/>
  <c r="J439" i="19" s="1"/>
  <c r="J440" i="19" s="1"/>
  <c r="J441" i="19" s="1"/>
  <c r="H304" i="19"/>
  <c r="H336" i="19"/>
  <c r="H310" i="19"/>
  <c r="H374" i="19"/>
  <c r="H271" i="19"/>
  <c r="H303" i="19"/>
  <c r="H343" i="19"/>
  <c r="H294" i="19"/>
  <c r="H368" i="19"/>
  <c r="H318" i="19"/>
  <c r="H311" i="19"/>
  <c r="H288" i="19"/>
  <c r="H272" i="19"/>
  <c r="H263" i="19"/>
  <c r="H262" i="19"/>
  <c r="H326" i="19"/>
  <c r="H279" i="19"/>
  <c r="H319" i="19"/>
  <c r="H351" i="19"/>
  <c r="H320" i="19"/>
  <c r="H358" i="19"/>
  <c r="H270" i="19"/>
  <c r="H334" i="19"/>
  <c r="H281" i="19"/>
  <c r="H352" i="19"/>
  <c r="H295" i="19"/>
  <c r="H335" i="19"/>
  <c r="H344" i="19"/>
  <c r="H302" i="19"/>
  <c r="H366" i="19"/>
  <c r="H260" i="19"/>
  <c r="H278" i="19"/>
  <c r="H342" i="19"/>
  <c r="H287" i="19"/>
  <c r="H327" i="19"/>
  <c r="H359" i="19"/>
  <c r="H280" i="19"/>
  <c r="H313" i="19"/>
  <c r="H367" i="19"/>
  <c r="H286" i="19"/>
  <c r="H350" i="19"/>
  <c r="H312" i="19"/>
  <c r="H345" i="19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43" i="15"/>
  <c r="N44" i="15"/>
  <c r="N45" i="15"/>
  <c r="N46" i="15"/>
  <c r="N47" i="15"/>
  <c r="N48" i="15"/>
  <c r="N49" i="15"/>
  <c r="M105" i="15" l="1"/>
  <c r="I40" i="2" l="1"/>
  <c r="I38" i="2"/>
  <c r="AF103" i="14" l="1"/>
  <c r="AF104" i="14"/>
  <c r="AF105" i="14"/>
  <c r="I1" i="14"/>
  <c r="C55" i="5" l="1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2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37" i="15"/>
  <c r="X86" i="5" l="1"/>
  <c r="X62" i="5"/>
  <c r="X103" i="5"/>
  <c r="X96" i="5"/>
  <c r="X80" i="5"/>
  <c r="X64" i="5"/>
  <c r="X48" i="5"/>
  <c r="X40" i="5"/>
  <c r="X32" i="5"/>
  <c r="X101" i="5"/>
  <c r="X78" i="5"/>
  <c r="X54" i="5"/>
  <c r="X38" i="5"/>
  <c r="X88" i="5"/>
  <c r="X72" i="5"/>
  <c r="X56" i="5"/>
  <c r="X102" i="5"/>
  <c r="X95" i="5"/>
  <c r="X87" i="5"/>
  <c r="X79" i="5"/>
  <c r="X71" i="5"/>
  <c r="X63" i="5"/>
  <c r="X55" i="5"/>
  <c r="X47" i="5"/>
  <c r="X39" i="5"/>
  <c r="X100" i="5"/>
  <c r="X93" i="5"/>
  <c r="X77" i="5"/>
  <c r="X69" i="5"/>
  <c r="X61" i="5"/>
  <c r="X53" i="5"/>
  <c r="X45" i="5"/>
  <c r="X37" i="5"/>
  <c r="X85" i="5"/>
  <c r="X92" i="5"/>
  <c r="X84" i="5"/>
  <c r="X76" i="5"/>
  <c r="X68" i="5"/>
  <c r="X60" i="5"/>
  <c r="X52" i="5"/>
  <c r="X44" i="5"/>
  <c r="X36" i="5"/>
  <c r="X99" i="5"/>
  <c r="X91" i="5"/>
  <c r="X83" i="5"/>
  <c r="X75" i="5"/>
  <c r="X67" i="5"/>
  <c r="X59" i="5"/>
  <c r="X51" i="5"/>
  <c r="X43" i="5"/>
  <c r="X35" i="5"/>
  <c r="X94" i="5"/>
  <c r="X70" i="5"/>
  <c r="X46" i="5"/>
  <c r="X90" i="5"/>
  <c r="X74" i="5"/>
  <c r="X58" i="5"/>
  <c r="X50" i="5"/>
  <c r="X42" i="5"/>
  <c r="X98" i="5"/>
  <c r="X82" i="5"/>
  <c r="X66" i="5"/>
  <c r="X34" i="5"/>
  <c r="X104" i="5"/>
  <c r="X97" i="5"/>
  <c r="X89" i="5"/>
  <c r="X81" i="5"/>
  <c r="X73" i="5"/>
  <c r="X65" i="5"/>
  <c r="X57" i="5"/>
  <c r="X49" i="5"/>
  <c r="X41" i="5"/>
  <c r="X33" i="5"/>
  <c r="D2" i="15"/>
  <c r="A55" i="14" l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B3" i="14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B93" i="14" l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P59" i="10" l="1"/>
  <c r="H96" i="10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7" i="10"/>
  <c r="H98" i="10"/>
  <c r="H99" i="10"/>
  <c r="H100" i="10"/>
  <c r="H101" i="10"/>
  <c r="H102" i="10"/>
  <c r="H103" i="10"/>
  <c r="H104" i="10"/>
  <c r="H105" i="10"/>
  <c r="H2" i="10"/>
  <c r="C105" i="10"/>
  <c r="F105" i="5"/>
  <c r="G105" i="10" s="1"/>
  <c r="B3" i="10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4" i="6"/>
  <c r="K5" i="6"/>
  <c r="K6" i="6"/>
  <c r="K7" i="6"/>
  <c r="K8" i="6"/>
  <c r="K9" i="6"/>
  <c r="K3" i="6"/>
  <c r="F61" i="5"/>
  <c r="F62" i="5"/>
  <c r="F63" i="5"/>
  <c r="K63" i="6"/>
  <c r="F64" i="5"/>
  <c r="F65" i="5"/>
  <c r="G65" i="10" s="1"/>
  <c r="F66" i="5"/>
  <c r="G66" i="10" s="1"/>
  <c r="K66" i="6"/>
  <c r="F67" i="5"/>
  <c r="G67" i="10" s="1"/>
  <c r="F68" i="5"/>
  <c r="F69" i="5"/>
  <c r="F70" i="5"/>
  <c r="F71" i="5"/>
  <c r="K71" i="6"/>
  <c r="F72" i="5"/>
  <c r="F73" i="5"/>
  <c r="F74" i="5"/>
  <c r="G74" i="10" s="1"/>
  <c r="K74" i="6"/>
  <c r="F75" i="5"/>
  <c r="F76" i="5"/>
  <c r="K76" i="6"/>
  <c r="F77" i="5"/>
  <c r="F78" i="5"/>
  <c r="F79" i="5"/>
  <c r="K79" i="6"/>
  <c r="F80" i="5"/>
  <c r="G80" i="10" s="1"/>
  <c r="F81" i="5"/>
  <c r="G81" i="10" s="1"/>
  <c r="F82" i="5"/>
  <c r="K82" i="6"/>
  <c r="F83" i="5"/>
  <c r="F84" i="5"/>
  <c r="F85" i="5"/>
  <c r="K85" i="6"/>
  <c r="F86" i="5"/>
  <c r="F87" i="5"/>
  <c r="F88" i="5"/>
  <c r="F89" i="5"/>
  <c r="G89" i="10" s="1"/>
  <c r="F90" i="5"/>
  <c r="G90" i="10" s="1"/>
  <c r="F91" i="5"/>
  <c r="F92" i="5"/>
  <c r="F93" i="5"/>
  <c r="F94" i="5"/>
  <c r="F95" i="5"/>
  <c r="G95" i="10" s="1"/>
  <c r="K95" i="6"/>
  <c r="F96" i="5"/>
  <c r="F97" i="5"/>
  <c r="F98" i="5"/>
  <c r="G98" i="10" s="1"/>
  <c r="F99" i="5"/>
  <c r="F100" i="5"/>
  <c r="F101" i="5"/>
  <c r="F102" i="5"/>
  <c r="F103" i="5"/>
  <c r="K103" i="6"/>
  <c r="F104" i="5"/>
  <c r="G104" i="10" s="1"/>
  <c r="F55" i="5"/>
  <c r="F56" i="5"/>
  <c r="F57" i="5"/>
  <c r="F58" i="5"/>
  <c r="F59" i="5"/>
  <c r="F60" i="5"/>
  <c r="D105" i="15"/>
  <c r="A55" i="5"/>
  <c r="A56" i="5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55" i="6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54" i="5"/>
  <c r="F54" i="5"/>
  <c r="C2" i="5"/>
  <c r="C3" i="5"/>
  <c r="C4" i="5"/>
  <c r="C5" i="5"/>
  <c r="C6" i="5"/>
  <c r="C7" i="5"/>
  <c r="C8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B51" i="10" l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49" i="10"/>
  <c r="B50" i="10" s="1"/>
  <c r="C59" i="10"/>
  <c r="C59" i="14" s="1"/>
  <c r="AD60" i="14"/>
  <c r="C55" i="10"/>
  <c r="C55" i="14" s="1"/>
  <c r="AD56" i="14"/>
  <c r="C97" i="10"/>
  <c r="C97" i="14" s="1"/>
  <c r="AD98" i="14"/>
  <c r="C93" i="10"/>
  <c r="AD94" i="14"/>
  <c r="C89" i="10"/>
  <c r="AD90" i="14"/>
  <c r="C85" i="10"/>
  <c r="C85" i="14" s="1"/>
  <c r="AD86" i="14"/>
  <c r="C81" i="10"/>
  <c r="C81" i="14" s="1"/>
  <c r="AD82" i="14"/>
  <c r="C77" i="10"/>
  <c r="AD78" i="14"/>
  <c r="C73" i="10"/>
  <c r="C73" i="14" s="1"/>
  <c r="AD74" i="14"/>
  <c r="C69" i="10"/>
  <c r="C69" i="14" s="1"/>
  <c r="AD70" i="14"/>
  <c r="C65" i="10"/>
  <c r="C65" i="14" s="1"/>
  <c r="AD66" i="14"/>
  <c r="C61" i="10"/>
  <c r="AD62" i="14"/>
  <c r="C101" i="10"/>
  <c r="AD102" i="14"/>
  <c r="C54" i="10"/>
  <c r="C54" i="14" s="1"/>
  <c r="C58" i="10"/>
  <c r="C58" i="14" s="1"/>
  <c r="AD59" i="14"/>
  <c r="C102" i="10"/>
  <c r="C102" i="14" s="1"/>
  <c r="AD103" i="14"/>
  <c r="C98" i="10"/>
  <c r="C98" i="14" s="1"/>
  <c r="AD99" i="14"/>
  <c r="C94" i="10"/>
  <c r="C94" i="14" s="1"/>
  <c r="AD95" i="14"/>
  <c r="C90" i="10"/>
  <c r="C90" i="14" s="1"/>
  <c r="AD91" i="14"/>
  <c r="C86" i="10"/>
  <c r="C86" i="14" s="1"/>
  <c r="AD87" i="14"/>
  <c r="C82" i="10"/>
  <c r="AD83" i="14"/>
  <c r="C78" i="10"/>
  <c r="C78" i="14" s="1"/>
  <c r="AD79" i="14"/>
  <c r="C74" i="10"/>
  <c r="I74" i="10" s="1"/>
  <c r="P74" i="15" s="1"/>
  <c r="AD75" i="14"/>
  <c r="C70" i="10"/>
  <c r="C70" i="14" s="1"/>
  <c r="AD71" i="14"/>
  <c r="C66" i="10"/>
  <c r="AD67" i="14"/>
  <c r="C62" i="10"/>
  <c r="C62" i="14" s="1"/>
  <c r="AD63" i="14"/>
  <c r="C57" i="10"/>
  <c r="C57" i="14" s="1"/>
  <c r="AD58" i="14"/>
  <c r="C103" i="10"/>
  <c r="C103" i="14" s="1"/>
  <c r="AD104" i="14"/>
  <c r="C99" i="10"/>
  <c r="AD100" i="14"/>
  <c r="C95" i="10"/>
  <c r="C95" i="14" s="1"/>
  <c r="AD96" i="14"/>
  <c r="C91" i="10"/>
  <c r="C91" i="14" s="1"/>
  <c r="AD92" i="14"/>
  <c r="C87" i="10"/>
  <c r="C87" i="14" s="1"/>
  <c r="AD88" i="14"/>
  <c r="C83" i="10"/>
  <c r="AD84" i="14"/>
  <c r="C79" i="10"/>
  <c r="C79" i="14" s="1"/>
  <c r="AD80" i="14"/>
  <c r="C75" i="10"/>
  <c r="C75" i="14" s="1"/>
  <c r="AD76" i="14"/>
  <c r="C71" i="10"/>
  <c r="C71" i="14" s="1"/>
  <c r="AD72" i="14"/>
  <c r="C67" i="10"/>
  <c r="AD68" i="14"/>
  <c r="C63" i="10"/>
  <c r="C63" i="14" s="1"/>
  <c r="AD64" i="14"/>
  <c r="C56" i="10"/>
  <c r="C56" i="14" s="1"/>
  <c r="AD57" i="14"/>
  <c r="C92" i="10"/>
  <c r="C92" i="14" s="1"/>
  <c r="AD93" i="14"/>
  <c r="C80" i="10"/>
  <c r="AD81" i="14"/>
  <c r="C76" i="10"/>
  <c r="C76" i="14" s="1"/>
  <c r="AD77" i="14"/>
  <c r="C72" i="10"/>
  <c r="C72" i="14" s="1"/>
  <c r="AD73" i="14"/>
  <c r="C68" i="10"/>
  <c r="C68" i="14" s="1"/>
  <c r="AD69" i="14"/>
  <c r="C64" i="10"/>
  <c r="AD65" i="14"/>
  <c r="C60" i="10"/>
  <c r="C60" i="14" s="1"/>
  <c r="AD61" i="14"/>
  <c r="C104" i="10"/>
  <c r="C104" i="14" s="1"/>
  <c r="AD105" i="14"/>
  <c r="C100" i="10"/>
  <c r="C100" i="14" s="1"/>
  <c r="AD101" i="14"/>
  <c r="C96" i="10"/>
  <c r="AD97" i="14"/>
  <c r="C88" i="10"/>
  <c r="C88" i="14" s="1"/>
  <c r="AD89" i="14"/>
  <c r="AE89" i="14" s="1"/>
  <c r="C84" i="10"/>
  <c r="C84" i="14" s="1"/>
  <c r="AD85" i="14"/>
  <c r="D77" i="15"/>
  <c r="D37" i="15"/>
  <c r="D29" i="15"/>
  <c r="D5" i="15"/>
  <c r="D100" i="15"/>
  <c r="D84" i="15"/>
  <c r="D60" i="15"/>
  <c r="D12" i="15"/>
  <c r="D85" i="15"/>
  <c r="D4" i="15"/>
  <c r="D99" i="15"/>
  <c r="D91" i="15"/>
  <c r="D83" i="15"/>
  <c r="D75" i="15"/>
  <c r="D67" i="15"/>
  <c r="D59" i="15"/>
  <c r="D51" i="15"/>
  <c r="D43" i="15"/>
  <c r="D35" i="15"/>
  <c r="D27" i="15"/>
  <c r="D19" i="15"/>
  <c r="D11" i="15"/>
  <c r="D3" i="15"/>
  <c r="D98" i="15"/>
  <c r="D90" i="15"/>
  <c r="D82" i="15"/>
  <c r="D74" i="15"/>
  <c r="D66" i="15"/>
  <c r="D58" i="15"/>
  <c r="D50" i="15"/>
  <c r="D42" i="15"/>
  <c r="D34" i="15"/>
  <c r="D26" i="15"/>
  <c r="D18" i="15"/>
  <c r="D10" i="15"/>
  <c r="D9" i="15"/>
  <c r="D97" i="15"/>
  <c r="D89" i="15"/>
  <c r="D81" i="15"/>
  <c r="D73" i="15"/>
  <c r="D65" i="15"/>
  <c r="D57" i="15"/>
  <c r="D49" i="15"/>
  <c r="D41" i="15"/>
  <c r="D33" i="15"/>
  <c r="D25" i="15"/>
  <c r="D104" i="15"/>
  <c r="D96" i="15"/>
  <c r="D88" i="15"/>
  <c r="D80" i="15"/>
  <c r="D72" i="15"/>
  <c r="D64" i="15"/>
  <c r="D56" i="15"/>
  <c r="D48" i="15"/>
  <c r="D40" i="15"/>
  <c r="D32" i="15"/>
  <c r="D24" i="15"/>
  <c r="D16" i="15"/>
  <c r="D8" i="15"/>
  <c r="D87" i="15"/>
  <c r="D63" i="15"/>
  <c r="D15" i="15"/>
  <c r="D17" i="15"/>
  <c r="D103" i="15"/>
  <c r="D95" i="15"/>
  <c r="D79" i="15"/>
  <c r="D71" i="15"/>
  <c r="D55" i="15"/>
  <c r="D47" i="15"/>
  <c r="D39" i="15"/>
  <c r="D31" i="15"/>
  <c r="D23" i="15"/>
  <c r="D7" i="15"/>
  <c r="D102" i="15"/>
  <c r="D94" i="15"/>
  <c r="D86" i="15"/>
  <c r="D78" i="15"/>
  <c r="D70" i="15"/>
  <c r="D62" i="15"/>
  <c r="D54" i="15"/>
  <c r="D46" i="15"/>
  <c r="D38" i="15"/>
  <c r="D30" i="15"/>
  <c r="D22" i="15"/>
  <c r="D14" i="15"/>
  <c r="D6" i="15"/>
  <c r="D101" i="15"/>
  <c r="D93" i="15"/>
  <c r="D92" i="15"/>
  <c r="D76" i="15"/>
  <c r="D68" i="15"/>
  <c r="D52" i="15"/>
  <c r="D44" i="15"/>
  <c r="D36" i="15"/>
  <c r="D28" i="15"/>
  <c r="D20" i="15"/>
  <c r="D69" i="15"/>
  <c r="F53" i="10"/>
  <c r="D53" i="15"/>
  <c r="F45" i="10"/>
  <c r="D45" i="15"/>
  <c r="D61" i="15"/>
  <c r="F21" i="10"/>
  <c r="D21" i="15"/>
  <c r="F13" i="10"/>
  <c r="D13" i="15"/>
  <c r="C96" i="14"/>
  <c r="C80" i="14"/>
  <c r="C64" i="14"/>
  <c r="C101" i="14"/>
  <c r="C93" i="14"/>
  <c r="C89" i="14"/>
  <c r="C77" i="14"/>
  <c r="C61" i="14"/>
  <c r="C82" i="14"/>
  <c r="C66" i="14"/>
  <c r="C105" i="14"/>
  <c r="C83" i="14"/>
  <c r="C67" i="14"/>
  <c r="C99" i="14"/>
  <c r="F2" i="10"/>
  <c r="U2" i="10" s="1"/>
  <c r="I105" i="6"/>
  <c r="O54" i="5"/>
  <c r="I98" i="6"/>
  <c r="O58" i="5"/>
  <c r="K75" i="6"/>
  <c r="I103" i="6"/>
  <c r="I99" i="6"/>
  <c r="I95" i="6"/>
  <c r="I91" i="6"/>
  <c r="I87" i="6"/>
  <c r="I83" i="6"/>
  <c r="I79" i="6"/>
  <c r="I75" i="6"/>
  <c r="I67" i="6"/>
  <c r="I63" i="6"/>
  <c r="I59" i="6"/>
  <c r="I97" i="6"/>
  <c r="I89" i="6"/>
  <c r="I81" i="6"/>
  <c r="I73" i="6"/>
  <c r="I65" i="6"/>
  <c r="K98" i="6"/>
  <c r="K70" i="6"/>
  <c r="K94" i="6"/>
  <c r="K86" i="6"/>
  <c r="K83" i="6"/>
  <c r="K62" i="6"/>
  <c r="F97" i="10"/>
  <c r="F57" i="10"/>
  <c r="K56" i="6"/>
  <c r="O55" i="5"/>
  <c r="F89" i="10"/>
  <c r="F65" i="10"/>
  <c r="F41" i="10"/>
  <c r="F25" i="10"/>
  <c r="I57" i="6"/>
  <c r="F101" i="10"/>
  <c r="I59" i="5"/>
  <c r="G59" i="10"/>
  <c r="F100" i="10"/>
  <c r="F92" i="10"/>
  <c r="F84" i="10"/>
  <c r="F76" i="10"/>
  <c r="F68" i="10"/>
  <c r="F60" i="10"/>
  <c r="F52" i="10"/>
  <c r="F44" i="10"/>
  <c r="F36" i="10"/>
  <c r="F28" i="10"/>
  <c r="F20" i="10"/>
  <c r="I55" i="5"/>
  <c r="G55" i="10"/>
  <c r="F73" i="10"/>
  <c r="F9" i="10"/>
  <c r="I104" i="6"/>
  <c r="I100" i="6"/>
  <c r="I96" i="6"/>
  <c r="I92" i="6"/>
  <c r="I88" i="6"/>
  <c r="I84" i="6"/>
  <c r="I80" i="6"/>
  <c r="I76" i="6"/>
  <c r="I72" i="6"/>
  <c r="I68" i="6"/>
  <c r="I64" i="6"/>
  <c r="I60" i="6"/>
  <c r="I56" i="6"/>
  <c r="O60" i="5"/>
  <c r="I58" i="5"/>
  <c r="G58" i="10"/>
  <c r="F33" i="10"/>
  <c r="I101" i="6"/>
  <c r="I93" i="6"/>
  <c r="I85" i="6"/>
  <c r="I77" i="6"/>
  <c r="I69" i="6"/>
  <c r="I61" i="6"/>
  <c r="F98" i="10"/>
  <c r="F90" i="10"/>
  <c r="F82" i="10"/>
  <c r="F74" i="10"/>
  <c r="F66" i="10"/>
  <c r="F58" i="10"/>
  <c r="F50" i="10"/>
  <c r="F42" i="10"/>
  <c r="F34" i="10"/>
  <c r="F26" i="10"/>
  <c r="F18" i="10"/>
  <c r="F10" i="10"/>
  <c r="R59" i="5"/>
  <c r="K60" i="6"/>
  <c r="O59" i="5"/>
  <c r="R57" i="5"/>
  <c r="I57" i="5"/>
  <c r="G57" i="10"/>
  <c r="R104" i="5"/>
  <c r="F104" i="10"/>
  <c r="F96" i="10"/>
  <c r="F88" i="10"/>
  <c r="F80" i="10"/>
  <c r="F72" i="10"/>
  <c r="F64" i="10"/>
  <c r="F56" i="10"/>
  <c r="F48" i="10"/>
  <c r="F40" i="10"/>
  <c r="F32" i="10"/>
  <c r="F24" i="10"/>
  <c r="F16" i="10"/>
  <c r="F8" i="10"/>
  <c r="R55" i="5"/>
  <c r="K54" i="6"/>
  <c r="I102" i="6"/>
  <c r="I90" i="6"/>
  <c r="I82" i="6"/>
  <c r="I74" i="6"/>
  <c r="I58" i="6"/>
  <c r="I56" i="5"/>
  <c r="G56" i="10"/>
  <c r="F105" i="10"/>
  <c r="F81" i="10"/>
  <c r="F49" i="10"/>
  <c r="F17" i="10"/>
  <c r="I94" i="6"/>
  <c r="I86" i="6"/>
  <c r="I78" i="6"/>
  <c r="I70" i="6"/>
  <c r="I66" i="6"/>
  <c r="I62" i="6"/>
  <c r="F102" i="10"/>
  <c r="F94" i="10"/>
  <c r="F86" i="10"/>
  <c r="F78" i="10"/>
  <c r="F70" i="10"/>
  <c r="F62" i="10"/>
  <c r="F54" i="10"/>
  <c r="F46" i="10"/>
  <c r="F38" i="10"/>
  <c r="F30" i="10"/>
  <c r="F22" i="10"/>
  <c r="F14" i="10"/>
  <c r="F6" i="10"/>
  <c r="I71" i="6"/>
  <c r="F85" i="10"/>
  <c r="F69" i="10"/>
  <c r="R105" i="5"/>
  <c r="R58" i="5"/>
  <c r="K104" i="6"/>
  <c r="I103" i="5"/>
  <c r="O99" i="5"/>
  <c r="I99" i="5"/>
  <c r="O95" i="5"/>
  <c r="K96" i="6"/>
  <c r="I95" i="5"/>
  <c r="O91" i="5"/>
  <c r="I91" i="5"/>
  <c r="R88" i="5"/>
  <c r="O87" i="5"/>
  <c r="K88" i="6"/>
  <c r="I87" i="5"/>
  <c r="O83" i="5"/>
  <c r="I83" i="5"/>
  <c r="R80" i="5"/>
  <c r="O79" i="5"/>
  <c r="K80" i="6"/>
  <c r="I79" i="5"/>
  <c r="O75" i="5"/>
  <c r="I75" i="5"/>
  <c r="R72" i="5"/>
  <c r="O71" i="5"/>
  <c r="K72" i="6"/>
  <c r="I71" i="5"/>
  <c r="O67" i="5"/>
  <c r="I67" i="5"/>
  <c r="R64" i="5"/>
  <c r="O63" i="5"/>
  <c r="K64" i="6"/>
  <c r="I63" i="5"/>
  <c r="G91" i="10"/>
  <c r="K84" i="6"/>
  <c r="G79" i="10"/>
  <c r="I79" i="10" s="1"/>
  <c r="P79" i="15" s="1"/>
  <c r="G54" i="10"/>
  <c r="F103" i="10"/>
  <c r="F95" i="10"/>
  <c r="F87" i="10"/>
  <c r="F79" i="10"/>
  <c r="F71" i="10"/>
  <c r="F63" i="10"/>
  <c r="F55" i="10"/>
  <c r="F47" i="10"/>
  <c r="F39" i="10"/>
  <c r="F31" i="10"/>
  <c r="F23" i="10"/>
  <c r="F15" i="10"/>
  <c r="F7" i="10"/>
  <c r="R56" i="5"/>
  <c r="I104" i="5"/>
  <c r="R101" i="5"/>
  <c r="I100" i="5"/>
  <c r="G100" i="10"/>
  <c r="O96" i="5"/>
  <c r="K97" i="6"/>
  <c r="I96" i="5"/>
  <c r="R93" i="5"/>
  <c r="O92" i="5"/>
  <c r="I92" i="5"/>
  <c r="G92" i="10"/>
  <c r="O88" i="5"/>
  <c r="K89" i="6"/>
  <c r="I88" i="5"/>
  <c r="R85" i="5"/>
  <c r="O84" i="5"/>
  <c r="I84" i="5"/>
  <c r="G84" i="10"/>
  <c r="O80" i="5"/>
  <c r="K81" i="6"/>
  <c r="I80" i="5"/>
  <c r="R77" i="5"/>
  <c r="O76" i="5"/>
  <c r="I76" i="5"/>
  <c r="G76" i="10"/>
  <c r="O72" i="5"/>
  <c r="K73" i="6"/>
  <c r="I72" i="5"/>
  <c r="R69" i="5"/>
  <c r="O68" i="5"/>
  <c r="I68" i="5"/>
  <c r="G68" i="10"/>
  <c r="O64" i="5"/>
  <c r="K65" i="6"/>
  <c r="I64" i="5"/>
  <c r="R61" i="5"/>
  <c r="K93" i="6"/>
  <c r="K61" i="6"/>
  <c r="K105" i="6"/>
  <c r="G103" i="10"/>
  <c r="G75" i="10"/>
  <c r="G64" i="10"/>
  <c r="K102" i="6"/>
  <c r="K92" i="6"/>
  <c r="F93" i="10"/>
  <c r="F77" i="10"/>
  <c r="F61" i="10"/>
  <c r="O105" i="5"/>
  <c r="G99" i="10"/>
  <c r="I99" i="10" s="1"/>
  <c r="P99" i="15" s="1"/>
  <c r="G88" i="10"/>
  <c r="G63" i="10"/>
  <c r="I63" i="10" s="1"/>
  <c r="P63" i="15" s="1"/>
  <c r="O57" i="5"/>
  <c r="R54" i="5"/>
  <c r="R102" i="5"/>
  <c r="I101" i="5"/>
  <c r="G101" i="10"/>
  <c r="I101" i="10" s="1"/>
  <c r="P101" i="15" s="1"/>
  <c r="R98" i="5"/>
  <c r="I97" i="5"/>
  <c r="R94" i="5"/>
  <c r="I93" i="5"/>
  <c r="G93" i="10"/>
  <c r="R90" i="5"/>
  <c r="O89" i="5"/>
  <c r="I89" i="5"/>
  <c r="R86" i="5"/>
  <c r="I85" i="5"/>
  <c r="G85" i="10"/>
  <c r="I85" i="10" s="1"/>
  <c r="P85" i="15" s="1"/>
  <c r="R82" i="5"/>
  <c r="O81" i="5"/>
  <c r="I81" i="5"/>
  <c r="R78" i="5"/>
  <c r="I77" i="5"/>
  <c r="G77" i="10"/>
  <c r="I77" i="10" s="1"/>
  <c r="P77" i="15" s="1"/>
  <c r="R74" i="5"/>
  <c r="O73" i="5"/>
  <c r="I73" i="5"/>
  <c r="R70" i="5"/>
  <c r="I69" i="5"/>
  <c r="G69" i="10"/>
  <c r="R66" i="5"/>
  <c r="O65" i="5"/>
  <c r="I65" i="5"/>
  <c r="R62" i="5"/>
  <c r="I61" i="5"/>
  <c r="G61" i="10"/>
  <c r="K101" i="6"/>
  <c r="K91" i="6"/>
  <c r="K69" i="6"/>
  <c r="K59" i="6"/>
  <c r="F37" i="10"/>
  <c r="F12" i="10"/>
  <c r="F5" i="10"/>
  <c r="G87" i="10"/>
  <c r="G73" i="10"/>
  <c r="K100" i="6"/>
  <c r="K90" i="6"/>
  <c r="K78" i="6"/>
  <c r="K68" i="6"/>
  <c r="K58" i="6"/>
  <c r="G97" i="10"/>
  <c r="G83" i="10"/>
  <c r="G72" i="10"/>
  <c r="O56" i="5"/>
  <c r="I60" i="5"/>
  <c r="G60" i="10"/>
  <c r="F99" i="10"/>
  <c r="F91" i="10"/>
  <c r="F83" i="10"/>
  <c r="F75" i="10"/>
  <c r="F67" i="10"/>
  <c r="F59" i="10"/>
  <c r="F51" i="10"/>
  <c r="F43" i="10"/>
  <c r="F35" i="10"/>
  <c r="F27" i="10"/>
  <c r="F19" i="10"/>
  <c r="F11" i="10"/>
  <c r="F3" i="10"/>
  <c r="K57" i="6"/>
  <c r="R60" i="5"/>
  <c r="R103" i="5"/>
  <c r="O100" i="5"/>
  <c r="I102" i="5"/>
  <c r="G102" i="10"/>
  <c r="I98" i="5"/>
  <c r="R95" i="5"/>
  <c r="O94" i="5"/>
  <c r="I94" i="5"/>
  <c r="G94" i="10"/>
  <c r="R91" i="5"/>
  <c r="I90" i="5"/>
  <c r="R87" i="5"/>
  <c r="O86" i="5"/>
  <c r="I86" i="5"/>
  <c r="G86" i="10"/>
  <c r="R83" i="5"/>
  <c r="I82" i="5"/>
  <c r="R79" i="5"/>
  <c r="J79" i="5" s="1"/>
  <c r="K79" i="5" s="1"/>
  <c r="O78" i="5"/>
  <c r="I78" i="5"/>
  <c r="G78" i="10"/>
  <c r="R75" i="5"/>
  <c r="I74" i="5"/>
  <c r="R71" i="5"/>
  <c r="O70" i="5"/>
  <c r="I70" i="5"/>
  <c r="G70" i="10"/>
  <c r="R67" i="5"/>
  <c r="I66" i="5"/>
  <c r="R63" i="5"/>
  <c r="O62" i="5"/>
  <c r="I62" i="5"/>
  <c r="G62" i="10"/>
  <c r="I62" i="10" s="1"/>
  <c r="P62" i="15" s="1"/>
  <c r="K99" i="6"/>
  <c r="K87" i="6"/>
  <c r="K77" i="6"/>
  <c r="K67" i="6"/>
  <c r="K55" i="6"/>
  <c r="F29" i="10"/>
  <c r="F4" i="10"/>
  <c r="G96" i="10"/>
  <c r="G82" i="10"/>
  <c r="I82" i="10" s="1"/>
  <c r="P82" i="15" s="1"/>
  <c r="G71" i="10"/>
  <c r="I105" i="10"/>
  <c r="P105" i="15" s="1"/>
  <c r="I89" i="10"/>
  <c r="P89" i="15" s="1"/>
  <c r="I81" i="10"/>
  <c r="P81" i="15" s="1"/>
  <c r="I73" i="10"/>
  <c r="P73" i="15" s="1"/>
  <c r="I65" i="10"/>
  <c r="P65" i="15" s="1"/>
  <c r="I57" i="10"/>
  <c r="P57" i="15" s="1"/>
  <c r="I80" i="10"/>
  <c r="P80" i="15" s="1"/>
  <c r="I95" i="10"/>
  <c r="P95" i="15" s="1"/>
  <c r="I93" i="10"/>
  <c r="P93" i="15" s="1"/>
  <c r="I69" i="10"/>
  <c r="P69" i="15" s="1"/>
  <c r="I61" i="10"/>
  <c r="P61" i="15" s="1"/>
  <c r="I67" i="10"/>
  <c r="P67" i="15" s="1"/>
  <c r="I59" i="10"/>
  <c r="P59" i="15" s="1"/>
  <c r="I98" i="10"/>
  <c r="P98" i="15" s="1"/>
  <c r="I90" i="10"/>
  <c r="P90" i="15" s="1"/>
  <c r="I66" i="10"/>
  <c r="P66" i="15" s="1"/>
  <c r="O103" i="5"/>
  <c r="O104" i="5"/>
  <c r="O97" i="5"/>
  <c r="R96" i="5"/>
  <c r="O101" i="5"/>
  <c r="R100" i="5"/>
  <c r="O93" i="5"/>
  <c r="J93" i="5" s="1"/>
  <c r="K93" i="5" s="1"/>
  <c r="R92" i="5"/>
  <c r="O85" i="5"/>
  <c r="R84" i="5"/>
  <c r="O77" i="5"/>
  <c r="R76" i="5"/>
  <c r="O69" i="5"/>
  <c r="R68" i="5"/>
  <c r="O61" i="5"/>
  <c r="R99" i="5"/>
  <c r="J99" i="5" s="1"/>
  <c r="K99" i="5" s="1"/>
  <c r="O98" i="5"/>
  <c r="R97" i="5"/>
  <c r="O90" i="5"/>
  <c r="R89" i="5"/>
  <c r="O82" i="5"/>
  <c r="R81" i="5"/>
  <c r="O74" i="5"/>
  <c r="R73" i="5"/>
  <c r="O66" i="5"/>
  <c r="R65" i="5"/>
  <c r="O102" i="5"/>
  <c r="J61" i="5" l="1"/>
  <c r="K61" i="5" s="1"/>
  <c r="J101" i="5"/>
  <c r="K101" i="5" s="1"/>
  <c r="J80" i="5"/>
  <c r="K80" i="5" s="1"/>
  <c r="I75" i="10"/>
  <c r="P75" i="15" s="1"/>
  <c r="C74" i="14"/>
  <c r="I58" i="10"/>
  <c r="P58" i="15" s="1"/>
  <c r="I56" i="10"/>
  <c r="P56" i="15" s="1"/>
  <c r="I91" i="10"/>
  <c r="P91" i="15" s="1"/>
  <c r="I54" i="10"/>
  <c r="P54" i="15" s="1"/>
  <c r="I72" i="10"/>
  <c r="P72" i="15" s="1"/>
  <c r="I97" i="10"/>
  <c r="P97" i="15" s="1"/>
  <c r="I103" i="10"/>
  <c r="P103" i="15" s="1"/>
  <c r="I55" i="10"/>
  <c r="P55" i="15" s="1"/>
  <c r="I104" i="10"/>
  <c r="P104" i="15" s="1"/>
  <c r="J104" i="5"/>
  <c r="K104" i="5" s="1"/>
  <c r="J71" i="5"/>
  <c r="K71" i="5" s="1"/>
  <c r="I88" i="10"/>
  <c r="P88" i="15" s="1"/>
  <c r="J60" i="5"/>
  <c r="K60" i="5" s="1"/>
  <c r="J54" i="5"/>
  <c r="K54" i="5" s="1"/>
  <c r="AE85" i="14"/>
  <c r="J58" i="5"/>
  <c r="K58" i="5" s="1"/>
  <c r="AE101" i="14"/>
  <c r="AE93" i="14"/>
  <c r="J91" i="5"/>
  <c r="K91" i="5" s="1"/>
  <c r="J95" i="5"/>
  <c r="K95" i="5" s="1"/>
  <c r="AE77" i="14"/>
  <c r="AE105" i="14"/>
  <c r="AE73" i="14"/>
  <c r="AE91" i="14"/>
  <c r="AE68" i="14"/>
  <c r="AE80" i="14"/>
  <c r="AE95" i="14"/>
  <c r="Y74" i="5"/>
  <c r="W74" i="5"/>
  <c r="Y78" i="5"/>
  <c r="W78" i="5"/>
  <c r="Y89" i="5"/>
  <c r="W89" i="5"/>
  <c r="Y88" i="5"/>
  <c r="W88" i="5"/>
  <c r="Y95" i="5"/>
  <c r="W95" i="5"/>
  <c r="AE96" i="14"/>
  <c r="AE79" i="14"/>
  <c r="AE66" i="14"/>
  <c r="AE98" i="14"/>
  <c r="Y86" i="5"/>
  <c r="W86" i="5"/>
  <c r="Y102" i="5"/>
  <c r="W102" i="5"/>
  <c r="Y97" i="5"/>
  <c r="W97" i="5"/>
  <c r="Y76" i="5"/>
  <c r="W76" i="5"/>
  <c r="AE76" i="14"/>
  <c r="AE78" i="14"/>
  <c r="Y94" i="5"/>
  <c r="W94" i="5"/>
  <c r="Y61" i="5"/>
  <c r="W61" i="5"/>
  <c r="Y64" i="5"/>
  <c r="W64" i="5"/>
  <c r="Y96" i="5"/>
  <c r="W96" i="5"/>
  <c r="I105" i="5"/>
  <c r="Y104" i="5"/>
  <c r="W104" i="5"/>
  <c r="Y67" i="5"/>
  <c r="W67" i="5"/>
  <c r="Y56" i="5"/>
  <c r="W56" i="5"/>
  <c r="Y55" i="5"/>
  <c r="W55" i="5"/>
  <c r="AE88" i="14"/>
  <c r="AE71" i="14"/>
  <c r="AE103" i="14"/>
  <c r="AE102" i="14"/>
  <c r="AE90" i="14"/>
  <c r="Y66" i="5"/>
  <c r="W66" i="5"/>
  <c r="Y69" i="5"/>
  <c r="W69" i="5"/>
  <c r="Y84" i="5"/>
  <c r="W84" i="5"/>
  <c r="Y75" i="5"/>
  <c r="W75" i="5"/>
  <c r="Y57" i="5"/>
  <c r="W57" i="5"/>
  <c r="AE100" i="14"/>
  <c r="AE83" i="14"/>
  <c r="AE70" i="14"/>
  <c r="Y72" i="5"/>
  <c r="W72" i="5"/>
  <c r="Y63" i="5"/>
  <c r="W63" i="5"/>
  <c r="Y83" i="5"/>
  <c r="W83" i="5"/>
  <c r="Y99" i="5"/>
  <c r="W99" i="5"/>
  <c r="AE82" i="14"/>
  <c r="Y77" i="5"/>
  <c r="W77" i="5"/>
  <c r="Y65" i="5"/>
  <c r="W65" i="5"/>
  <c r="Y92" i="5"/>
  <c r="W92" i="5"/>
  <c r="Y71" i="5"/>
  <c r="W71" i="5"/>
  <c r="Y91" i="5"/>
  <c r="W91" i="5"/>
  <c r="Y59" i="5"/>
  <c r="W59" i="5"/>
  <c r="AE92" i="14"/>
  <c r="AE75" i="14"/>
  <c r="AE94" i="14"/>
  <c r="Y82" i="5"/>
  <c r="W82" i="5"/>
  <c r="Y85" i="5"/>
  <c r="W85" i="5"/>
  <c r="Y101" i="5"/>
  <c r="W101" i="5"/>
  <c r="Y62" i="5"/>
  <c r="W62" i="5"/>
  <c r="Y90" i="5"/>
  <c r="W90" i="5"/>
  <c r="Y60" i="5"/>
  <c r="W60" i="5"/>
  <c r="Y73" i="5"/>
  <c r="W73" i="5"/>
  <c r="Y93" i="5"/>
  <c r="W93" i="5"/>
  <c r="Y80" i="5"/>
  <c r="W80" i="5"/>
  <c r="Y79" i="5"/>
  <c r="W79" i="5"/>
  <c r="AE69" i="14"/>
  <c r="AE72" i="14"/>
  <c r="AE104" i="14"/>
  <c r="AE87" i="14"/>
  <c r="AE74" i="14"/>
  <c r="Y70" i="5"/>
  <c r="W70" i="5"/>
  <c r="Y98" i="5"/>
  <c r="W98" i="5"/>
  <c r="Y81" i="5"/>
  <c r="W81" i="5"/>
  <c r="Y68" i="5"/>
  <c r="W68" i="5"/>
  <c r="Y100" i="5"/>
  <c r="W100" i="5"/>
  <c r="Y87" i="5"/>
  <c r="W87" i="5"/>
  <c r="Y103" i="5"/>
  <c r="W103" i="5"/>
  <c r="Y58" i="5"/>
  <c r="W58" i="5"/>
  <c r="AE97" i="14"/>
  <c r="AE81" i="14"/>
  <c r="AE84" i="14"/>
  <c r="AE67" i="14"/>
  <c r="AE99" i="14"/>
  <c r="AE86" i="14"/>
  <c r="J85" i="5"/>
  <c r="K85" i="5" s="1"/>
  <c r="J102" i="5"/>
  <c r="K102" i="5" s="1"/>
  <c r="J90" i="5"/>
  <c r="K90" i="5" s="1"/>
  <c r="J73" i="5"/>
  <c r="K73" i="5" s="1"/>
  <c r="J92" i="5"/>
  <c r="K92" i="5" s="1"/>
  <c r="J68" i="5"/>
  <c r="K68" i="5" s="1"/>
  <c r="J86" i="5"/>
  <c r="K86" i="5" s="1"/>
  <c r="J105" i="5"/>
  <c r="K105" i="5" s="1"/>
  <c r="U5" i="10"/>
  <c r="J74" i="5"/>
  <c r="K74" i="5" s="1"/>
  <c r="U100" i="10"/>
  <c r="U89" i="10"/>
  <c r="K91" i="10"/>
  <c r="E91" i="15"/>
  <c r="K67" i="10"/>
  <c r="E67" i="15"/>
  <c r="K93" i="10"/>
  <c r="E93" i="15"/>
  <c r="K103" i="10"/>
  <c r="E103" i="15"/>
  <c r="K73" i="10"/>
  <c r="E73" i="15"/>
  <c r="K58" i="10"/>
  <c r="E58" i="15"/>
  <c r="K75" i="10"/>
  <c r="E75" i="15"/>
  <c r="K101" i="10"/>
  <c r="E101" i="15"/>
  <c r="E56" i="15"/>
  <c r="K81" i="10"/>
  <c r="E81" i="15"/>
  <c r="U88" i="10"/>
  <c r="U76" i="10"/>
  <c r="U65" i="10"/>
  <c r="U97" i="10"/>
  <c r="J66" i="10"/>
  <c r="E66" i="15"/>
  <c r="J72" i="10"/>
  <c r="U96" i="10"/>
  <c r="J82" i="10"/>
  <c r="E82" i="15"/>
  <c r="K61" i="10"/>
  <c r="E61" i="15"/>
  <c r="K55" i="10"/>
  <c r="E55" i="15"/>
  <c r="J105" i="10"/>
  <c r="E105" i="15"/>
  <c r="U84" i="10"/>
  <c r="U24" i="10"/>
  <c r="U72" i="10"/>
  <c r="U73" i="10"/>
  <c r="K80" i="10"/>
  <c r="E80" i="15"/>
  <c r="U44" i="10"/>
  <c r="J90" i="10"/>
  <c r="E90" i="15"/>
  <c r="K69" i="10"/>
  <c r="E69" i="15"/>
  <c r="K63" i="10"/>
  <c r="E63" i="15"/>
  <c r="E104" i="15"/>
  <c r="U52" i="10"/>
  <c r="U104" i="10"/>
  <c r="K99" i="10"/>
  <c r="E99" i="15"/>
  <c r="K97" i="10"/>
  <c r="E97" i="15"/>
  <c r="J98" i="10"/>
  <c r="E98" i="15"/>
  <c r="K77" i="10"/>
  <c r="E77" i="15"/>
  <c r="K79" i="10"/>
  <c r="E79" i="15"/>
  <c r="K57" i="10"/>
  <c r="E57" i="15"/>
  <c r="K89" i="10"/>
  <c r="E89" i="15"/>
  <c r="J74" i="10"/>
  <c r="E74" i="15"/>
  <c r="K62" i="10"/>
  <c r="E62" i="15"/>
  <c r="K59" i="10"/>
  <c r="E59" i="15"/>
  <c r="K85" i="10"/>
  <c r="E85" i="15"/>
  <c r="K95" i="10"/>
  <c r="E95" i="15"/>
  <c r="K65" i="10"/>
  <c r="E65" i="15"/>
  <c r="E82" i="14"/>
  <c r="J82" i="14" s="1"/>
  <c r="E65" i="14"/>
  <c r="J65" i="14" s="1"/>
  <c r="E85" i="14"/>
  <c r="E101" i="14"/>
  <c r="J101" i="14" s="1"/>
  <c r="J64" i="5"/>
  <c r="K64" i="5" s="1"/>
  <c r="E92" i="14"/>
  <c r="J92" i="14" s="1"/>
  <c r="E71" i="14"/>
  <c r="J71" i="14" s="1"/>
  <c r="E91" i="14"/>
  <c r="J91" i="14" s="1"/>
  <c r="E73" i="14"/>
  <c r="J73" i="14" s="1"/>
  <c r="E80" i="14"/>
  <c r="J80" i="14" s="1"/>
  <c r="E79" i="14"/>
  <c r="J79" i="14" s="1"/>
  <c r="E59" i="14"/>
  <c r="J59" i="14" s="1"/>
  <c r="E62" i="14"/>
  <c r="J62" i="14" s="1"/>
  <c r="E90" i="14"/>
  <c r="J90" i="14" s="1"/>
  <c r="E60" i="14"/>
  <c r="J60" i="14" s="1"/>
  <c r="E93" i="14"/>
  <c r="J93" i="14" s="1"/>
  <c r="J66" i="5"/>
  <c r="K66" i="5" s="1"/>
  <c r="E70" i="14"/>
  <c r="J70" i="14" s="1"/>
  <c r="E98" i="14"/>
  <c r="E81" i="14"/>
  <c r="J81" i="14" s="1"/>
  <c r="E68" i="14"/>
  <c r="J68" i="14" s="1"/>
  <c r="E100" i="14"/>
  <c r="J100" i="14" s="1"/>
  <c r="E87" i="14"/>
  <c r="J87" i="14" s="1"/>
  <c r="E103" i="14"/>
  <c r="E58" i="14"/>
  <c r="E78" i="14"/>
  <c r="J78" i="14" s="1"/>
  <c r="E89" i="14"/>
  <c r="J89" i="14" s="1"/>
  <c r="E88" i="14"/>
  <c r="J88" i="14" s="1"/>
  <c r="E95" i="14"/>
  <c r="E97" i="14"/>
  <c r="J97" i="14" s="1"/>
  <c r="E76" i="14"/>
  <c r="J76" i="14" s="1"/>
  <c r="E86" i="14"/>
  <c r="J86" i="14" s="1"/>
  <c r="E102" i="14"/>
  <c r="J102" i="14" s="1"/>
  <c r="I64" i="10"/>
  <c r="E94" i="14"/>
  <c r="J94" i="14" s="1"/>
  <c r="E61" i="14"/>
  <c r="J61" i="14" s="1"/>
  <c r="E64" i="14"/>
  <c r="J64" i="14" s="1"/>
  <c r="E96" i="14"/>
  <c r="J96" i="14" s="1"/>
  <c r="E104" i="14"/>
  <c r="F104" i="14" s="1"/>
  <c r="E67" i="14"/>
  <c r="J67" i="14" s="1"/>
  <c r="E56" i="14"/>
  <c r="J56" i="14" s="1"/>
  <c r="E66" i="14"/>
  <c r="J66" i="14" s="1"/>
  <c r="E69" i="14"/>
  <c r="E84" i="14"/>
  <c r="J84" i="14" s="1"/>
  <c r="E75" i="14"/>
  <c r="E57" i="14"/>
  <c r="J57" i="14" s="1"/>
  <c r="E55" i="14"/>
  <c r="J55" i="14" s="1"/>
  <c r="E74" i="14"/>
  <c r="J74" i="14" s="1"/>
  <c r="E77" i="14"/>
  <c r="E72" i="14"/>
  <c r="J72" i="14" s="1"/>
  <c r="E63" i="14"/>
  <c r="J63" i="14" s="1"/>
  <c r="E83" i="14"/>
  <c r="J83" i="14" s="1"/>
  <c r="E99" i="14"/>
  <c r="I71" i="10"/>
  <c r="P71" i="15" s="1"/>
  <c r="I70" i="10"/>
  <c r="P70" i="15" s="1"/>
  <c r="J70" i="5"/>
  <c r="K70" i="5" s="1"/>
  <c r="I83" i="10"/>
  <c r="I87" i="10"/>
  <c r="P87" i="15" s="1"/>
  <c r="I96" i="10"/>
  <c r="K74" i="10"/>
  <c r="K90" i="10"/>
  <c r="J73" i="10"/>
  <c r="J94" i="5"/>
  <c r="K94" i="5" s="1"/>
  <c r="J89" i="10"/>
  <c r="K66" i="10"/>
  <c r="J77" i="10"/>
  <c r="J80" i="10"/>
  <c r="K105" i="10"/>
  <c r="J81" i="5"/>
  <c r="K81" i="5" s="1"/>
  <c r="J65" i="5"/>
  <c r="K65" i="5" s="1"/>
  <c r="U62" i="10"/>
  <c r="J88" i="5"/>
  <c r="K88" i="5" s="1"/>
  <c r="U64" i="10"/>
  <c r="J75" i="5"/>
  <c r="K75" i="5" s="1"/>
  <c r="U30" i="10"/>
  <c r="J56" i="5"/>
  <c r="K56" i="5" s="1"/>
  <c r="J72" i="5"/>
  <c r="K72" i="5" s="1"/>
  <c r="J89" i="5"/>
  <c r="K89" i="5" s="1"/>
  <c r="J76" i="5"/>
  <c r="K76" i="5" s="1"/>
  <c r="J98" i="5"/>
  <c r="K98" i="5" s="1"/>
  <c r="J77" i="5"/>
  <c r="K77" i="5" s="1"/>
  <c r="J84" i="5"/>
  <c r="K84" i="5" s="1"/>
  <c r="U68" i="10"/>
  <c r="U56" i="10"/>
  <c r="U36" i="10"/>
  <c r="J100" i="5"/>
  <c r="K100" i="5" s="1"/>
  <c r="J61" i="10"/>
  <c r="U60" i="10"/>
  <c r="U78" i="10"/>
  <c r="U54" i="10"/>
  <c r="J82" i="5"/>
  <c r="K82" i="5" s="1"/>
  <c r="J69" i="5"/>
  <c r="K69" i="5" s="1"/>
  <c r="J75" i="10"/>
  <c r="J56" i="10"/>
  <c r="U4" i="10"/>
  <c r="J57" i="5"/>
  <c r="K57" i="5" s="1"/>
  <c r="U94" i="10"/>
  <c r="U80" i="10"/>
  <c r="J96" i="5"/>
  <c r="K96" i="5" s="1"/>
  <c r="U63" i="10"/>
  <c r="U49" i="10"/>
  <c r="J97" i="10"/>
  <c r="J103" i="5"/>
  <c r="K103" i="5" s="1"/>
  <c r="K56" i="10"/>
  <c r="J62" i="5"/>
  <c r="K62" i="5" s="1"/>
  <c r="J78" i="5"/>
  <c r="K78" i="5" s="1"/>
  <c r="J62" i="10"/>
  <c r="J93" i="10"/>
  <c r="I102" i="10"/>
  <c r="P102" i="15" s="1"/>
  <c r="J63" i="10"/>
  <c r="U20" i="10"/>
  <c r="I60" i="10"/>
  <c r="P60" i="15" s="1"/>
  <c r="U38" i="10"/>
  <c r="U15" i="10"/>
  <c r="U47" i="10"/>
  <c r="U79" i="10"/>
  <c r="U50" i="10"/>
  <c r="U33" i="10"/>
  <c r="U11" i="10"/>
  <c r="U35" i="10"/>
  <c r="U67" i="10"/>
  <c r="U99" i="10"/>
  <c r="U34" i="10"/>
  <c r="U37" i="10"/>
  <c r="U69" i="10"/>
  <c r="U101" i="10"/>
  <c r="U46" i="10"/>
  <c r="I68" i="10"/>
  <c r="P68" i="15" s="1"/>
  <c r="I100" i="10"/>
  <c r="P100" i="15" s="1"/>
  <c r="U16" i="10"/>
  <c r="U48" i="10"/>
  <c r="J67" i="5"/>
  <c r="K67" i="5" s="1"/>
  <c r="U70" i="10"/>
  <c r="U9" i="10"/>
  <c r="U42" i="10"/>
  <c r="J55" i="5"/>
  <c r="K55" i="5" s="1"/>
  <c r="J97" i="5"/>
  <c r="K97" i="5" s="1"/>
  <c r="J58" i="10"/>
  <c r="J79" i="10"/>
  <c r="U28" i="10"/>
  <c r="U92" i="10"/>
  <c r="U86" i="10"/>
  <c r="U23" i="10"/>
  <c r="U55" i="10"/>
  <c r="U87" i="10"/>
  <c r="U82" i="10"/>
  <c r="U41" i="10"/>
  <c r="U105" i="10"/>
  <c r="U43" i="10"/>
  <c r="U75" i="10"/>
  <c r="U45" i="10"/>
  <c r="U77" i="10"/>
  <c r="I76" i="10"/>
  <c r="P76" i="15" s="1"/>
  <c r="J83" i="5"/>
  <c r="K83" i="5" s="1"/>
  <c r="U58" i="10"/>
  <c r="J63" i="5"/>
  <c r="K63" i="5" s="1"/>
  <c r="U31" i="10"/>
  <c r="U95" i="10"/>
  <c r="U17" i="10"/>
  <c r="U81" i="10"/>
  <c r="U19" i="10"/>
  <c r="U51" i="10"/>
  <c r="U83" i="10"/>
  <c r="U10" i="10"/>
  <c r="U21" i="10"/>
  <c r="U53" i="10"/>
  <c r="U85" i="10"/>
  <c r="U102" i="10"/>
  <c r="U66" i="10"/>
  <c r="U14" i="10"/>
  <c r="K82" i="10"/>
  <c r="J69" i="10"/>
  <c r="I78" i="10"/>
  <c r="P78" i="15" s="1"/>
  <c r="I84" i="10"/>
  <c r="P84" i="15" s="1"/>
  <c r="U32" i="10"/>
  <c r="U98" i="10"/>
  <c r="I86" i="10"/>
  <c r="P86" i="15" s="1"/>
  <c r="J55" i="10"/>
  <c r="U12" i="10"/>
  <c r="U6" i="10"/>
  <c r="U7" i="10"/>
  <c r="U39" i="10"/>
  <c r="U71" i="10"/>
  <c r="U103" i="10"/>
  <c r="U18" i="10"/>
  <c r="U25" i="10"/>
  <c r="U57" i="10"/>
  <c r="U27" i="10"/>
  <c r="U59" i="10"/>
  <c r="U91" i="10"/>
  <c r="U3" i="10"/>
  <c r="U29" i="10"/>
  <c r="U61" i="10"/>
  <c r="U93" i="10"/>
  <c r="U90" i="10"/>
  <c r="U22" i="10"/>
  <c r="K98" i="10"/>
  <c r="J54" i="10"/>
  <c r="J85" i="10"/>
  <c r="I94" i="10"/>
  <c r="P94" i="15" s="1"/>
  <c r="J59" i="10"/>
  <c r="U13" i="10"/>
  <c r="I92" i="10"/>
  <c r="P92" i="15" s="1"/>
  <c r="U8" i="10"/>
  <c r="U40" i="10"/>
  <c r="J87" i="5"/>
  <c r="K87" i="5" s="1"/>
  <c r="J59" i="5"/>
  <c r="K59" i="5" s="1"/>
  <c r="U74" i="10"/>
  <c r="U26" i="10"/>
  <c r="J91" i="10"/>
  <c r="J57" i="10"/>
  <c r="J104" i="10"/>
  <c r="J65" i="10"/>
  <c r="J101" i="10"/>
  <c r="J95" i="10"/>
  <c r="J67" i="10"/>
  <c r="J99" i="10"/>
  <c r="J81" i="10"/>
  <c r="J103" i="10"/>
  <c r="L90" i="10"/>
  <c r="N66" i="10" l="1"/>
  <c r="K72" i="10"/>
  <c r="J88" i="10"/>
  <c r="N88" i="10" s="1"/>
  <c r="K104" i="10"/>
  <c r="E88" i="15"/>
  <c r="E54" i="15"/>
  <c r="F54" i="15" s="1"/>
  <c r="AF54" i="15" s="1"/>
  <c r="K88" i="10"/>
  <c r="E72" i="15"/>
  <c r="F72" i="15" s="1"/>
  <c r="AF72" i="15" s="1"/>
  <c r="K54" i="10"/>
  <c r="J71" i="10"/>
  <c r="L58" i="10"/>
  <c r="R105" i="10"/>
  <c r="N80" i="10"/>
  <c r="R58" i="10"/>
  <c r="L61" i="10"/>
  <c r="M61" i="10" s="1"/>
  <c r="R62" i="10"/>
  <c r="L89" i="10"/>
  <c r="L81" i="10"/>
  <c r="N79" i="10"/>
  <c r="L62" i="10"/>
  <c r="L66" i="10"/>
  <c r="R80" i="10"/>
  <c r="N97" i="10"/>
  <c r="J87" i="10"/>
  <c r="Q88" i="10" s="1"/>
  <c r="N75" i="10"/>
  <c r="N89" i="10"/>
  <c r="Q90" i="10"/>
  <c r="L56" i="10"/>
  <c r="M56" i="10" s="1"/>
  <c r="J96" i="10"/>
  <c r="N96" i="10" s="1"/>
  <c r="P96" i="15"/>
  <c r="K64" i="10"/>
  <c r="R63" i="10" s="1"/>
  <c r="P64" i="15"/>
  <c r="J83" i="10"/>
  <c r="P83" i="15"/>
  <c r="L80" i="10"/>
  <c r="L105" i="10"/>
  <c r="M105" i="10" s="1"/>
  <c r="R104" i="10"/>
  <c r="L93" i="10"/>
  <c r="N56" i="10"/>
  <c r="N62" i="10"/>
  <c r="F97" i="14"/>
  <c r="F70" i="14"/>
  <c r="F85" i="14"/>
  <c r="L77" i="10"/>
  <c r="M77" i="10" s="1"/>
  <c r="F58" i="14"/>
  <c r="R66" i="10"/>
  <c r="L74" i="10"/>
  <c r="M74" i="10" s="1"/>
  <c r="L73" i="10"/>
  <c r="M73" i="10" s="1"/>
  <c r="R74" i="10"/>
  <c r="F59" i="14"/>
  <c r="F91" i="14"/>
  <c r="R73" i="10"/>
  <c r="N73" i="10"/>
  <c r="L85" i="10"/>
  <c r="M85" i="10" s="1"/>
  <c r="R56" i="10"/>
  <c r="F103" i="14"/>
  <c r="F92" i="14"/>
  <c r="F77" i="14"/>
  <c r="J69" i="14"/>
  <c r="L97" i="10"/>
  <c r="N105" i="10"/>
  <c r="F71" i="14"/>
  <c r="F99" i="14"/>
  <c r="F74" i="14"/>
  <c r="F64" i="14"/>
  <c r="F95" i="14"/>
  <c r="F68" i="14"/>
  <c r="J58" i="14"/>
  <c r="W105" i="5"/>
  <c r="E105" i="14"/>
  <c r="Q72" i="10"/>
  <c r="N61" i="10"/>
  <c r="L75" i="10"/>
  <c r="N74" i="10"/>
  <c r="Q74" i="10"/>
  <c r="J99" i="14"/>
  <c r="F96" i="14"/>
  <c r="F57" i="14"/>
  <c r="F100" i="14"/>
  <c r="F86" i="14"/>
  <c r="J77" i="14"/>
  <c r="F61" i="14"/>
  <c r="F60" i="14"/>
  <c r="F101" i="14"/>
  <c r="F63" i="14"/>
  <c r="F65" i="14"/>
  <c r="F94" i="14"/>
  <c r="J75" i="14"/>
  <c r="F79" i="14"/>
  <c r="F67" i="14"/>
  <c r="F102" i="14"/>
  <c r="F72" i="14"/>
  <c r="R89" i="10"/>
  <c r="Q73" i="10"/>
  <c r="K92" i="10"/>
  <c r="R92" i="10" s="1"/>
  <c r="E92" i="15"/>
  <c r="E86" i="15"/>
  <c r="F69" i="14"/>
  <c r="F57" i="15"/>
  <c r="AF57" i="15" s="1"/>
  <c r="G57" i="15"/>
  <c r="AG57" i="15" s="1"/>
  <c r="F82" i="15"/>
  <c r="G82" i="15"/>
  <c r="F91" i="15"/>
  <c r="G91" i="15"/>
  <c r="K76" i="10"/>
  <c r="E76" i="15"/>
  <c r="F65" i="15"/>
  <c r="AF65" i="15" s="1"/>
  <c r="G65" i="15"/>
  <c r="AG65" i="15" s="1"/>
  <c r="F74" i="15"/>
  <c r="AF74" i="15" s="1"/>
  <c r="G74" i="15"/>
  <c r="AG74" i="15" s="1"/>
  <c r="F98" i="15"/>
  <c r="G98" i="15"/>
  <c r="G104" i="15"/>
  <c r="F104" i="15"/>
  <c r="G56" i="15"/>
  <c r="AG56" i="15" s="1"/>
  <c r="F56" i="15"/>
  <c r="AF56" i="15" s="1"/>
  <c r="F58" i="15"/>
  <c r="AF58" i="15" s="1"/>
  <c r="G58" i="15"/>
  <c r="AG58" i="15" s="1"/>
  <c r="K84" i="10"/>
  <c r="E84" i="15"/>
  <c r="R55" i="10"/>
  <c r="F78" i="14"/>
  <c r="F93" i="14"/>
  <c r="F66" i="14"/>
  <c r="J64" i="10"/>
  <c r="L64" i="10" s="1"/>
  <c r="M64" i="10" s="1"/>
  <c r="E64" i="15"/>
  <c r="F59" i="15"/>
  <c r="AF59" i="15" s="1"/>
  <c r="G59" i="15"/>
  <c r="AG59" i="15" s="1"/>
  <c r="F90" i="15"/>
  <c r="G90" i="15"/>
  <c r="F55" i="15"/>
  <c r="AF55" i="15" s="1"/>
  <c r="G55" i="15"/>
  <c r="AG55" i="15" s="1"/>
  <c r="F93" i="15"/>
  <c r="G93" i="15"/>
  <c r="K60" i="10"/>
  <c r="R61" i="10" s="1"/>
  <c r="E60" i="15"/>
  <c r="J95" i="14"/>
  <c r="F73" i="14"/>
  <c r="F75" i="14"/>
  <c r="F56" i="14"/>
  <c r="F79" i="15"/>
  <c r="AF79" i="15" s="1"/>
  <c r="G79" i="15"/>
  <c r="AG79" i="15" s="1"/>
  <c r="G101" i="15"/>
  <c r="F101" i="15"/>
  <c r="E94" i="15"/>
  <c r="J85" i="14"/>
  <c r="K70" i="10"/>
  <c r="E70" i="15"/>
  <c r="F95" i="15"/>
  <c r="G95" i="15"/>
  <c r="G89" i="15"/>
  <c r="F89" i="15"/>
  <c r="F97" i="15"/>
  <c r="G97" i="15"/>
  <c r="F63" i="15"/>
  <c r="AF63" i="15" s="1"/>
  <c r="G63" i="15"/>
  <c r="AG63" i="15" s="1"/>
  <c r="F105" i="15"/>
  <c r="G105" i="15"/>
  <c r="F66" i="15"/>
  <c r="AF66" i="15" s="1"/>
  <c r="G66" i="15"/>
  <c r="AG66" i="15" s="1"/>
  <c r="F73" i="15"/>
  <c r="G73" i="15"/>
  <c r="AG73" i="15" s="1"/>
  <c r="E78" i="15"/>
  <c r="K100" i="10"/>
  <c r="R100" i="10" s="1"/>
  <c r="E100" i="15"/>
  <c r="K96" i="10"/>
  <c r="R96" i="10" s="1"/>
  <c r="E96" i="15"/>
  <c r="G61" i="15"/>
  <c r="AG61" i="15" s="1"/>
  <c r="F61" i="15"/>
  <c r="AF61" i="15" s="1"/>
  <c r="G67" i="15"/>
  <c r="AG67" i="15" s="1"/>
  <c r="F67" i="15"/>
  <c r="AF67" i="15" s="1"/>
  <c r="E102" i="15"/>
  <c r="F76" i="14"/>
  <c r="J98" i="14"/>
  <c r="F83" i="14"/>
  <c r="K87" i="10"/>
  <c r="E87" i="15"/>
  <c r="K71" i="10"/>
  <c r="L71" i="10" s="1"/>
  <c r="E71" i="15"/>
  <c r="F62" i="15"/>
  <c r="G62" i="15"/>
  <c r="AG62" i="15" s="1"/>
  <c r="F77" i="15"/>
  <c r="AF77" i="15" s="1"/>
  <c r="G77" i="15"/>
  <c r="AG77" i="15" s="1"/>
  <c r="F81" i="15"/>
  <c r="AF81" i="15" s="1"/>
  <c r="G81" i="15"/>
  <c r="AG81" i="15" s="1"/>
  <c r="F75" i="15"/>
  <c r="G75" i="15"/>
  <c r="AG75" i="15" s="1"/>
  <c r="K68" i="10"/>
  <c r="E68" i="15"/>
  <c r="F84" i="14"/>
  <c r="K83" i="10"/>
  <c r="R82" i="10" s="1"/>
  <c r="E83" i="15"/>
  <c r="F62" i="14"/>
  <c r="F85" i="15"/>
  <c r="G85" i="15"/>
  <c r="G99" i="15"/>
  <c r="F99" i="15"/>
  <c r="G69" i="15"/>
  <c r="AG69" i="15" s="1"/>
  <c r="F69" i="15"/>
  <c r="AF69" i="15" s="1"/>
  <c r="F80" i="15"/>
  <c r="G80" i="15"/>
  <c r="F88" i="15"/>
  <c r="G88" i="15"/>
  <c r="F103" i="15"/>
  <c r="G103" i="15"/>
  <c r="R57" i="10"/>
  <c r="F80" i="14"/>
  <c r="N77" i="10"/>
  <c r="N90" i="10"/>
  <c r="R90" i="10"/>
  <c r="F81" i="14"/>
  <c r="L72" i="10"/>
  <c r="N72" i="10"/>
  <c r="F87" i="14"/>
  <c r="F88" i="14"/>
  <c r="F98" i="14"/>
  <c r="F89" i="14"/>
  <c r="F90" i="14"/>
  <c r="F82" i="14"/>
  <c r="J70" i="10"/>
  <c r="Q70" i="10" s="1"/>
  <c r="N82" i="10"/>
  <c r="L82" i="10"/>
  <c r="M82" i="10" s="1"/>
  <c r="J60" i="10"/>
  <c r="Q59" i="10" s="1"/>
  <c r="R65" i="10"/>
  <c r="Q89" i="10"/>
  <c r="J92" i="10"/>
  <c r="Q91" i="10" s="1"/>
  <c r="Q58" i="10"/>
  <c r="N98" i="10"/>
  <c r="Q62" i="10"/>
  <c r="M81" i="10"/>
  <c r="M97" i="10"/>
  <c r="N54" i="10"/>
  <c r="Q55" i="10"/>
  <c r="N69" i="10"/>
  <c r="L69" i="10"/>
  <c r="R75" i="10"/>
  <c r="N58" i="10"/>
  <c r="L98" i="10"/>
  <c r="R81" i="10"/>
  <c r="L79" i="10"/>
  <c r="Q80" i="10"/>
  <c r="L63" i="10"/>
  <c r="N63" i="10"/>
  <c r="Q57" i="10"/>
  <c r="J102" i="10"/>
  <c r="Q102" i="10" s="1"/>
  <c r="K102" i="10"/>
  <c r="M66" i="10"/>
  <c r="N81" i="10"/>
  <c r="M75" i="10"/>
  <c r="Q66" i="10"/>
  <c r="M58" i="10"/>
  <c r="L104" i="10"/>
  <c r="Q105" i="10"/>
  <c r="L55" i="10"/>
  <c r="Q56" i="10"/>
  <c r="N55" i="10"/>
  <c r="J84" i="10"/>
  <c r="M80" i="10"/>
  <c r="M89" i="10"/>
  <c r="L54" i="10"/>
  <c r="N104" i="10"/>
  <c r="Q104" i="10"/>
  <c r="N59" i="10"/>
  <c r="L59" i="10"/>
  <c r="K86" i="10"/>
  <c r="J86" i="10"/>
  <c r="Q86" i="10" s="1"/>
  <c r="Q98" i="10"/>
  <c r="Q81" i="10"/>
  <c r="R76" i="10"/>
  <c r="J100" i="10"/>
  <c r="M62" i="10"/>
  <c r="J76" i="10"/>
  <c r="N93" i="10"/>
  <c r="K94" i="10"/>
  <c r="J94" i="10"/>
  <c r="M90" i="10"/>
  <c r="K78" i="10"/>
  <c r="R77" i="10" s="1"/>
  <c r="J78" i="10"/>
  <c r="J68" i="10"/>
  <c r="M93" i="10"/>
  <c r="N85" i="10"/>
  <c r="R91" i="10"/>
  <c r="R98" i="10"/>
  <c r="Q96" i="10"/>
  <c r="Q97" i="10"/>
  <c r="L95" i="10"/>
  <c r="N95" i="10"/>
  <c r="N91" i="10"/>
  <c r="L91" i="10"/>
  <c r="L101" i="10"/>
  <c r="N101" i="10"/>
  <c r="L65" i="10"/>
  <c r="N65" i="10"/>
  <c r="N57" i="10"/>
  <c r="L57" i="10"/>
  <c r="T57" i="10" s="1"/>
  <c r="N99" i="10"/>
  <c r="L99" i="10"/>
  <c r="L103" i="10"/>
  <c r="N103" i="10"/>
  <c r="N67" i="10"/>
  <c r="L67" i="10"/>
  <c r="G72" i="15" l="1"/>
  <c r="AG72" i="15" s="1"/>
  <c r="R88" i="10"/>
  <c r="G54" i="15"/>
  <c r="AG54" i="15" s="1"/>
  <c r="L96" i="10"/>
  <c r="R64" i="10"/>
  <c r="T74" i="10"/>
  <c r="R101" i="10"/>
  <c r="Q64" i="10"/>
  <c r="L88" i="10"/>
  <c r="T88" i="10" s="1"/>
  <c r="Q84" i="10"/>
  <c r="N83" i="10"/>
  <c r="O82" i="10" s="1"/>
  <c r="T65" i="10"/>
  <c r="Q65" i="10"/>
  <c r="R84" i="10"/>
  <c r="R85" i="10"/>
  <c r="T62" i="10"/>
  <c r="R72" i="10"/>
  <c r="N87" i="10"/>
  <c r="O88" i="10" s="1"/>
  <c r="L87" i="10"/>
  <c r="L83" i="10"/>
  <c r="T82" i="10" s="1"/>
  <c r="Q82" i="10"/>
  <c r="T73" i="10"/>
  <c r="O89" i="10"/>
  <c r="O57" i="10"/>
  <c r="O81" i="10"/>
  <c r="O73" i="10"/>
  <c r="O56" i="10"/>
  <c r="O66" i="10"/>
  <c r="O58" i="10"/>
  <c r="O74" i="10"/>
  <c r="O55" i="10"/>
  <c r="O62" i="10"/>
  <c r="O80" i="10"/>
  <c r="O90" i="10"/>
  <c r="Q63" i="10"/>
  <c r="L92" i="10"/>
  <c r="T92" i="10" s="1"/>
  <c r="Q93" i="10"/>
  <c r="R83" i="10"/>
  <c r="R71" i="10"/>
  <c r="R59" i="10"/>
  <c r="N71" i="10"/>
  <c r="R69" i="10"/>
  <c r="I79" i="15"/>
  <c r="AG80" i="15"/>
  <c r="H79" i="15"/>
  <c r="AF80" i="15"/>
  <c r="H61" i="15"/>
  <c r="AF62" i="15"/>
  <c r="Q71" i="10"/>
  <c r="R99" i="10"/>
  <c r="H74" i="15"/>
  <c r="AF75" i="15"/>
  <c r="R60" i="10"/>
  <c r="H72" i="15"/>
  <c r="AF73" i="15"/>
  <c r="H57" i="15"/>
  <c r="T81" i="10"/>
  <c r="I104" i="15"/>
  <c r="Q60" i="10"/>
  <c r="I98" i="15"/>
  <c r="M72" i="10"/>
  <c r="I74" i="15"/>
  <c r="H80" i="15"/>
  <c r="H66" i="15"/>
  <c r="H89" i="15"/>
  <c r="H104" i="15"/>
  <c r="H58" i="15"/>
  <c r="N92" i="10"/>
  <c r="R68" i="10"/>
  <c r="H98" i="15"/>
  <c r="N64" i="10"/>
  <c r="O63" i="10" s="1"/>
  <c r="I66" i="15"/>
  <c r="N60" i="10"/>
  <c r="O59" i="10" s="1"/>
  <c r="I55" i="15"/>
  <c r="I61" i="15"/>
  <c r="I65" i="15"/>
  <c r="I80" i="15"/>
  <c r="F102" i="15"/>
  <c r="H101" i="15" s="1"/>
  <c r="G102" i="15"/>
  <c r="I101" i="15" s="1"/>
  <c r="H65" i="15"/>
  <c r="G64" i="15"/>
  <c r="F64" i="15"/>
  <c r="AF64" i="15" s="1"/>
  <c r="H103" i="15"/>
  <c r="F70" i="15"/>
  <c r="G70" i="15"/>
  <c r="I90" i="15"/>
  <c r="I89" i="15"/>
  <c r="F84" i="15"/>
  <c r="H84" i="15" s="1"/>
  <c r="G84" i="15"/>
  <c r="I84" i="15" s="1"/>
  <c r="I103" i="15"/>
  <c r="H90" i="15"/>
  <c r="I56" i="15"/>
  <c r="R97" i="10"/>
  <c r="F87" i="15"/>
  <c r="G87" i="15"/>
  <c r="G60" i="15"/>
  <c r="F60" i="15"/>
  <c r="F83" i="15"/>
  <c r="H82" i="15" s="1"/>
  <c r="G83" i="15"/>
  <c r="I82" i="15" s="1"/>
  <c r="R70" i="10"/>
  <c r="I97" i="15"/>
  <c r="F76" i="15"/>
  <c r="G76" i="15"/>
  <c r="F92" i="15"/>
  <c r="H91" i="15" s="1"/>
  <c r="G92" i="15"/>
  <c r="I91" i="15" s="1"/>
  <c r="F100" i="15"/>
  <c r="H99" i="15" s="1"/>
  <c r="G100" i="15"/>
  <c r="I99" i="15" s="1"/>
  <c r="H88" i="15"/>
  <c r="H97" i="15"/>
  <c r="R67" i="10"/>
  <c r="I62" i="15"/>
  <c r="I88" i="15"/>
  <c r="F94" i="15"/>
  <c r="H93" i="15" s="1"/>
  <c r="G94" i="15"/>
  <c r="I93" i="15" s="1"/>
  <c r="I58" i="15"/>
  <c r="I57" i="15"/>
  <c r="I81" i="15"/>
  <c r="H62" i="15"/>
  <c r="H54" i="15"/>
  <c r="I73" i="15"/>
  <c r="H81" i="15"/>
  <c r="F86" i="15"/>
  <c r="H85" i="15" s="1"/>
  <c r="G86" i="15"/>
  <c r="I85" i="15" s="1"/>
  <c r="F68" i="15"/>
  <c r="G68" i="15"/>
  <c r="F71" i="15"/>
  <c r="G71" i="15"/>
  <c r="AG71" i="15" s="1"/>
  <c r="F96" i="15"/>
  <c r="H95" i="15" s="1"/>
  <c r="G96" i="15"/>
  <c r="I95" i="15" s="1"/>
  <c r="G78" i="15"/>
  <c r="F78" i="15"/>
  <c r="H56" i="15"/>
  <c r="H55" i="15"/>
  <c r="H73" i="15"/>
  <c r="N70" i="10"/>
  <c r="L70" i="10"/>
  <c r="M70" i="10" s="1"/>
  <c r="Q92" i="10"/>
  <c r="L60" i="10"/>
  <c r="T61" i="10" s="1"/>
  <c r="Q61" i="10"/>
  <c r="T98" i="10"/>
  <c r="Q95" i="10"/>
  <c r="O105" i="10"/>
  <c r="M55" i="10"/>
  <c r="T56" i="10"/>
  <c r="M63" i="10"/>
  <c r="T64" i="10"/>
  <c r="Q101" i="10"/>
  <c r="L100" i="10"/>
  <c r="N100" i="10"/>
  <c r="M98" i="10"/>
  <c r="N86" i="10"/>
  <c r="O86" i="10" s="1"/>
  <c r="Q87" i="10"/>
  <c r="L86" i="10"/>
  <c r="M87" i="10"/>
  <c r="M101" i="10"/>
  <c r="M95" i="10"/>
  <c r="T96" i="10"/>
  <c r="M96" i="10"/>
  <c r="T97" i="10"/>
  <c r="Q69" i="10"/>
  <c r="L68" i="10"/>
  <c r="T68" i="10" s="1"/>
  <c r="N68" i="10"/>
  <c r="O68" i="10" s="1"/>
  <c r="Q79" i="10"/>
  <c r="Q78" i="10"/>
  <c r="N78" i="10"/>
  <c r="L78" i="10"/>
  <c r="L94" i="10"/>
  <c r="N94" i="10"/>
  <c r="Q67" i="10"/>
  <c r="R87" i="10"/>
  <c r="R86" i="10"/>
  <c r="Q85" i="10"/>
  <c r="N84" i="10"/>
  <c r="O84" i="10" s="1"/>
  <c r="L84" i="10"/>
  <c r="R79" i="10"/>
  <c r="R78" i="10"/>
  <c r="R94" i="10"/>
  <c r="R95" i="10"/>
  <c r="Q77" i="10"/>
  <c r="N76" i="10"/>
  <c r="O75" i="10" s="1"/>
  <c r="L76" i="10"/>
  <c r="Q75" i="10"/>
  <c r="Q76" i="10"/>
  <c r="M59" i="10"/>
  <c r="M54" i="10"/>
  <c r="T55" i="10"/>
  <c r="Q100" i="10"/>
  <c r="M103" i="10"/>
  <c r="T104" i="10"/>
  <c r="M99" i="10"/>
  <c r="M91" i="10"/>
  <c r="M71" i="10"/>
  <c r="T72" i="10"/>
  <c r="T63" i="10"/>
  <c r="T90" i="10"/>
  <c r="M104" i="10"/>
  <c r="T105" i="10"/>
  <c r="R103" i="10"/>
  <c r="R102" i="10"/>
  <c r="Q99" i="10"/>
  <c r="M69" i="10"/>
  <c r="M65" i="10"/>
  <c r="T66" i="10"/>
  <c r="M67" i="10"/>
  <c r="M57" i="10"/>
  <c r="T58" i="10"/>
  <c r="Q94" i="10"/>
  <c r="Q68" i="10"/>
  <c r="Q103" i="10"/>
  <c r="L102" i="10"/>
  <c r="T102" i="10" s="1"/>
  <c r="N102" i="10"/>
  <c r="M79" i="10"/>
  <c r="T80" i="10"/>
  <c r="T91" i="10"/>
  <c r="Q83" i="10"/>
  <c r="R93" i="10"/>
  <c r="O91" i="10"/>
  <c r="O97" i="10"/>
  <c r="I54" i="15" l="1"/>
  <c r="I72" i="15"/>
  <c r="M88" i="10"/>
  <c r="T89" i="10"/>
  <c r="M92" i="10"/>
  <c r="M83" i="10"/>
  <c r="T93" i="10"/>
  <c r="T84" i="10"/>
  <c r="O77" i="10"/>
  <c r="O60" i="10"/>
  <c r="O69" i="10"/>
  <c r="O67" i="10"/>
  <c r="O64" i="10"/>
  <c r="O71" i="10"/>
  <c r="O61" i="10"/>
  <c r="O87" i="10"/>
  <c r="O85" i="10"/>
  <c r="O83" i="10"/>
  <c r="O70" i="10"/>
  <c r="O76" i="10"/>
  <c r="O78" i="10"/>
  <c r="O79" i="10"/>
  <c r="O72" i="10"/>
  <c r="O65" i="10"/>
  <c r="H102" i="15"/>
  <c r="H70" i="15"/>
  <c r="AF71" i="15"/>
  <c r="H69" i="15"/>
  <c r="AF70" i="15"/>
  <c r="I67" i="15"/>
  <c r="AG68" i="15"/>
  <c r="H67" i="15"/>
  <c r="AF68" i="15"/>
  <c r="H59" i="15"/>
  <c r="AF60" i="15"/>
  <c r="H77" i="15"/>
  <c r="AF78" i="15"/>
  <c r="I59" i="15"/>
  <c r="AG60" i="15"/>
  <c r="I63" i="15"/>
  <c r="AG64" i="15"/>
  <c r="I77" i="15"/>
  <c r="AG78" i="15"/>
  <c r="I75" i="15"/>
  <c r="AG76" i="15"/>
  <c r="H75" i="15"/>
  <c r="AF76" i="15"/>
  <c r="H76" i="15"/>
  <c r="I69" i="15"/>
  <c r="AG70" i="15"/>
  <c r="H94" i="15"/>
  <c r="T60" i="10"/>
  <c r="I60" i="15"/>
  <c r="H86" i="15"/>
  <c r="I92" i="15"/>
  <c r="H87" i="15"/>
  <c r="I102" i="15"/>
  <c r="I83" i="15"/>
  <c r="M60" i="10"/>
  <c r="T59" i="10"/>
  <c r="I78" i="15"/>
  <c r="T70" i="10"/>
  <c r="I94" i="15"/>
  <c r="O92" i="10"/>
  <c r="O98" i="10"/>
  <c r="H71" i="15"/>
  <c r="H100" i="15"/>
  <c r="H68" i="15"/>
  <c r="H96" i="15"/>
  <c r="H64" i="15"/>
  <c r="H63" i="15"/>
  <c r="I71" i="15"/>
  <c r="I70" i="15"/>
  <c r="I86" i="15"/>
  <c r="I100" i="15"/>
  <c r="H92" i="15"/>
  <c r="I68" i="15"/>
  <c r="I96" i="15"/>
  <c r="H60" i="15"/>
  <c r="I87" i="15"/>
  <c r="H83" i="15"/>
  <c r="O104" i="10"/>
  <c r="H78" i="15"/>
  <c r="I76" i="15"/>
  <c r="I64" i="15"/>
  <c r="T71" i="10"/>
  <c r="O103" i="10"/>
  <c r="O96" i="10"/>
  <c r="O95" i="10"/>
  <c r="O94" i="10"/>
  <c r="O102" i="10"/>
  <c r="O100" i="10"/>
  <c r="O99" i="10"/>
  <c r="M86" i="10"/>
  <c r="T87" i="10"/>
  <c r="T86" i="10"/>
  <c r="M94" i="10"/>
  <c r="T95" i="10"/>
  <c r="T94" i="10"/>
  <c r="M100" i="10"/>
  <c r="T101" i="10"/>
  <c r="M102" i="10"/>
  <c r="T103" i="10"/>
  <c r="T100" i="10"/>
  <c r="T99" i="10"/>
  <c r="O93" i="10"/>
  <c r="M76" i="10"/>
  <c r="T77" i="10"/>
  <c r="T76" i="10"/>
  <c r="T75" i="10"/>
  <c r="M84" i="10"/>
  <c r="T85" i="10"/>
  <c r="M78" i="10"/>
  <c r="T79" i="10"/>
  <c r="T78" i="10"/>
  <c r="M68" i="10"/>
  <c r="T69" i="10"/>
  <c r="O101" i="10"/>
  <c r="T83" i="10"/>
  <c r="T67" i="10"/>
  <c r="D3" i="6" l="1"/>
  <c r="D4" i="6"/>
  <c r="D5" i="6"/>
  <c r="D6" i="6"/>
  <c r="I6" i="6" s="1"/>
  <c r="D7" i="6"/>
  <c r="D8" i="6"/>
  <c r="I8" i="6" s="1"/>
  <c r="D9" i="6"/>
  <c r="D10" i="6"/>
  <c r="I10" i="6" s="1"/>
  <c r="D11" i="6"/>
  <c r="D12" i="6"/>
  <c r="I12" i="6" s="1"/>
  <c r="D13" i="6"/>
  <c r="D14" i="6"/>
  <c r="D15" i="6"/>
  <c r="D16" i="6"/>
  <c r="I16" i="6" s="1"/>
  <c r="D17" i="6"/>
  <c r="D18" i="6"/>
  <c r="I18" i="6" s="1"/>
  <c r="D19" i="6"/>
  <c r="D20" i="6"/>
  <c r="I20" i="6" s="1"/>
  <c r="D21" i="6"/>
  <c r="D22" i="6"/>
  <c r="I22" i="6" s="1"/>
  <c r="D23" i="6"/>
  <c r="D24" i="6"/>
  <c r="I24" i="6" s="1"/>
  <c r="D25" i="6"/>
  <c r="D26" i="6"/>
  <c r="I26" i="6" s="1"/>
  <c r="D27" i="6"/>
  <c r="D28" i="6"/>
  <c r="I28" i="6" s="1"/>
  <c r="D29" i="6"/>
  <c r="D30" i="6"/>
  <c r="I30" i="6" s="1"/>
  <c r="D31" i="6"/>
  <c r="D32" i="6"/>
  <c r="I32" i="6" s="1"/>
  <c r="D33" i="6"/>
  <c r="D34" i="6"/>
  <c r="I34" i="6" s="1"/>
  <c r="D35" i="6"/>
  <c r="D36" i="6"/>
  <c r="I36" i="6" s="1"/>
  <c r="D37" i="6"/>
  <c r="D38" i="6"/>
  <c r="I38" i="6" s="1"/>
  <c r="D39" i="6"/>
  <c r="D40" i="6"/>
  <c r="I40" i="6" s="1"/>
  <c r="D41" i="6"/>
  <c r="D42" i="6"/>
  <c r="I42" i="6" s="1"/>
  <c r="D43" i="6"/>
  <c r="D44" i="6"/>
  <c r="I44" i="6" s="1"/>
  <c r="D45" i="6"/>
  <c r="D46" i="6"/>
  <c r="I46" i="6" s="1"/>
  <c r="D47" i="6"/>
  <c r="D48" i="6"/>
  <c r="I48" i="6" s="1"/>
  <c r="D49" i="6"/>
  <c r="D50" i="6"/>
  <c r="I50" i="6" s="1"/>
  <c r="D51" i="6"/>
  <c r="D52" i="6"/>
  <c r="I52" i="6" s="1"/>
  <c r="D53" i="6"/>
  <c r="D54" i="6"/>
  <c r="D2" i="6"/>
  <c r="C13" i="6"/>
  <c r="H13" i="6" s="1"/>
  <c r="C14" i="6"/>
  <c r="H14" i="6" s="1"/>
  <c r="C15" i="6"/>
  <c r="H15" i="6" s="1"/>
  <c r="C16" i="6"/>
  <c r="H16" i="6" s="1"/>
  <c r="C17" i="6"/>
  <c r="H17" i="6" s="1"/>
  <c r="C18" i="6"/>
  <c r="H18" i="6" s="1"/>
  <c r="C19" i="6"/>
  <c r="H19" i="6" s="1"/>
  <c r="C20" i="6"/>
  <c r="H20" i="6" s="1"/>
  <c r="C21" i="6"/>
  <c r="H21" i="6" s="1"/>
  <c r="C22" i="6"/>
  <c r="H22" i="6" s="1"/>
  <c r="C23" i="6"/>
  <c r="H23" i="6" s="1"/>
  <c r="C24" i="6"/>
  <c r="H24" i="6" s="1"/>
  <c r="C25" i="6"/>
  <c r="H25" i="6" s="1"/>
  <c r="C26" i="6"/>
  <c r="H26" i="6" s="1"/>
  <c r="C27" i="6"/>
  <c r="H27" i="6" s="1"/>
  <c r="C28" i="6"/>
  <c r="H28" i="6" s="1"/>
  <c r="C29" i="6"/>
  <c r="H29" i="6" s="1"/>
  <c r="C30" i="6"/>
  <c r="H30" i="6" s="1"/>
  <c r="C31" i="6"/>
  <c r="H31" i="6" s="1"/>
  <c r="C32" i="6"/>
  <c r="H32" i="6" s="1"/>
  <c r="C33" i="6"/>
  <c r="H33" i="6" s="1"/>
  <c r="C34" i="6"/>
  <c r="H34" i="6" s="1"/>
  <c r="C35" i="6"/>
  <c r="H35" i="6" s="1"/>
  <c r="C36" i="6"/>
  <c r="H36" i="6" s="1"/>
  <c r="C37" i="6"/>
  <c r="H37" i="6" s="1"/>
  <c r="C38" i="6"/>
  <c r="H38" i="6" s="1"/>
  <c r="C39" i="6"/>
  <c r="H39" i="6" s="1"/>
  <c r="C40" i="6"/>
  <c r="H40" i="6" s="1"/>
  <c r="C41" i="6"/>
  <c r="H41" i="6" s="1"/>
  <c r="C42" i="6"/>
  <c r="H42" i="6" s="1"/>
  <c r="C43" i="6"/>
  <c r="H43" i="6" s="1"/>
  <c r="C44" i="6"/>
  <c r="H44" i="6" s="1"/>
  <c r="C45" i="6"/>
  <c r="H45" i="6" s="1"/>
  <c r="C46" i="6"/>
  <c r="H46" i="6" s="1"/>
  <c r="C47" i="6"/>
  <c r="H47" i="6" s="1"/>
  <c r="C48" i="6"/>
  <c r="H48" i="6" s="1"/>
  <c r="C49" i="6"/>
  <c r="H49" i="6" s="1"/>
  <c r="C50" i="6"/>
  <c r="H50" i="6" s="1"/>
  <c r="C51" i="6"/>
  <c r="H51" i="6" s="1"/>
  <c r="C52" i="6"/>
  <c r="H52" i="6" s="1"/>
  <c r="C53" i="6"/>
  <c r="H53" i="6" s="1"/>
  <c r="C54" i="6"/>
  <c r="C3" i="6"/>
  <c r="H3" i="6" s="1"/>
  <c r="C4" i="6"/>
  <c r="H4" i="6" s="1"/>
  <c r="C5" i="6"/>
  <c r="H5" i="6" s="1"/>
  <c r="C6" i="6"/>
  <c r="H6" i="6" s="1"/>
  <c r="C7" i="6"/>
  <c r="H7" i="6" s="1"/>
  <c r="C8" i="6"/>
  <c r="H8" i="6" s="1"/>
  <c r="C9" i="6"/>
  <c r="H9" i="6" s="1"/>
  <c r="C10" i="6"/>
  <c r="H10" i="6" s="1"/>
  <c r="C11" i="6"/>
  <c r="H11" i="6" s="1"/>
  <c r="C12" i="6"/>
  <c r="H12" i="6" s="1"/>
  <c r="C2" i="6"/>
  <c r="F3" i="5"/>
  <c r="F4" i="5"/>
  <c r="F5" i="5"/>
  <c r="F6" i="5"/>
  <c r="F7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G8" i="10" l="1"/>
  <c r="G16" i="10"/>
  <c r="G47" i="10"/>
  <c r="G39" i="10"/>
  <c r="G31" i="10"/>
  <c r="G23" i="10"/>
  <c r="G15" i="10"/>
  <c r="G7" i="10"/>
  <c r="H54" i="6"/>
  <c r="I49" i="6"/>
  <c r="I41" i="6"/>
  <c r="I33" i="6"/>
  <c r="I25" i="6"/>
  <c r="I17" i="6"/>
  <c r="I9" i="6"/>
  <c r="G48" i="10"/>
  <c r="G40" i="10"/>
  <c r="G24" i="10"/>
  <c r="G46" i="10"/>
  <c r="G30" i="10"/>
  <c r="G14" i="10"/>
  <c r="G32" i="10"/>
  <c r="G2" i="10"/>
  <c r="G38" i="10"/>
  <c r="G22" i="10"/>
  <c r="G6" i="10"/>
  <c r="G45" i="10"/>
  <c r="G37" i="10"/>
  <c r="G29" i="10"/>
  <c r="G21" i="10"/>
  <c r="G13" i="10"/>
  <c r="G5" i="10"/>
  <c r="I47" i="6"/>
  <c r="I39" i="6"/>
  <c r="I31" i="6"/>
  <c r="I23" i="6"/>
  <c r="I15" i="6"/>
  <c r="I7" i="6"/>
  <c r="G36" i="10"/>
  <c r="G20" i="10"/>
  <c r="G4" i="10"/>
  <c r="I54" i="6"/>
  <c r="I55" i="6"/>
  <c r="I14" i="6"/>
  <c r="G44" i="10"/>
  <c r="G51" i="10"/>
  <c r="G43" i="10"/>
  <c r="G35" i="10"/>
  <c r="G27" i="10"/>
  <c r="G19" i="10"/>
  <c r="G11" i="10"/>
  <c r="G3" i="10"/>
  <c r="I53" i="6"/>
  <c r="I45" i="6"/>
  <c r="I37" i="6"/>
  <c r="I29" i="6"/>
  <c r="I21" i="6"/>
  <c r="I13" i="6"/>
  <c r="G53" i="10"/>
  <c r="G28" i="10"/>
  <c r="G50" i="10"/>
  <c r="G34" i="10"/>
  <c r="G26" i="10"/>
  <c r="G18" i="10"/>
  <c r="G10" i="10"/>
  <c r="H2" i="6"/>
  <c r="G52" i="10"/>
  <c r="G12" i="10"/>
  <c r="G42" i="10"/>
  <c r="G49" i="10"/>
  <c r="G41" i="10"/>
  <c r="G33" i="10"/>
  <c r="G25" i="10"/>
  <c r="G17" i="10"/>
  <c r="G9" i="10"/>
  <c r="I51" i="6"/>
  <c r="I43" i="6"/>
  <c r="I35" i="6"/>
  <c r="I27" i="6"/>
  <c r="I19" i="6"/>
  <c r="I11" i="6"/>
  <c r="B3" i="6"/>
  <c r="B4" i="6" s="1"/>
  <c r="B5" i="6" s="1"/>
  <c r="B6" i="6" s="1"/>
  <c r="B7" i="6" s="1"/>
  <c r="B8" i="6" s="1"/>
  <c r="B9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G105" i="4"/>
  <c r="U19" i="5"/>
  <c r="U20" i="5"/>
  <c r="U21" i="5"/>
  <c r="U22" i="5"/>
  <c r="U23" i="5"/>
  <c r="U24" i="5"/>
  <c r="U25" i="5"/>
  <c r="U26" i="5"/>
  <c r="U27" i="5"/>
  <c r="U3" i="5"/>
  <c r="U4" i="5"/>
  <c r="U5" i="5"/>
  <c r="U6" i="5"/>
  <c r="U7" i="5"/>
  <c r="U8" i="5"/>
  <c r="U9" i="5"/>
  <c r="U11" i="5"/>
  <c r="U12" i="5"/>
  <c r="U13" i="5"/>
  <c r="U14" i="5"/>
  <c r="U15" i="5"/>
  <c r="U16" i="5"/>
  <c r="U17" i="5"/>
  <c r="U18" i="5"/>
  <c r="K28" i="6"/>
  <c r="K29" i="6"/>
  <c r="K30" i="6"/>
  <c r="K31" i="6"/>
  <c r="K33" i="6"/>
  <c r="K34" i="6"/>
  <c r="K35" i="6"/>
  <c r="K36" i="6"/>
  <c r="K37" i="6"/>
  <c r="K38" i="6"/>
  <c r="K39" i="6"/>
  <c r="K41" i="6"/>
  <c r="K42" i="6"/>
  <c r="O18" i="5" l="1"/>
  <c r="K53" i="6"/>
  <c r="K45" i="6"/>
  <c r="R9" i="5"/>
  <c r="R18" i="5"/>
  <c r="R17" i="5"/>
  <c r="O17" i="5"/>
  <c r="R7" i="5"/>
  <c r="R16" i="5"/>
  <c r="O9" i="5"/>
  <c r="K52" i="6"/>
  <c r="K44" i="6"/>
  <c r="R8" i="5"/>
  <c r="O16" i="5"/>
  <c r="O8" i="5"/>
  <c r="K51" i="6"/>
  <c r="K43" i="6"/>
  <c r="O23" i="5"/>
  <c r="O15" i="5"/>
  <c r="O7" i="5"/>
  <c r="K50" i="6"/>
  <c r="R14" i="5"/>
  <c r="R6" i="5"/>
  <c r="R23" i="5"/>
  <c r="R15" i="5"/>
  <c r="O2" i="5"/>
  <c r="O22" i="5"/>
  <c r="O6" i="5"/>
  <c r="K49" i="6"/>
  <c r="O14" i="5"/>
  <c r="R13" i="5"/>
  <c r="R5" i="5"/>
  <c r="R22" i="5"/>
  <c r="O53" i="5"/>
  <c r="O21" i="5"/>
  <c r="O13" i="5"/>
  <c r="O5" i="5"/>
  <c r="O47" i="5"/>
  <c r="K48" i="6"/>
  <c r="O39" i="5"/>
  <c r="K40" i="6"/>
  <c r="O31" i="5"/>
  <c r="K32" i="6"/>
  <c r="R12" i="5"/>
  <c r="R4" i="5"/>
  <c r="R21" i="5"/>
  <c r="R53" i="5"/>
  <c r="O20" i="5"/>
  <c r="R11" i="5"/>
  <c r="R3" i="5"/>
  <c r="R20" i="5"/>
  <c r="O12" i="5"/>
  <c r="O4" i="5"/>
  <c r="K47" i="6"/>
  <c r="O19" i="5"/>
  <c r="O11" i="5"/>
  <c r="O3" i="5"/>
  <c r="K46" i="6"/>
  <c r="R19" i="5"/>
  <c r="R30" i="5"/>
  <c r="R29" i="5"/>
  <c r="O38" i="5"/>
  <c r="O30" i="5"/>
  <c r="R24" i="5"/>
  <c r="R25" i="5"/>
  <c r="R26" i="5"/>
  <c r="R27" i="5"/>
  <c r="R51" i="5"/>
  <c r="R47" i="5"/>
  <c r="R43" i="5"/>
  <c r="R39" i="5"/>
  <c r="R35" i="5"/>
  <c r="R31" i="5"/>
  <c r="O46" i="5"/>
  <c r="O45" i="5"/>
  <c r="O37" i="5"/>
  <c r="O29" i="5"/>
  <c r="O52" i="5"/>
  <c r="O44" i="5"/>
  <c r="O36" i="5"/>
  <c r="O28" i="5"/>
  <c r="R50" i="5"/>
  <c r="R46" i="5"/>
  <c r="R42" i="5"/>
  <c r="R38" i="5"/>
  <c r="R34" i="5"/>
  <c r="O35" i="5"/>
  <c r="O51" i="5"/>
  <c r="O50" i="5"/>
  <c r="O42" i="5"/>
  <c r="O34" i="5"/>
  <c r="R49" i="5"/>
  <c r="R45" i="5"/>
  <c r="R41" i="5"/>
  <c r="R37" i="5"/>
  <c r="R33" i="5"/>
  <c r="O43" i="5"/>
  <c r="O24" i="5"/>
  <c r="O25" i="5"/>
  <c r="O26" i="5"/>
  <c r="O27" i="5"/>
  <c r="O49" i="5"/>
  <c r="O41" i="5"/>
  <c r="O33" i="5"/>
  <c r="R28" i="5"/>
  <c r="O48" i="5"/>
  <c r="O40" i="5"/>
  <c r="O32" i="5"/>
  <c r="R52" i="5"/>
  <c r="R48" i="5"/>
  <c r="R44" i="5"/>
  <c r="R40" i="5"/>
  <c r="R36" i="5"/>
  <c r="R32" i="5"/>
  <c r="J9" i="5" l="1"/>
  <c r="J17" i="5"/>
  <c r="J15" i="5"/>
  <c r="J8" i="5"/>
  <c r="J39" i="5"/>
  <c r="J16" i="5"/>
  <c r="J5" i="5"/>
  <c r="J22" i="5"/>
  <c r="J42" i="5"/>
  <c r="J14" i="5"/>
  <c r="J19" i="5"/>
  <c r="J6" i="5"/>
  <c r="J3" i="5"/>
  <c r="J53" i="5"/>
  <c r="J13" i="5"/>
  <c r="J30" i="5"/>
  <c r="J12" i="5"/>
  <c r="J35" i="5"/>
  <c r="J21" i="5"/>
  <c r="J47" i="5"/>
  <c r="J31" i="5"/>
  <c r="J4" i="5"/>
  <c r="J23" i="5"/>
  <c r="J7" i="5"/>
  <c r="J11" i="5"/>
  <c r="J33" i="5"/>
  <c r="J20" i="5"/>
  <c r="J38" i="5"/>
  <c r="J29" i="5"/>
  <c r="J48" i="5"/>
  <c r="J40" i="5"/>
  <c r="J28" i="5"/>
  <c r="J46" i="5"/>
  <c r="J51" i="5"/>
  <c r="J44" i="5"/>
  <c r="J52" i="5"/>
  <c r="J18" i="5"/>
  <c r="J50" i="5"/>
  <c r="J24" i="5"/>
  <c r="J43" i="5"/>
  <c r="J25" i="5"/>
  <c r="J26" i="5"/>
  <c r="J36" i="5"/>
  <c r="J27" i="5"/>
  <c r="J34" i="5"/>
  <c r="J41" i="5"/>
  <c r="J49" i="5"/>
  <c r="J37" i="5"/>
  <c r="J32" i="5"/>
  <c r="J45" i="5"/>
  <c r="I9" i="5" l="1"/>
  <c r="I10" i="5"/>
  <c r="W10" i="5" s="1"/>
  <c r="B3" i="5"/>
  <c r="B4" i="5" s="1"/>
  <c r="B5" i="5" s="1"/>
  <c r="B6" i="5" s="1"/>
  <c r="B7" i="5" s="1"/>
  <c r="B8" i="5" s="1"/>
  <c r="B9" i="5" s="1"/>
  <c r="B10" i="5" s="1"/>
  <c r="K15" i="5"/>
  <c r="A3" i="5"/>
  <c r="A4" i="5" s="1"/>
  <c r="A5" i="5" s="1"/>
  <c r="A6" i="5" s="1"/>
  <c r="A7" i="5" s="1"/>
  <c r="A8" i="5" s="1"/>
  <c r="A9" i="5" s="1"/>
  <c r="A10" i="5" l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C48" i="10"/>
  <c r="I48" i="5"/>
  <c r="C40" i="10"/>
  <c r="I40" i="5"/>
  <c r="C32" i="10"/>
  <c r="I32" i="5"/>
  <c r="C28" i="10"/>
  <c r="I28" i="5"/>
  <c r="C20" i="10"/>
  <c r="I20" i="5"/>
  <c r="C15" i="10"/>
  <c r="I15" i="5"/>
  <c r="C7" i="10"/>
  <c r="I7" i="5"/>
  <c r="C8" i="10"/>
  <c r="I8" i="5"/>
  <c r="C44" i="10"/>
  <c r="I44" i="5"/>
  <c r="C36" i="10"/>
  <c r="I36" i="5"/>
  <c r="C24" i="10"/>
  <c r="I24" i="5"/>
  <c r="C14" i="10"/>
  <c r="I14" i="5"/>
  <c r="C6" i="10"/>
  <c r="I6" i="5"/>
  <c r="C51" i="10"/>
  <c r="I51" i="5"/>
  <c r="C47" i="10"/>
  <c r="I47" i="5"/>
  <c r="C43" i="10"/>
  <c r="I43" i="5"/>
  <c r="C39" i="10"/>
  <c r="I39" i="5"/>
  <c r="C35" i="10"/>
  <c r="I35" i="5"/>
  <c r="C31" i="10"/>
  <c r="I31" i="5"/>
  <c r="C27" i="10"/>
  <c r="I27" i="5"/>
  <c r="C23" i="10"/>
  <c r="I23" i="5"/>
  <c r="C19" i="10"/>
  <c r="I19" i="5"/>
  <c r="C16" i="10"/>
  <c r="I16" i="5"/>
  <c r="C13" i="10"/>
  <c r="I13" i="5"/>
  <c r="C12" i="10"/>
  <c r="I12" i="5"/>
  <c r="C4" i="10"/>
  <c r="I4" i="5"/>
  <c r="C50" i="10"/>
  <c r="I50" i="5"/>
  <c r="C46" i="10"/>
  <c r="I46" i="5"/>
  <c r="C42" i="10"/>
  <c r="I42" i="5"/>
  <c r="C38" i="10"/>
  <c r="I38" i="5"/>
  <c r="C34" i="10"/>
  <c r="I34" i="5"/>
  <c r="C30" i="10"/>
  <c r="I30" i="5"/>
  <c r="C26" i="10"/>
  <c r="I26" i="5"/>
  <c r="C22" i="10"/>
  <c r="I22" i="5"/>
  <c r="C18" i="10"/>
  <c r="I18" i="5"/>
  <c r="C11" i="10"/>
  <c r="I11" i="5"/>
  <c r="C3" i="10"/>
  <c r="I3" i="5"/>
  <c r="C5" i="10"/>
  <c r="C5" i="14" s="1"/>
  <c r="I5" i="5"/>
  <c r="C53" i="10"/>
  <c r="I53" i="5"/>
  <c r="I54" i="5"/>
  <c r="C45" i="10"/>
  <c r="I45" i="5"/>
  <c r="C37" i="10"/>
  <c r="I37" i="5"/>
  <c r="C33" i="10"/>
  <c r="I33" i="5"/>
  <c r="C25" i="10"/>
  <c r="I25" i="5"/>
  <c r="C21" i="10"/>
  <c r="I21" i="5"/>
  <c r="C17" i="10"/>
  <c r="I17" i="5"/>
  <c r="C52" i="10"/>
  <c r="I52" i="5"/>
  <c r="C10" i="10"/>
  <c r="C49" i="10"/>
  <c r="I49" i="5"/>
  <c r="C41" i="10"/>
  <c r="I41" i="5"/>
  <c r="C29" i="10"/>
  <c r="I29" i="5"/>
  <c r="C2" i="10"/>
  <c r="C9" i="10"/>
  <c r="F46" i="6"/>
  <c r="G46" i="6" s="1"/>
  <c r="F38" i="6"/>
  <c r="G38" i="6" s="1"/>
  <c r="F34" i="6"/>
  <c r="G34" i="6" s="1"/>
  <c r="F14" i="6"/>
  <c r="G14" i="6" s="1"/>
  <c r="F6" i="6"/>
  <c r="G6" i="6" s="1"/>
  <c r="F52" i="6"/>
  <c r="G52" i="6" s="1"/>
  <c r="F48" i="6"/>
  <c r="G48" i="6" s="1"/>
  <c r="F44" i="6"/>
  <c r="G44" i="6" s="1"/>
  <c r="F40" i="6"/>
  <c r="G40" i="6" s="1"/>
  <c r="F36" i="6"/>
  <c r="G36" i="6" s="1"/>
  <c r="F32" i="6"/>
  <c r="G32" i="6" s="1"/>
  <c r="F28" i="6"/>
  <c r="G28" i="6" s="1"/>
  <c r="F24" i="6"/>
  <c r="G24" i="6" s="1"/>
  <c r="F20" i="6"/>
  <c r="G20" i="6" s="1"/>
  <c r="F10" i="6"/>
  <c r="G10" i="6" s="1"/>
  <c r="F26" i="6"/>
  <c r="G26" i="6" s="1"/>
  <c r="F13" i="6"/>
  <c r="G13" i="6" s="1"/>
  <c r="F5" i="6"/>
  <c r="G5" i="6" s="1"/>
  <c r="F22" i="6"/>
  <c r="G22" i="6" s="1"/>
  <c r="F12" i="6"/>
  <c r="G12" i="6" s="1"/>
  <c r="F4" i="6"/>
  <c r="G4" i="6" s="1"/>
  <c r="F51" i="6"/>
  <c r="G51" i="6" s="1"/>
  <c r="F47" i="6"/>
  <c r="G47" i="6" s="1"/>
  <c r="F43" i="6"/>
  <c r="G43" i="6" s="1"/>
  <c r="F39" i="6"/>
  <c r="G39" i="6" s="1"/>
  <c r="F35" i="6"/>
  <c r="G35" i="6" s="1"/>
  <c r="F31" i="6"/>
  <c r="G31" i="6" s="1"/>
  <c r="F27" i="6"/>
  <c r="G27" i="6" s="1"/>
  <c r="F23" i="6"/>
  <c r="G23" i="6" s="1"/>
  <c r="F19" i="6"/>
  <c r="G19" i="6" s="1"/>
  <c r="F11" i="6"/>
  <c r="G11" i="6" s="1"/>
  <c r="F3" i="6"/>
  <c r="G3" i="6" s="1"/>
  <c r="F18" i="6"/>
  <c r="G18" i="6" s="1"/>
  <c r="F54" i="6"/>
  <c r="G54" i="6" s="1"/>
  <c r="F2" i="6"/>
  <c r="G2" i="6" s="1"/>
  <c r="I2" i="5"/>
  <c r="F9" i="6"/>
  <c r="G9" i="6" s="1"/>
  <c r="F16" i="6"/>
  <c r="G16" i="6" s="1"/>
  <c r="F8" i="6"/>
  <c r="G8" i="6" s="1"/>
  <c r="F53" i="6"/>
  <c r="G53" i="6" s="1"/>
  <c r="F49" i="6"/>
  <c r="G49" i="6" s="1"/>
  <c r="F45" i="6"/>
  <c r="G45" i="6" s="1"/>
  <c r="F41" i="6"/>
  <c r="G41" i="6" s="1"/>
  <c r="F37" i="6"/>
  <c r="G37" i="6" s="1"/>
  <c r="F33" i="6"/>
  <c r="G33" i="6" s="1"/>
  <c r="F29" i="6"/>
  <c r="G29" i="6" s="1"/>
  <c r="F25" i="6"/>
  <c r="G25" i="6" s="1"/>
  <c r="F21" i="6"/>
  <c r="G21" i="6" s="1"/>
  <c r="F17" i="6"/>
  <c r="G17" i="6" s="1"/>
  <c r="F50" i="6"/>
  <c r="G50" i="6" s="1"/>
  <c r="F42" i="6"/>
  <c r="G42" i="6" s="1"/>
  <c r="F30" i="6"/>
  <c r="G30" i="6" s="1"/>
  <c r="F15" i="6"/>
  <c r="G15" i="6" s="1"/>
  <c r="F7" i="6"/>
  <c r="G7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K18" i="5"/>
  <c r="K23" i="5"/>
  <c r="K21" i="5"/>
  <c r="K17" i="5"/>
  <c r="K16" i="5"/>
  <c r="K8" i="5"/>
  <c r="K25" i="5"/>
  <c r="K7" i="5"/>
  <c r="K30" i="5"/>
  <c r="K22" i="5"/>
  <c r="K34" i="5"/>
  <c r="K9" i="5"/>
  <c r="K48" i="5"/>
  <c r="K5" i="5"/>
  <c r="K11" i="5"/>
  <c r="K13" i="5"/>
  <c r="K53" i="5"/>
  <c r="K45" i="5"/>
  <c r="K12" i="5"/>
  <c r="K4" i="5"/>
  <c r="K37" i="5"/>
  <c r="K50" i="5"/>
  <c r="K46" i="5"/>
  <c r="K31" i="5"/>
  <c r="K19" i="5"/>
  <c r="K42" i="5"/>
  <c r="K29" i="5"/>
  <c r="K39" i="5"/>
  <c r="K14" i="5"/>
  <c r="K49" i="5"/>
  <c r="K43" i="5"/>
  <c r="K35" i="5"/>
  <c r="K26" i="5"/>
  <c r="K20" i="5"/>
  <c r="K51" i="5"/>
  <c r="K41" i="5"/>
  <c r="K6" i="5"/>
  <c r="K38" i="5"/>
  <c r="K33" i="5"/>
  <c r="K27" i="5"/>
  <c r="K44" i="5"/>
  <c r="K36" i="5"/>
  <c r="K28" i="5"/>
  <c r="K24" i="5"/>
  <c r="K52" i="5"/>
  <c r="K40" i="5"/>
  <c r="K32" i="5"/>
  <c r="K47" i="5"/>
  <c r="B32" i="5" l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Y54" i="5"/>
  <c r="W54" i="5"/>
  <c r="W22" i="5"/>
  <c r="W4" i="5"/>
  <c r="Y35" i="5"/>
  <c r="W35" i="5"/>
  <c r="Y36" i="5"/>
  <c r="W36" i="5"/>
  <c r="Y40" i="5"/>
  <c r="W40" i="5"/>
  <c r="W9" i="5"/>
  <c r="W21" i="5"/>
  <c r="Y53" i="5"/>
  <c r="W53" i="5"/>
  <c r="Y34" i="5"/>
  <c r="W34" i="5"/>
  <c r="W16" i="5"/>
  <c r="Y47" i="5"/>
  <c r="W47" i="5"/>
  <c r="W7" i="5"/>
  <c r="Y41" i="5"/>
  <c r="W41" i="5"/>
  <c r="Y37" i="5"/>
  <c r="W37" i="5"/>
  <c r="W11" i="5"/>
  <c r="Y46" i="5"/>
  <c r="W46" i="5"/>
  <c r="W27" i="5"/>
  <c r="W14" i="5"/>
  <c r="W28" i="5"/>
  <c r="W26" i="5"/>
  <c r="W12" i="5"/>
  <c r="Y39" i="5"/>
  <c r="W39" i="5"/>
  <c r="Y44" i="5"/>
  <c r="W44" i="5"/>
  <c r="Y48" i="5"/>
  <c r="W48" i="5"/>
  <c r="Y52" i="5"/>
  <c r="W52" i="5"/>
  <c r="W25" i="5"/>
  <c r="W5" i="5"/>
  <c r="Y38" i="5"/>
  <c r="W38" i="5"/>
  <c r="W19" i="5"/>
  <c r="Y51" i="5"/>
  <c r="W51" i="5"/>
  <c r="W15" i="5"/>
  <c r="Y49" i="5"/>
  <c r="W49" i="5"/>
  <c r="Y45" i="5"/>
  <c r="W45" i="5"/>
  <c r="W18" i="5"/>
  <c r="Y50" i="5"/>
  <c r="W50" i="5"/>
  <c r="W31" i="5"/>
  <c r="W24" i="5"/>
  <c r="Y32" i="5"/>
  <c r="W32" i="5"/>
  <c r="W2" i="5"/>
  <c r="W17" i="5"/>
  <c r="W30" i="5"/>
  <c r="W13" i="5"/>
  <c r="Y43" i="5"/>
  <c r="W43" i="5"/>
  <c r="W8" i="5"/>
  <c r="W29" i="5"/>
  <c r="Y33" i="5"/>
  <c r="W33" i="5"/>
  <c r="W3" i="5"/>
  <c r="Y42" i="5"/>
  <c r="W42" i="5"/>
  <c r="W23" i="5"/>
  <c r="W6" i="5"/>
  <c r="W20" i="5"/>
  <c r="E17" i="14"/>
  <c r="E30" i="14"/>
  <c r="E13" i="14"/>
  <c r="E43" i="14"/>
  <c r="E8" i="14"/>
  <c r="E3" i="14"/>
  <c r="E42" i="14"/>
  <c r="E23" i="14"/>
  <c r="E6" i="14"/>
  <c r="E20" i="14"/>
  <c r="E10" i="14"/>
  <c r="E54" i="14"/>
  <c r="J54" i="14" s="1"/>
  <c r="E22" i="14"/>
  <c r="E4" i="14"/>
  <c r="E35" i="14"/>
  <c r="E36" i="14"/>
  <c r="E40" i="14"/>
  <c r="E29" i="14"/>
  <c r="E33" i="14"/>
  <c r="E9" i="14"/>
  <c r="E21" i="14"/>
  <c r="E53" i="14"/>
  <c r="E34" i="14"/>
  <c r="E16" i="14"/>
  <c r="E47" i="14"/>
  <c r="E7" i="14"/>
  <c r="E41" i="14"/>
  <c r="E37" i="14"/>
  <c r="E11" i="14"/>
  <c r="E46" i="14"/>
  <c r="E27" i="14"/>
  <c r="E14" i="14"/>
  <c r="E28" i="14"/>
  <c r="E52" i="14"/>
  <c r="E26" i="14"/>
  <c r="E12" i="14"/>
  <c r="E39" i="14"/>
  <c r="E44" i="14"/>
  <c r="E48" i="14"/>
  <c r="E25" i="14"/>
  <c r="E5" i="14"/>
  <c r="J5" i="14" s="1"/>
  <c r="E38" i="14"/>
  <c r="E19" i="14"/>
  <c r="E51" i="14"/>
  <c r="E15" i="14"/>
  <c r="E2" i="14"/>
  <c r="E49" i="14"/>
  <c r="E45" i="14"/>
  <c r="E18" i="14"/>
  <c r="E50" i="14"/>
  <c r="E31" i="14"/>
  <c r="E24" i="14"/>
  <c r="E32" i="14"/>
  <c r="C25" i="14"/>
  <c r="C38" i="14"/>
  <c r="C19" i="14"/>
  <c r="C51" i="14"/>
  <c r="C15" i="14"/>
  <c r="C49" i="14"/>
  <c r="C45" i="14"/>
  <c r="C18" i="14"/>
  <c r="C50" i="14"/>
  <c r="C31" i="14"/>
  <c r="C24" i="14"/>
  <c r="C32" i="14"/>
  <c r="C17" i="14"/>
  <c r="C30" i="14"/>
  <c r="C13" i="14"/>
  <c r="C43" i="14"/>
  <c r="C8" i="14"/>
  <c r="C29" i="14"/>
  <c r="C33" i="14"/>
  <c r="C42" i="14"/>
  <c r="C23" i="14"/>
  <c r="C6" i="14"/>
  <c r="C20" i="14"/>
  <c r="C10" i="14"/>
  <c r="C22" i="14"/>
  <c r="C35" i="14"/>
  <c r="C36" i="14"/>
  <c r="C40" i="14"/>
  <c r="C9" i="14"/>
  <c r="C21" i="14"/>
  <c r="C53" i="14"/>
  <c r="C34" i="14"/>
  <c r="C16" i="14"/>
  <c r="C47" i="14"/>
  <c r="C7" i="14"/>
  <c r="C41" i="14"/>
  <c r="C37" i="14"/>
  <c r="C11" i="14"/>
  <c r="C14" i="14"/>
  <c r="C28" i="14"/>
  <c r="C46" i="14"/>
  <c r="C27" i="14"/>
  <c r="C52" i="14"/>
  <c r="C26" i="14"/>
  <c r="C12" i="14"/>
  <c r="C39" i="14"/>
  <c r="C44" i="14"/>
  <c r="C48" i="14"/>
  <c r="I2" i="10"/>
  <c r="C2" i="14"/>
  <c r="I3" i="10"/>
  <c r="C3" i="14"/>
  <c r="I4" i="10"/>
  <c r="C4" i="14"/>
  <c r="I5" i="10"/>
  <c r="I38" i="10"/>
  <c r="P38" i="15" s="1"/>
  <c r="I19" i="10"/>
  <c r="P19" i="15" s="1"/>
  <c r="I51" i="10"/>
  <c r="P51" i="15" s="1"/>
  <c r="I15" i="10"/>
  <c r="P15" i="15" s="1"/>
  <c r="I18" i="10"/>
  <c r="P18" i="15" s="1"/>
  <c r="I50" i="10"/>
  <c r="P50" i="15" s="1"/>
  <c r="I31" i="10"/>
  <c r="P31" i="15" s="1"/>
  <c r="I24" i="10"/>
  <c r="P24" i="15" s="1"/>
  <c r="I32" i="10"/>
  <c r="P32" i="15" s="1"/>
  <c r="I45" i="10"/>
  <c r="P45" i="15" s="1"/>
  <c r="I17" i="10"/>
  <c r="P17" i="15" s="1"/>
  <c r="I30" i="10"/>
  <c r="P30" i="15" s="1"/>
  <c r="I13" i="10"/>
  <c r="P13" i="15" s="1"/>
  <c r="I43" i="10"/>
  <c r="P43" i="15" s="1"/>
  <c r="I8" i="10"/>
  <c r="P8" i="15" s="1"/>
  <c r="I29" i="10"/>
  <c r="P29" i="15" s="1"/>
  <c r="I33" i="10"/>
  <c r="P33" i="15" s="1"/>
  <c r="I42" i="10"/>
  <c r="P42" i="15" s="1"/>
  <c r="I23" i="10"/>
  <c r="P23" i="15" s="1"/>
  <c r="I6" i="10"/>
  <c r="P6" i="15" s="1"/>
  <c r="I20" i="10"/>
  <c r="P20" i="15" s="1"/>
  <c r="I10" i="10"/>
  <c r="P10" i="15" s="1"/>
  <c r="I22" i="10"/>
  <c r="P22" i="15" s="1"/>
  <c r="I35" i="10"/>
  <c r="P35" i="15" s="1"/>
  <c r="I36" i="10"/>
  <c r="P36" i="15" s="1"/>
  <c r="I40" i="10"/>
  <c r="P40" i="15" s="1"/>
  <c r="I9" i="10"/>
  <c r="P9" i="15" s="1"/>
  <c r="I34" i="10"/>
  <c r="P34" i="15" s="1"/>
  <c r="I16" i="10"/>
  <c r="P16" i="15" s="1"/>
  <c r="I47" i="10"/>
  <c r="P47" i="15" s="1"/>
  <c r="I7" i="10"/>
  <c r="P7" i="15" s="1"/>
  <c r="I25" i="10"/>
  <c r="P25" i="15" s="1"/>
  <c r="I21" i="10"/>
  <c r="P21" i="15" s="1"/>
  <c r="I41" i="10"/>
  <c r="P41" i="15" s="1"/>
  <c r="I37" i="10"/>
  <c r="P37" i="15" s="1"/>
  <c r="I11" i="10"/>
  <c r="P11" i="15" s="1"/>
  <c r="I46" i="10"/>
  <c r="P46" i="15" s="1"/>
  <c r="I27" i="10"/>
  <c r="P27" i="15" s="1"/>
  <c r="I14" i="10"/>
  <c r="P14" i="15" s="1"/>
  <c r="I28" i="10"/>
  <c r="P28" i="15" s="1"/>
  <c r="I49" i="10"/>
  <c r="P49" i="15" s="1"/>
  <c r="I53" i="10"/>
  <c r="P53" i="15" s="1"/>
  <c r="I52" i="10"/>
  <c r="P52" i="15" s="1"/>
  <c r="I26" i="10"/>
  <c r="P26" i="15" s="1"/>
  <c r="I12" i="10"/>
  <c r="P12" i="15" s="1"/>
  <c r="I39" i="10"/>
  <c r="P39" i="15" s="1"/>
  <c r="I44" i="10"/>
  <c r="P44" i="15" s="1"/>
  <c r="I48" i="10"/>
  <c r="P48" i="15" s="1"/>
  <c r="K3" i="5"/>
  <c r="F51" i="14" l="1"/>
  <c r="F30" i="14"/>
  <c r="J52" i="14"/>
  <c r="J51" i="14"/>
  <c r="F25" i="14"/>
  <c r="F15" i="14"/>
  <c r="F16" i="14"/>
  <c r="F20" i="14"/>
  <c r="F40" i="14"/>
  <c r="F55" i="14"/>
  <c r="F24" i="14"/>
  <c r="F11" i="14"/>
  <c r="F22" i="14"/>
  <c r="F7" i="14"/>
  <c r="F26" i="14"/>
  <c r="F32" i="14"/>
  <c r="F48" i="14"/>
  <c r="F27" i="14"/>
  <c r="F34" i="14"/>
  <c r="F35" i="14"/>
  <c r="F19" i="14"/>
  <c r="F12" i="14"/>
  <c r="F38" i="14"/>
  <c r="F9" i="14"/>
  <c r="F8" i="14"/>
  <c r="F31" i="14"/>
  <c r="F18" i="14"/>
  <c r="F17" i="14"/>
  <c r="F10" i="14"/>
  <c r="F43" i="14"/>
  <c r="F47" i="14"/>
  <c r="F53" i="14"/>
  <c r="F5" i="14"/>
  <c r="F14" i="14"/>
  <c r="F39" i="14"/>
  <c r="F6" i="14"/>
  <c r="F28" i="14"/>
  <c r="J12" i="14"/>
  <c r="J46" i="14"/>
  <c r="J37" i="14"/>
  <c r="J16" i="14"/>
  <c r="J9" i="14"/>
  <c r="J22" i="14"/>
  <c r="J23" i="14"/>
  <c r="J8" i="14"/>
  <c r="J17" i="14"/>
  <c r="J50" i="14"/>
  <c r="J15" i="14"/>
  <c r="J25" i="14"/>
  <c r="F54" i="14"/>
  <c r="J48" i="14"/>
  <c r="J26" i="14"/>
  <c r="J28" i="14"/>
  <c r="J41" i="14"/>
  <c r="J34" i="14"/>
  <c r="J40" i="14"/>
  <c r="J10" i="14"/>
  <c r="J42" i="14"/>
  <c r="J43" i="14"/>
  <c r="J32" i="14"/>
  <c r="J18" i="14"/>
  <c r="F46" i="14"/>
  <c r="F45" i="14"/>
  <c r="J44" i="14"/>
  <c r="J14" i="14"/>
  <c r="J7" i="14"/>
  <c r="J53" i="14"/>
  <c r="J36" i="14"/>
  <c r="J20" i="14"/>
  <c r="J33" i="14"/>
  <c r="J13" i="14"/>
  <c r="J24" i="14"/>
  <c r="J45" i="14"/>
  <c r="J19" i="14"/>
  <c r="F13" i="14"/>
  <c r="J39" i="14"/>
  <c r="J27" i="14"/>
  <c r="J11" i="14"/>
  <c r="J47" i="14"/>
  <c r="J21" i="14"/>
  <c r="J35" i="14"/>
  <c r="J6" i="14"/>
  <c r="J29" i="14"/>
  <c r="J30" i="14"/>
  <c r="J31" i="14"/>
  <c r="J49" i="14"/>
  <c r="J38" i="14"/>
  <c r="F49" i="14"/>
  <c r="F23" i="14"/>
  <c r="F50" i="14"/>
  <c r="F36" i="14"/>
  <c r="F42" i="14"/>
  <c r="E47" i="15"/>
  <c r="E45" i="15"/>
  <c r="E12" i="15"/>
  <c r="E36" i="15"/>
  <c r="E20" i="15"/>
  <c r="E33" i="15"/>
  <c r="E32" i="15"/>
  <c r="E38" i="15"/>
  <c r="E27" i="15"/>
  <c r="E10" i="15"/>
  <c r="E42" i="15"/>
  <c r="E43" i="15"/>
  <c r="E50" i="15"/>
  <c r="E26" i="15"/>
  <c r="E11" i="15"/>
  <c r="E25" i="15"/>
  <c r="E34" i="15"/>
  <c r="E35" i="15"/>
  <c r="E29" i="15"/>
  <c r="E24" i="15"/>
  <c r="F41" i="14"/>
  <c r="E30" i="15"/>
  <c r="E15" i="15"/>
  <c r="E5" i="15"/>
  <c r="F29" i="14"/>
  <c r="E6" i="15"/>
  <c r="E37" i="15"/>
  <c r="E7" i="15"/>
  <c r="E9" i="15"/>
  <c r="E22" i="15"/>
  <c r="E8" i="15"/>
  <c r="E51" i="15"/>
  <c r="J4" i="10"/>
  <c r="E4" i="15"/>
  <c r="J3" i="10"/>
  <c r="E3" i="15"/>
  <c r="F52" i="14"/>
  <c r="E44" i="15"/>
  <c r="E28" i="15"/>
  <c r="E52" i="15"/>
  <c r="E14" i="15"/>
  <c r="E23" i="15"/>
  <c r="E17" i="15"/>
  <c r="E31" i="15"/>
  <c r="E39" i="15"/>
  <c r="E53" i="15"/>
  <c r="E41" i="15"/>
  <c r="E40" i="15"/>
  <c r="E19" i="15"/>
  <c r="F44" i="14"/>
  <c r="J2" i="10"/>
  <c r="E2" i="15"/>
  <c r="F37" i="14"/>
  <c r="E48" i="15"/>
  <c r="E49" i="15"/>
  <c r="E46" i="15"/>
  <c r="E21" i="15"/>
  <c r="E16" i="15"/>
  <c r="E13" i="15"/>
  <c r="E18" i="15"/>
  <c r="F33" i="14"/>
  <c r="F21" i="14"/>
  <c r="K12" i="10"/>
  <c r="J12" i="10"/>
  <c r="K13" i="10"/>
  <c r="J13" i="10"/>
  <c r="K45" i="10"/>
  <c r="J45" i="10"/>
  <c r="K19" i="10"/>
  <c r="J19" i="10"/>
  <c r="K34" i="10"/>
  <c r="J34" i="10"/>
  <c r="K53" i="10"/>
  <c r="R54" i="10" s="1"/>
  <c r="J53" i="10"/>
  <c r="K21" i="10"/>
  <c r="J21" i="10"/>
  <c r="K36" i="10"/>
  <c r="J36" i="10"/>
  <c r="J42" i="10"/>
  <c r="K42" i="10"/>
  <c r="K31" i="10"/>
  <c r="J31" i="10"/>
  <c r="J26" i="10"/>
  <c r="K26" i="10"/>
  <c r="K47" i="10"/>
  <c r="J47" i="10"/>
  <c r="J9" i="10"/>
  <c r="K9" i="10"/>
  <c r="K20" i="10"/>
  <c r="J20" i="10"/>
  <c r="K8" i="10"/>
  <c r="J8" i="10"/>
  <c r="K15" i="10"/>
  <c r="J15" i="10"/>
  <c r="K49" i="10"/>
  <c r="J49" i="10"/>
  <c r="K35" i="10"/>
  <c r="J35" i="10"/>
  <c r="K32" i="10"/>
  <c r="J32" i="10"/>
  <c r="K50" i="10"/>
  <c r="J50" i="10"/>
  <c r="J38" i="10"/>
  <c r="K38" i="10"/>
  <c r="K11" i="10"/>
  <c r="J11" i="10"/>
  <c r="K39" i="10"/>
  <c r="J39" i="10"/>
  <c r="J25" i="10"/>
  <c r="K25" i="10"/>
  <c r="J10" i="10"/>
  <c r="K10" i="10"/>
  <c r="J30" i="10"/>
  <c r="K30" i="10"/>
  <c r="K51" i="10"/>
  <c r="J51" i="10"/>
  <c r="K27" i="10"/>
  <c r="J27" i="10"/>
  <c r="K37" i="10"/>
  <c r="J37" i="10"/>
  <c r="J16" i="10"/>
  <c r="K16" i="10"/>
  <c r="K6" i="10"/>
  <c r="J6" i="10"/>
  <c r="J33" i="10"/>
  <c r="K33" i="10"/>
  <c r="K43" i="10"/>
  <c r="J43" i="10"/>
  <c r="K24" i="10"/>
  <c r="J24" i="10"/>
  <c r="K41" i="10"/>
  <c r="J41" i="10"/>
  <c r="K52" i="10"/>
  <c r="J52" i="10"/>
  <c r="J18" i="10"/>
  <c r="K18" i="10"/>
  <c r="K5" i="10"/>
  <c r="J5" i="10"/>
  <c r="J22" i="10"/>
  <c r="K22" i="10"/>
  <c r="K23" i="10"/>
  <c r="J23" i="10"/>
  <c r="K44" i="10"/>
  <c r="J44" i="10"/>
  <c r="J14" i="10"/>
  <c r="K14" i="10"/>
  <c r="J48" i="10"/>
  <c r="K48" i="10"/>
  <c r="K40" i="10"/>
  <c r="J40" i="10"/>
  <c r="K28" i="10"/>
  <c r="J28" i="10"/>
  <c r="J46" i="10"/>
  <c r="K46" i="10"/>
  <c r="K7" i="10"/>
  <c r="J7" i="10"/>
  <c r="K29" i="10"/>
  <c r="J29" i="10"/>
  <c r="K17" i="10"/>
  <c r="J17" i="10"/>
  <c r="R53" i="10" l="1"/>
  <c r="F18" i="15"/>
  <c r="G18" i="15"/>
  <c r="F46" i="15"/>
  <c r="AF46" i="15" s="1"/>
  <c r="G46" i="15"/>
  <c r="AG46" i="15" s="1"/>
  <c r="F9" i="15"/>
  <c r="G9" i="15"/>
  <c r="F24" i="15"/>
  <c r="G24" i="15"/>
  <c r="F25" i="15"/>
  <c r="G25" i="15"/>
  <c r="F43" i="15"/>
  <c r="AF43" i="15" s="1"/>
  <c r="G43" i="15"/>
  <c r="AG43" i="15" s="1"/>
  <c r="F38" i="15"/>
  <c r="AF38" i="15" s="1"/>
  <c r="G38" i="15"/>
  <c r="AG38" i="15" s="1"/>
  <c r="G36" i="15"/>
  <c r="AG36" i="15" s="1"/>
  <c r="F36" i="15"/>
  <c r="AF36" i="15" s="1"/>
  <c r="G53" i="15"/>
  <c r="AG53" i="15" s="1"/>
  <c r="F53" i="15"/>
  <c r="AF53" i="15" s="1"/>
  <c r="F23" i="15"/>
  <c r="G23" i="15"/>
  <c r="F44" i="15"/>
  <c r="G44" i="15"/>
  <c r="F13" i="15"/>
  <c r="G13" i="15"/>
  <c r="G49" i="15"/>
  <c r="AG49" i="15" s="1"/>
  <c r="F49" i="15"/>
  <c r="AF49" i="15" s="1"/>
  <c r="F51" i="15"/>
  <c r="AF51" i="15" s="1"/>
  <c r="G51" i="15"/>
  <c r="AG51" i="15" s="1"/>
  <c r="F7" i="15"/>
  <c r="G7" i="15"/>
  <c r="F29" i="15"/>
  <c r="G29" i="15"/>
  <c r="F11" i="15"/>
  <c r="G11" i="15"/>
  <c r="F42" i="15"/>
  <c r="AF42" i="15" s="1"/>
  <c r="G42" i="15"/>
  <c r="AG42" i="15" s="1"/>
  <c r="F32" i="15"/>
  <c r="G32" i="15"/>
  <c r="F12" i="15"/>
  <c r="G12" i="15"/>
  <c r="G19" i="15"/>
  <c r="F19" i="15"/>
  <c r="F39" i="15"/>
  <c r="AF39" i="15" s="1"/>
  <c r="G39" i="15"/>
  <c r="AG39" i="15" s="1"/>
  <c r="G14" i="15"/>
  <c r="F14" i="15"/>
  <c r="F15" i="15"/>
  <c r="G15" i="15"/>
  <c r="F16" i="15"/>
  <c r="G16" i="15"/>
  <c r="G48" i="15"/>
  <c r="AG48" i="15" s="1"/>
  <c r="F48" i="15"/>
  <c r="AF48" i="15" s="1"/>
  <c r="F8" i="15"/>
  <c r="H7" i="15" s="1"/>
  <c r="G8" i="15"/>
  <c r="F37" i="15"/>
  <c r="AF37" i="15" s="1"/>
  <c r="G37" i="15"/>
  <c r="AG37" i="15" s="1"/>
  <c r="F35" i="15"/>
  <c r="AF35" i="15" s="1"/>
  <c r="G35" i="15"/>
  <c r="AG35" i="15" s="1"/>
  <c r="F26" i="15"/>
  <c r="G26" i="15"/>
  <c r="F10" i="15"/>
  <c r="G10" i="15"/>
  <c r="F33" i="15"/>
  <c r="G33" i="15"/>
  <c r="G45" i="15"/>
  <c r="AG45" i="15" s="1"/>
  <c r="F45" i="15"/>
  <c r="AF45" i="15" s="1"/>
  <c r="F40" i="15"/>
  <c r="G40" i="15"/>
  <c r="F31" i="15"/>
  <c r="G31" i="15"/>
  <c r="F52" i="15"/>
  <c r="AF52" i="15" s="1"/>
  <c r="G52" i="15"/>
  <c r="AG52" i="15" s="1"/>
  <c r="F30" i="15"/>
  <c r="G30" i="15"/>
  <c r="F21" i="15"/>
  <c r="G21" i="15"/>
  <c r="F22" i="15"/>
  <c r="G22" i="15"/>
  <c r="F6" i="15"/>
  <c r="G6" i="15"/>
  <c r="G34" i="15"/>
  <c r="F34" i="15"/>
  <c r="F50" i="15"/>
  <c r="AF50" i="15" s="1"/>
  <c r="G50" i="15"/>
  <c r="AG50" i="15" s="1"/>
  <c r="F27" i="15"/>
  <c r="G27" i="15"/>
  <c r="F20" i="15"/>
  <c r="G20" i="15"/>
  <c r="F47" i="15"/>
  <c r="G47" i="15"/>
  <c r="AG47" i="15" s="1"/>
  <c r="F41" i="15"/>
  <c r="AF41" i="15" s="1"/>
  <c r="G41" i="15"/>
  <c r="G17" i="15"/>
  <c r="F17" i="15"/>
  <c r="F28" i="15"/>
  <c r="G28" i="15"/>
  <c r="R42" i="10"/>
  <c r="R49" i="10"/>
  <c r="R34" i="10"/>
  <c r="R8" i="10"/>
  <c r="R15" i="10"/>
  <c r="R19" i="10"/>
  <c r="R31" i="10"/>
  <c r="R40" i="10"/>
  <c r="R41" i="10"/>
  <c r="R45" i="10"/>
  <c r="R38" i="10"/>
  <c r="R12" i="10"/>
  <c r="R25" i="10"/>
  <c r="R24" i="10"/>
  <c r="Q10" i="10"/>
  <c r="N9" i="10"/>
  <c r="Q46" i="10"/>
  <c r="N45" i="10"/>
  <c r="L45" i="10"/>
  <c r="Q17" i="10"/>
  <c r="N16" i="10"/>
  <c r="L16" i="10"/>
  <c r="L50" i="10"/>
  <c r="R51" i="10"/>
  <c r="R29" i="10"/>
  <c r="Q24" i="10"/>
  <c r="L23" i="10"/>
  <c r="N23" i="10"/>
  <c r="Q19" i="10"/>
  <c r="L18" i="10"/>
  <c r="N18" i="10"/>
  <c r="R44" i="10"/>
  <c r="Q38" i="10"/>
  <c r="L37" i="10"/>
  <c r="N37" i="10"/>
  <c r="R26" i="10"/>
  <c r="L32" i="10"/>
  <c r="Q33" i="10"/>
  <c r="N32" i="10"/>
  <c r="L8" i="10"/>
  <c r="Q9" i="10"/>
  <c r="N8" i="10"/>
  <c r="L47" i="10"/>
  <c r="N47" i="10"/>
  <c r="Q48" i="10"/>
  <c r="L42" i="10"/>
  <c r="R43" i="10"/>
  <c r="Q54" i="10"/>
  <c r="N53" i="10"/>
  <c r="L53" i="10"/>
  <c r="R46" i="10"/>
  <c r="Q18" i="10"/>
  <c r="L17" i="10"/>
  <c r="N17" i="10"/>
  <c r="R33" i="10"/>
  <c r="L49" i="10"/>
  <c r="Q50" i="10"/>
  <c r="N49" i="10"/>
  <c r="R9" i="10"/>
  <c r="R48" i="10"/>
  <c r="Q43" i="10"/>
  <c r="N42" i="10"/>
  <c r="L13" i="10"/>
  <c r="Q14" i="10"/>
  <c r="N13" i="10"/>
  <c r="Q29" i="10"/>
  <c r="N28" i="10"/>
  <c r="L28" i="10"/>
  <c r="R50" i="10"/>
  <c r="N20" i="10"/>
  <c r="Q21" i="10"/>
  <c r="L20" i="10"/>
  <c r="N26" i="10"/>
  <c r="R27" i="10"/>
  <c r="Q37" i="10"/>
  <c r="L36" i="10"/>
  <c r="N36" i="10"/>
  <c r="Q35" i="10"/>
  <c r="N34" i="10"/>
  <c r="R14" i="10"/>
  <c r="N43" i="10"/>
  <c r="Q44" i="10"/>
  <c r="L43" i="10"/>
  <c r="N25" i="10"/>
  <c r="Q26" i="10"/>
  <c r="L25" i="10"/>
  <c r="N30" i="10"/>
  <c r="Q31" i="10"/>
  <c r="L30" i="10"/>
  <c r="L22" i="10"/>
  <c r="Q23" i="10"/>
  <c r="N22" i="10"/>
  <c r="R39" i="10"/>
  <c r="R21" i="10"/>
  <c r="Q27" i="10"/>
  <c r="L26" i="10"/>
  <c r="R37" i="10"/>
  <c r="L34" i="10"/>
  <c r="R35" i="10"/>
  <c r="Q40" i="10"/>
  <c r="N39" i="10"/>
  <c r="L39" i="10"/>
  <c r="N6" i="10"/>
  <c r="Q7" i="10"/>
  <c r="L6" i="10"/>
  <c r="Q30" i="10"/>
  <c r="N29" i="10"/>
  <c r="L29" i="10"/>
  <c r="L40" i="10"/>
  <c r="Q41" i="10"/>
  <c r="N40" i="10"/>
  <c r="L5" i="10"/>
  <c r="Q6" i="10"/>
  <c r="N5" i="10"/>
  <c r="Q5" i="10"/>
  <c r="Q53" i="10"/>
  <c r="N52" i="10"/>
  <c r="L52" i="10"/>
  <c r="Q25" i="10"/>
  <c r="L24" i="10"/>
  <c r="N24" i="10"/>
  <c r="R7" i="10"/>
  <c r="R11" i="10"/>
  <c r="L11" i="10"/>
  <c r="Q12" i="10"/>
  <c r="N11" i="10"/>
  <c r="N38" i="10"/>
  <c r="Q39" i="10"/>
  <c r="L38" i="10"/>
  <c r="N15" i="10"/>
  <c r="Q16" i="10"/>
  <c r="L15" i="10"/>
  <c r="Q20" i="10"/>
  <c r="N19" i="10"/>
  <c r="L19" i="10"/>
  <c r="R18" i="10"/>
  <c r="R23" i="10"/>
  <c r="Q34" i="10"/>
  <c r="L33" i="10"/>
  <c r="N33" i="10"/>
  <c r="Q28" i="10"/>
  <c r="N27" i="10"/>
  <c r="L27" i="10"/>
  <c r="Q8" i="10"/>
  <c r="N7" i="10"/>
  <c r="L7" i="10"/>
  <c r="R28" i="10"/>
  <c r="R30" i="10"/>
  <c r="R47" i="10"/>
  <c r="N14" i="10"/>
  <c r="Q15" i="10"/>
  <c r="L14" i="10"/>
  <c r="R5" i="10"/>
  <c r="R6" i="10"/>
  <c r="N51" i="10"/>
  <c r="Q52" i="10"/>
  <c r="L51" i="10"/>
  <c r="Q11" i="10"/>
  <c r="N10" i="10"/>
  <c r="L10" i="10"/>
  <c r="Q36" i="10"/>
  <c r="N35" i="10"/>
  <c r="L35" i="10"/>
  <c r="R16" i="10"/>
  <c r="Q32" i="10"/>
  <c r="L31" i="10"/>
  <c r="N31" i="10"/>
  <c r="N21" i="10"/>
  <c r="Q22" i="10"/>
  <c r="L21" i="10"/>
  <c r="R20" i="10"/>
  <c r="Q13" i="10"/>
  <c r="L12" i="10"/>
  <c r="N12" i="10"/>
  <c r="L41" i="10"/>
  <c r="Q42" i="10"/>
  <c r="N41" i="10"/>
  <c r="L48" i="10"/>
  <c r="N48" i="10"/>
  <c r="Q49" i="10"/>
  <c r="Q47" i="10"/>
  <c r="L46" i="10"/>
  <c r="N46" i="10"/>
  <c r="Q45" i="10"/>
  <c r="N44" i="10"/>
  <c r="L44" i="10"/>
  <c r="R17" i="10"/>
  <c r="R52" i="10"/>
  <c r="Q51" i="10"/>
  <c r="N50" i="10"/>
  <c r="R36" i="10"/>
  <c r="L9" i="10"/>
  <c r="R10" i="10"/>
  <c r="R32" i="10"/>
  <c r="R22" i="10"/>
  <c r="R13" i="10"/>
  <c r="O52" i="10" l="1"/>
  <c r="H9" i="15"/>
  <c r="I7" i="15"/>
  <c r="O31" i="10"/>
  <c r="O13" i="10"/>
  <c r="O53" i="10"/>
  <c r="O54" i="10"/>
  <c r="O16" i="10"/>
  <c r="O10" i="10"/>
  <c r="O15" i="10"/>
  <c r="O22" i="10"/>
  <c r="O20" i="10"/>
  <c r="O12" i="10"/>
  <c r="O7" i="10"/>
  <c r="O48" i="10"/>
  <c r="O29" i="10"/>
  <c r="O45" i="10"/>
  <c r="O42" i="10"/>
  <c r="O32" i="10"/>
  <c r="O50" i="10"/>
  <c r="O27" i="10"/>
  <c r="O14" i="10"/>
  <c r="O17" i="10"/>
  <c r="O25" i="10"/>
  <c r="O44" i="10"/>
  <c r="O24" i="10"/>
  <c r="O47" i="10"/>
  <c r="O9" i="10"/>
  <c r="O41" i="10"/>
  <c r="O35" i="10"/>
  <c r="O51" i="10"/>
  <c r="O33" i="10"/>
  <c r="O19" i="10"/>
  <c r="O38" i="10"/>
  <c r="O28" i="10"/>
  <c r="O23" i="10"/>
  <c r="O39" i="10"/>
  <c r="O34" i="10"/>
  <c r="O36" i="10"/>
  <c r="O18" i="10"/>
  <c r="O46" i="10"/>
  <c r="O21" i="10"/>
  <c r="O11" i="10"/>
  <c r="O40" i="10"/>
  <c r="O6" i="10"/>
  <c r="O30" i="10"/>
  <c r="O43" i="10"/>
  <c r="O26" i="10"/>
  <c r="O49" i="10"/>
  <c r="O8" i="10"/>
  <c r="O37" i="10"/>
  <c r="I9" i="15"/>
  <c r="H46" i="15"/>
  <c r="AF47" i="15"/>
  <c r="I40" i="15"/>
  <c r="AG41" i="15"/>
  <c r="I26" i="15"/>
  <c r="I21" i="15"/>
  <c r="I43" i="15"/>
  <c r="AG44" i="15"/>
  <c r="H43" i="15"/>
  <c r="AF44" i="15"/>
  <c r="I39" i="15"/>
  <c r="AG40" i="15"/>
  <c r="H39" i="15"/>
  <c r="AF40" i="15"/>
  <c r="H51" i="15"/>
  <c r="H32" i="15"/>
  <c r="H36" i="15"/>
  <c r="H23" i="15"/>
  <c r="I16" i="15"/>
  <c r="I30" i="15"/>
  <c r="H16" i="15"/>
  <c r="I19" i="15"/>
  <c r="H35" i="15"/>
  <c r="H14" i="15"/>
  <c r="H11" i="15"/>
  <c r="H28" i="15"/>
  <c r="I35" i="15"/>
  <c r="H30" i="15"/>
  <c r="I49" i="15"/>
  <c r="H47" i="15"/>
  <c r="I45" i="15"/>
  <c r="H49" i="15"/>
  <c r="H20" i="15"/>
  <c r="H25" i="15"/>
  <c r="I47" i="15"/>
  <c r="H38" i="15"/>
  <c r="H41" i="15"/>
  <c r="I25" i="15"/>
  <c r="I38" i="15"/>
  <c r="I27" i="15"/>
  <c r="I46" i="15"/>
  <c r="I18" i="15"/>
  <c r="I32" i="15"/>
  <c r="I36" i="15"/>
  <c r="I14" i="15"/>
  <c r="I23" i="15"/>
  <c r="I28" i="15"/>
  <c r="I12" i="15"/>
  <c r="H12" i="15"/>
  <c r="H40" i="15"/>
  <c r="H13" i="15"/>
  <c r="I31" i="15"/>
  <c r="I6" i="15"/>
  <c r="I37" i="15"/>
  <c r="I8" i="15"/>
  <c r="H26" i="15"/>
  <c r="H21" i="15"/>
  <c r="I13" i="15"/>
  <c r="H31" i="15"/>
  <c r="H6" i="15"/>
  <c r="H37" i="15"/>
  <c r="H8" i="15"/>
  <c r="I20" i="15"/>
  <c r="I41" i="15"/>
  <c r="I51" i="15"/>
  <c r="I50" i="15"/>
  <c r="I22" i="15"/>
  <c r="I42" i="15"/>
  <c r="H50" i="15"/>
  <c r="H22" i="15"/>
  <c r="H42" i="15"/>
  <c r="H45" i="15"/>
  <c r="H27" i="15"/>
  <c r="H34" i="15"/>
  <c r="H33" i="15"/>
  <c r="I29" i="15"/>
  <c r="H44" i="15"/>
  <c r="I34" i="15"/>
  <c r="I15" i="15"/>
  <c r="H19" i="15"/>
  <c r="H18" i="15"/>
  <c r="I11" i="15"/>
  <c r="I10" i="15"/>
  <c r="H48" i="15"/>
  <c r="H52" i="15"/>
  <c r="H53" i="15"/>
  <c r="I24" i="15"/>
  <c r="I17" i="15"/>
  <c r="I33" i="15"/>
  <c r="H29" i="15"/>
  <c r="I44" i="15"/>
  <c r="H15" i="15"/>
  <c r="H10" i="15"/>
  <c r="I48" i="15"/>
  <c r="I52" i="15"/>
  <c r="I53" i="15"/>
  <c r="H24" i="15"/>
  <c r="H17" i="15"/>
  <c r="M21" i="10"/>
  <c r="T22" i="10"/>
  <c r="M19" i="10"/>
  <c r="T20" i="10"/>
  <c r="M38" i="10"/>
  <c r="T39" i="10"/>
  <c r="M34" i="10"/>
  <c r="T35" i="10"/>
  <c r="M42" i="10"/>
  <c r="T43" i="10"/>
  <c r="M6" i="10"/>
  <c r="T7" i="10"/>
  <c r="M22" i="10"/>
  <c r="T23" i="10"/>
  <c r="M36" i="10"/>
  <c r="T37" i="10"/>
  <c r="M17" i="10"/>
  <c r="T18" i="10"/>
  <c r="M45" i="10"/>
  <c r="T46" i="10"/>
  <c r="M9" i="10"/>
  <c r="T10" i="10"/>
  <c r="M46" i="10"/>
  <c r="T47" i="10"/>
  <c r="M41" i="10"/>
  <c r="T42" i="10"/>
  <c r="M33" i="10"/>
  <c r="T34" i="10"/>
  <c r="M24" i="10"/>
  <c r="T25" i="10"/>
  <c r="M5" i="10"/>
  <c r="T5" i="10"/>
  <c r="T6" i="10"/>
  <c r="M26" i="10"/>
  <c r="T27" i="10"/>
  <c r="M30" i="10"/>
  <c r="T31" i="10"/>
  <c r="M43" i="10"/>
  <c r="T44" i="10"/>
  <c r="M28" i="10"/>
  <c r="T29" i="10"/>
  <c r="M32" i="10"/>
  <c r="T33" i="10"/>
  <c r="M18" i="10"/>
  <c r="T19" i="10"/>
  <c r="M31" i="10"/>
  <c r="T32" i="10"/>
  <c r="M10" i="10"/>
  <c r="T11" i="10"/>
  <c r="M7" i="10"/>
  <c r="T8" i="10"/>
  <c r="M47" i="10"/>
  <c r="T48" i="10"/>
  <c r="M35" i="10"/>
  <c r="T36" i="10"/>
  <c r="M15" i="10"/>
  <c r="T16" i="10"/>
  <c r="M52" i="10"/>
  <c r="T53" i="10"/>
  <c r="M39" i="10"/>
  <c r="T40" i="10"/>
  <c r="M53" i="10"/>
  <c r="T54" i="10"/>
  <c r="M12" i="10"/>
  <c r="T13" i="10"/>
  <c r="M44" i="10"/>
  <c r="T45" i="10"/>
  <c r="M11" i="10"/>
  <c r="T12" i="10"/>
  <c r="M40" i="10"/>
  <c r="T41" i="10"/>
  <c r="M20" i="10"/>
  <c r="T21" i="10"/>
  <c r="M23" i="10"/>
  <c r="T24" i="10"/>
  <c r="M50" i="10"/>
  <c r="T51" i="10"/>
  <c r="M14" i="10"/>
  <c r="T15" i="10"/>
  <c r="M48" i="10"/>
  <c r="T49" i="10"/>
  <c r="M51" i="10"/>
  <c r="T52" i="10"/>
  <c r="M27" i="10"/>
  <c r="T28" i="10"/>
  <c r="M29" i="10"/>
  <c r="T30" i="10"/>
  <c r="M49" i="10"/>
  <c r="T50" i="10"/>
  <c r="M8" i="10"/>
  <c r="T9" i="10"/>
  <c r="M37" i="10"/>
  <c r="T38" i="10"/>
  <c r="M16" i="10"/>
  <c r="T17" i="10"/>
  <c r="M25" i="10"/>
  <c r="T26" i="10"/>
  <c r="M13" i="10"/>
  <c r="T14" i="10"/>
  <c r="E54" i="10" l="1"/>
  <c r="D54" i="14"/>
  <c r="G54" i="14" l="1"/>
  <c r="I54" i="14" s="1"/>
  <c r="L54" i="14"/>
  <c r="M54" i="14"/>
  <c r="E55" i="10"/>
  <c r="D55" i="14"/>
  <c r="G55" i="14" l="1"/>
  <c r="L55" i="14"/>
  <c r="M55" i="14"/>
  <c r="K54" i="14"/>
  <c r="AD54" i="14" s="1"/>
  <c r="K55" i="14"/>
  <c r="I55" i="14"/>
  <c r="J55" i="15"/>
  <c r="E56" i="10"/>
  <c r="D56" i="14"/>
  <c r="G56" i="14" l="1"/>
  <c r="I56" i="14" s="1"/>
  <c r="L56" i="14"/>
  <c r="M56" i="14"/>
  <c r="AD55" i="14"/>
  <c r="P55" i="10" a="1"/>
  <c r="P55" i="10" s="1"/>
  <c r="E57" i="10"/>
  <c r="P56" i="10" s="1" a="1"/>
  <c r="P56" i="10" s="1"/>
  <c r="D57" i="14"/>
  <c r="G57" i="14" l="1"/>
  <c r="I57" i="14" s="1"/>
  <c r="L57" i="14"/>
  <c r="M57" i="14"/>
  <c r="K56" i="14"/>
  <c r="J56" i="15"/>
  <c r="E58" i="10"/>
  <c r="D58" i="14"/>
  <c r="K57" i="14" l="1"/>
  <c r="G58" i="14"/>
  <c r="K58" i="14" s="1"/>
  <c r="L58" i="14"/>
  <c r="M58" i="14"/>
  <c r="P57" i="10" a="1"/>
  <c r="P57" i="10" s="1"/>
  <c r="J57" i="15"/>
  <c r="E59" i="10"/>
  <c r="D59" i="14"/>
  <c r="G59" i="14" l="1"/>
  <c r="K59" i="14" s="1"/>
  <c r="L59" i="14"/>
  <c r="M59" i="14"/>
  <c r="I58" i="14"/>
  <c r="J58" i="15"/>
  <c r="E60" i="10"/>
  <c r="D60" i="14"/>
  <c r="P58" i="10" a="1"/>
  <c r="P58" i="10" s="1"/>
  <c r="I59" i="14" l="1"/>
  <c r="G60" i="14"/>
  <c r="I60" i="14" s="1"/>
  <c r="L60" i="14"/>
  <c r="M60" i="14"/>
  <c r="J59" i="15"/>
  <c r="E61" i="10"/>
  <c r="D61" i="14"/>
  <c r="P59" i="10" a="1"/>
  <c r="P59" i="10" s="1"/>
  <c r="K60" i="14" l="1"/>
  <c r="G61" i="14"/>
  <c r="I61" i="14" s="1"/>
  <c r="L61" i="14"/>
  <c r="M61" i="14"/>
  <c r="J60" i="15"/>
  <c r="E62" i="10"/>
  <c r="J61" i="15" s="1"/>
  <c r="D62" i="14"/>
  <c r="P60" i="10" a="1"/>
  <c r="P60" i="10" s="1"/>
  <c r="K61" i="14" l="1"/>
  <c r="G62" i="14"/>
  <c r="I62" i="14" s="1"/>
  <c r="L62" i="14"/>
  <c r="M62" i="14"/>
  <c r="E63" i="10"/>
  <c r="D63" i="14"/>
  <c r="P61" i="10" a="1"/>
  <c r="P61" i="10" s="1"/>
  <c r="K62" i="14" l="1"/>
  <c r="G63" i="14"/>
  <c r="I63" i="14" s="1"/>
  <c r="L63" i="14"/>
  <c r="M63" i="14"/>
  <c r="J62" i="15"/>
  <c r="E64" i="10"/>
  <c r="J63" i="15" s="1"/>
  <c r="D64" i="14"/>
  <c r="P62" i="10" a="1"/>
  <c r="P62" i="10" s="1"/>
  <c r="G64" i="14" l="1"/>
  <c r="K64" i="14" s="1"/>
  <c r="L64" i="14"/>
  <c r="M64" i="14"/>
  <c r="K63" i="14"/>
  <c r="E65" i="10"/>
  <c r="J64" i="15" s="1"/>
  <c r="D65" i="14"/>
  <c r="P63" i="10" a="1"/>
  <c r="P63" i="10" s="1"/>
  <c r="I64" i="14" l="1"/>
  <c r="G65" i="14"/>
  <c r="K65" i="14" s="1"/>
  <c r="L65" i="14"/>
  <c r="M65" i="14"/>
  <c r="E66" i="10"/>
  <c r="D66" i="14"/>
  <c r="P64" i="10" a="1"/>
  <c r="P64" i="10" s="1"/>
  <c r="G66" i="14" l="1"/>
  <c r="L66" i="14"/>
  <c r="M66" i="14"/>
  <c r="I65" i="14"/>
  <c r="K66" i="14"/>
  <c r="I66" i="14"/>
  <c r="P65" i="10" a="1"/>
  <c r="P65" i="10" s="1"/>
  <c r="J65" i="15"/>
  <c r="E67" i="10"/>
  <c r="J66" i="15" s="1"/>
  <c r="D67" i="14"/>
  <c r="AF66" i="14" l="1"/>
  <c r="G67" i="14"/>
  <c r="K67" i="14" s="1"/>
  <c r="L67" i="14"/>
  <c r="M67" i="14"/>
  <c r="E68" i="10"/>
  <c r="D68" i="14"/>
  <c r="P66" i="10" a="1"/>
  <c r="P66" i="10" s="1"/>
  <c r="I67" i="14" l="1"/>
  <c r="AF67" i="14" s="1"/>
  <c r="G68" i="14"/>
  <c r="I68" i="14" s="1"/>
  <c r="L68" i="14"/>
  <c r="M68" i="14"/>
  <c r="J67" i="15"/>
  <c r="E69" i="10"/>
  <c r="J68" i="15" s="1"/>
  <c r="D69" i="14"/>
  <c r="P67" i="10" a="1"/>
  <c r="P67" i="10" s="1"/>
  <c r="G69" i="14" l="1"/>
  <c r="K69" i="14" s="1"/>
  <c r="L69" i="14"/>
  <c r="M69" i="14"/>
  <c r="K68" i="14"/>
  <c r="AF68" i="14" s="1"/>
  <c r="E70" i="10"/>
  <c r="D70" i="14"/>
  <c r="P68" i="10" a="1"/>
  <c r="P68" i="10" s="1"/>
  <c r="I69" i="14" l="1"/>
  <c r="AF69" i="14" s="1"/>
  <c r="J69" i="15"/>
  <c r="G70" i="14"/>
  <c r="I70" i="14" s="1"/>
  <c r="L70" i="14"/>
  <c r="M70" i="14"/>
  <c r="E71" i="10"/>
  <c r="J70" i="15" s="1"/>
  <c r="D71" i="14"/>
  <c r="P69" i="10" a="1"/>
  <c r="P69" i="10" s="1"/>
  <c r="K70" i="14" l="1"/>
  <c r="AF70" i="14" s="1"/>
  <c r="G71" i="14"/>
  <c r="I71" i="14" s="1"/>
  <c r="L71" i="14"/>
  <c r="M71" i="14"/>
  <c r="P70" i="10" a="1"/>
  <c r="P70" i="10" s="1"/>
  <c r="E72" i="10"/>
  <c r="D72" i="14"/>
  <c r="J71" i="15" l="1"/>
  <c r="K71" i="14"/>
  <c r="AF71" i="14" s="1"/>
  <c r="E73" i="10"/>
  <c r="J72" i="15" s="1"/>
  <c r="D73" i="14"/>
  <c r="P71" i="10" a="1"/>
  <c r="P71" i="10" s="1"/>
  <c r="G72" i="14"/>
  <c r="I72" i="14" s="1"/>
  <c r="L72" i="14"/>
  <c r="M72" i="14"/>
  <c r="K72" i="14" l="1"/>
  <c r="AF72" i="14" s="1"/>
  <c r="P72" i="10" a="1"/>
  <c r="P72" i="10" s="1"/>
  <c r="G73" i="14"/>
  <c r="I73" i="14" s="1"/>
  <c r="L73" i="14"/>
  <c r="M73" i="14"/>
  <c r="E74" i="10"/>
  <c r="J73" i="15" s="1"/>
  <c r="D74" i="14"/>
  <c r="P73" i="10" l="1" a="1"/>
  <c r="P73" i="10" s="1"/>
  <c r="K73" i="14"/>
  <c r="AF73" i="14" s="1"/>
  <c r="E75" i="10"/>
  <c r="D75" i="14"/>
  <c r="G74" i="14"/>
  <c r="I74" i="14" s="1"/>
  <c r="L74" i="14"/>
  <c r="M74" i="14"/>
  <c r="K74" i="14" l="1"/>
  <c r="AF74" i="14" s="1"/>
  <c r="J74" i="15"/>
  <c r="G75" i="14"/>
  <c r="I75" i="14" s="1"/>
  <c r="L75" i="14"/>
  <c r="M75" i="14"/>
  <c r="E76" i="10"/>
  <c r="J75" i="15" s="1"/>
  <c r="D76" i="14"/>
  <c r="P74" i="10" a="1"/>
  <c r="P74" i="10" s="1"/>
  <c r="K75" i="14" l="1"/>
  <c r="AF75" i="14" s="1"/>
  <c r="G76" i="14"/>
  <c r="I76" i="14" s="1"/>
  <c r="L76" i="14"/>
  <c r="M76" i="14"/>
  <c r="P75" i="10" a="1"/>
  <c r="P75" i="10" s="1"/>
  <c r="E77" i="10"/>
  <c r="J76" i="15" s="1"/>
  <c r="D77" i="14"/>
  <c r="P76" i="10" l="1" a="1"/>
  <c r="P76" i="10" s="1"/>
  <c r="K76" i="14"/>
  <c r="AF76" i="14" s="1"/>
  <c r="E78" i="10"/>
  <c r="D78" i="14"/>
  <c r="G77" i="14"/>
  <c r="I77" i="14" s="1"/>
  <c r="L77" i="14"/>
  <c r="M77" i="14"/>
  <c r="J77" i="15" l="1"/>
  <c r="E79" i="10"/>
  <c r="D79" i="14"/>
  <c r="G78" i="14"/>
  <c r="I78" i="14" s="1"/>
  <c r="L78" i="14"/>
  <c r="M78" i="14"/>
  <c r="K77" i="14"/>
  <c r="AF77" i="14" s="1"/>
  <c r="P77" i="10" a="1"/>
  <c r="P77" i="10" s="1"/>
  <c r="J78" i="15" l="1"/>
  <c r="K78" i="14"/>
  <c r="AF78" i="14" s="1"/>
  <c r="E80" i="10"/>
  <c r="D80" i="14"/>
  <c r="G79" i="14"/>
  <c r="I79" i="14" s="1"/>
  <c r="L79" i="14"/>
  <c r="M79" i="14"/>
  <c r="P78" i="10" a="1"/>
  <c r="P78" i="10" s="1"/>
  <c r="K79" i="14" l="1"/>
  <c r="AF79" i="14" s="1"/>
  <c r="P79" i="10" a="1"/>
  <c r="P79" i="10" s="1"/>
  <c r="J79" i="15"/>
  <c r="G80" i="14"/>
  <c r="I80" i="14" s="1"/>
  <c r="L80" i="14"/>
  <c r="M80" i="14"/>
  <c r="E81" i="10"/>
  <c r="D81" i="14"/>
  <c r="J80" i="15" l="1"/>
  <c r="K80" i="14"/>
  <c r="AF80" i="14" s="1"/>
  <c r="P80" i="10" a="1"/>
  <c r="P80" i="10" s="1"/>
  <c r="G81" i="14"/>
  <c r="I81" i="14" s="1"/>
  <c r="L81" i="14"/>
  <c r="M81" i="14"/>
  <c r="E82" i="10"/>
  <c r="J81" i="15" s="1"/>
  <c r="D82" i="14"/>
  <c r="K81" i="14" l="1"/>
  <c r="AF81" i="14" s="1"/>
  <c r="P81" i="10" a="1"/>
  <c r="P81" i="10" s="1"/>
  <c r="G82" i="14"/>
  <c r="I82" i="14" s="1"/>
  <c r="L82" i="14"/>
  <c r="M82" i="14"/>
  <c r="E83" i="10"/>
  <c r="J82" i="15" s="1"/>
  <c r="D83" i="14"/>
  <c r="P82" i="10" l="1" a="1"/>
  <c r="P82" i="10" s="1"/>
  <c r="K82" i="14"/>
  <c r="AF82" i="14" s="1"/>
  <c r="G83" i="14"/>
  <c r="I83" i="14" s="1"/>
  <c r="L83" i="14"/>
  <c r="M83" i="14"/>
  <c r="E84" i="10"/>
  <c r="D84" i="14"/>
  <c r="J83" i="15" l="1"/>
  <c r="G84" i="14"/>
  <c r="I84" i="14" s="1"/>
  <c r="L84" i="14"/>
  <c r="M84" i="14"/>
  <c r="K83" i="14"/>
  <c r="AF83" i="14" s="1"/>
  <c r="E85" i="10"/>
  <c r="D85" i="14"/>
  <c r="P83" i="10" a="1"/>
  <c r="P83" i="10" s="1"/>
  <c r="J84" i="15" l="1"/>
  <c r="K84" i="14"/>
  <c r="AF84" i="14" s="1"/>
  <c r="G85" i="14"/>
  <c r="I85" i="14" s="1"/>
  <c r="L85" i="14"/>
  <c r="M85" i="14"/>
  <c r="P84" i="10" a="1"/>
  <c r="P84" i="10" s="1"/>
  <c r="E86" i="10"/>
  <c r="J85" i="15" s="1"/>
  <c r="D86" i="14"/>
  <c r="K85" i="14" l="1"/>
  <c r="AF85" i="14" s="1"/>
  <c r="G86" i="14"/>
  <c r="I86" i="14" s="1"/>
  <c r="L86" i="14"/>
  <c r="M86" i="14"/>
  <c r="E87" i="10"/>
  <c r="D87" i="14"/>
  <c r="P85" i="10" a="1"/>
  <c r="P85" i="10" s="1"/>
  <c r="K86" i="14" l="1"/>
  <c r="AF86" i="14" s="1"/>
  <c r="J86" i="15"/>
  <c r="G87" i="14"/>
  <c r="I87" i="14" s="1"/>
  <c r="L87" i="14"/>
  <c r="M87" i="14"/>
  <c r="P86" i="10" a="1"/>
  <c r="P86" i="10" s="1"/>
  <c r="E88" i="10"/>
  <c r="D88" i="14"/>
  <c r="J87" i="15" l="1"/>
  <c r="K87" i="14"/>
  <c r="AF87" i="14" s="1"/>
  <c r="G88" i="14"/>
  <c r="I88" i="14" s="1"/>
  <c r="L88" i="14"/>
  <c r="P80" i="14" s="1"/>
  <c r="M88" i="14"/>
  <c r="Q80" i="14" s="1"/>
  <c r="E89" i="10"/>
  <c r="D89" i="14"/>
  <c r="P87" i="10" a="1"/>
  <c r="P87" i="10" s="1"/>
  <c r="J88" i="15" l="1"/>
  <c r="K88" i="14"/>
  <c r="AF88" i="14" s="1"/>
  <c r="R80" i="14"/>
  <c r="G89" i="14"/>
  <c r="I89" i="14" s="1"/>
  <c r="L89" i="14"/>
  <c r="M89" i="14"/>
  <c r="E90" i="10"/>
  <c r="D90" i="14"/>
  <c r="P88" i="10" a="1"/>
  <c r="P88" i="10" s="1"/>
  <c r="K89" i="14" l="1"/>
  <c r="AF89" i="14" s="1"/>
  <c r="J89" i="15"/>
  <c r="G90" i="14"/>
  <c r="I90" i="14" s="1"/>
  <c r="L90" i="14"/>
  <c r="M90" i="14"/>
  <c r="E91" i="10"/>
  <c r="D91" i="14"/>
  <c r="P89" i="10" a="1"/>
  <c r="P89" i="10" s="1"/>
  <c r="P90" i="10" l="1" a="1"/>
  <c r="P90" i="10" s="1"/>
  <c r="J90" i="15"/>
  <c r="K90" i="14"/>
  <c r="AF90" i="14" s="1"/>
  <c r="G91" i="14"/>
  <c r="I91" i="14" s="1"/>
  <c r="L91" i="14"/>
  <c r="M91" i="14"/>
  <c r="E92" i="10"/>
  <c r="J91" i="15" s="1"/>
  <c r="D92" i="14"/>
  <c r="K91" i="14" l="1"/>
  <c r="AF91" i="14" s="1"/>
  <c r="P91" i="10" a="1"/>
  <c r="P91" i="10" s="1"/>
  <c r="G92" i="14"/>
  <c r="I92" i="14" s="1"/>
  <c r="L92" i="14"/>
  <c r="M92" i="14"/>
  <c r="E93" i="10"/>
  <c r="D93" i="14"/>
  <c r="J92" i="15" l="1"/>
  <c r="K92" i="14"/>
  <c r="AF92" i="14" s="1"/>
  <c r="P92" i="10" a="1"/>
  <c r="P92" i="10" s="1"/>
  <c r="E94" i="10"/>
  <c r="D94" i="14"/>
  <c r="G93" i="14"/>
  <c r="I93" i="14" s="1"/>
  <c r="L93" i="14"/>
  <c r="M93" i="14"/>
  <c r="K93" i="14" l="1"/>
  <c r="AF93" i="14" s="1"/>
  <c r="J93" i="15"/>
  <c r="G94" i="14"/>
  <c r="I94" i="14" s="1"/>
  <c r="L94" i="14"/>
  <c r="M94" i="14"/>
  <c r="E95" i="10"/>
  <c r="J94" i="15" s="1"/>
  <c r="D95" i="14"/>
  <c r="P93" i="10" a="1"/>
  <c r="P93" i="10" s="1"/>
  <c r="K94" i="14" l="1"/>
  <c r="AF94" i="14" s="1"/>
  <c r="E96" i="10"/>
  <c r="D96" i="14"/>
  <c r="P94" i="10" a="1"/>
  <c r="P94" i="10" s="1"/>
  <c r="G95" i="14"/>
  <c r="I95" i="14" s="1"/>
  <c r="L95" i="14"/>
  <c r="M95" i="14"/>
  <c r="K95" i="14" l="1"/>
  <c r="AF95" i="14" s="1"/>
  <c r="J95" i="15"/>
  <c r="P95" i="10" a="1"/>
  <c r="P95" i="10" s="1"/>
  <c r="G96" i="14"/>
  <c r="I96" i="14" s="1"/>
  <c r="L96" i="14"/>
  <c r="M96" i="14"/>
  <c r="E97" i="10"/>
  <c r="D97" i="14"/>
  <c r="P96" i="10" l="1" a="1"/>
  <c r="P96" i="10" s="1"/>
  <c r="J96" i="15"/>
  <c r="K96" i="14"/>
  <c r="AF96" i="14" s="1"/>
  <c r="G97" i="14"/>
  <c r="I97" i="14" s="1"/>
  <c r="L97" i="14"/>
  <c r="M97" i="14"/>
  <c r="E98" i="10"/>
  <c r="D98" i="14"/>
  <c r="K97" i="14" l="1"/>
  <c r="AF97" i="14" s="1"/>
  <c r="P97" i="10" a="1"/>
  <c r="P97" i="10" s="1"/>
  <c r="J97" i="15"/>
  <c r="E99" i="10"/>
  <c r="D99" i="14"/>
  <c r="G98" i="14"/>
  <c r="I98" i="14" s="1"/>
  <c r="L98" i="14"/>
  <c r="P95" i="14" s="1"/>
  <c r="M98" i="14"/>
  <c r="Q95" i="14" s="1"/>
  <c r="J98" i="15" l="1"/>
  <c r="R95" i="14"/>
  <c r="R98" i="14" s="1"/>
  <c r="K98" i="14"/>
  <c r="AF98" i="14" s="1"/>
  <c r="E100" i="10"/>
  <c r="J99" i="15" s="1"/>
  <c r="D100" i="14"/>
  <c r="G99" i="14"/>
  <c r="I99" i="14" s="1"/>
  <c r="L99" i="14"/>
  <c r="M99" i="14"/>
  <c r="P98" i="10" a="1"/>
  <c r="P98" i="10" s="1"/>
  <c r="K99" i="14" l="1"/>
  <c r="AF99" i="14" s="1"/>
  <c r="E101" i="10"/>
  <c r="J100" i="15" s="1"/>
  <c r="D101" i="14"/>
  <c r="G100" i="14"/>
  <c r="I100" i="14" s="1"/>
  <c r="L100" i="14"/>
  <c r="M100" i="14"/>
  <c r="P99" i="10" a="1"/>
  <c r="P99" i="10" s="1"/>
  <c r="K100" i="14" l="1"/>
  <c r="AF100" i="14" s="1"/>
  <c r="P100" i="10" a="1"/>
  <c r="P100" i="10" s="1"/>
  <c r="E102" i="10"/>
  <c r="D102" i="14"/>
  <c r="G101" i="14"/>
  <c r="I101" i="14" s="1"/>
  <c r="L101" i="14"/>
  <c r="M101" i="14"/>
  <c r="J101" i="15" l="1"/>
  <c r="K101" i="14"/>
  <c r="AF101" i="14" s="1"/>
  <c r="E103" i="10"/>
  <c r="D103" i="14"/>
  <c r="G103" i="14" s="1"/>
  <c r="G102" i="14"/>
  <c r="I102" i="14" s="1"/>
  <c r="L102" i="14"/>
  <c r="M102" i="14"/>
  <c r="P101" i="10" a="1"/>
  <c r="P101" i="10" s="1"/>
  <c r="K102" i="14" l="1"/>
  <c r="AF102" i="14" s="1"/>
  <c r="J102" i="15"/>
  <c r="E104" i="10"/>
  <c r="D104" i="14"/>
  <c r="G104" i="14" s="1"/>
  <c r="E105" i="10"/>
  <c r="D105" i="14"/>
  <c r="P102" i="10" a="1"/>
  <c r="P102" i="10" s="1"/>
  <c r="J105" i="15" l="1"/>
  <c r="P104" i="10" a="1"/>
  <c r="P104" i="10" s="1"/>
  <c r="J103" i="15"/>
  <c r="J104" i="15"/>
  <c r="P105" i="10" a="1"/>
  <c r="P105" i="10" s="1"/>
  <c r="P103" i="10" a="1"/>
  <c r="P103" i="10" s="1"/>
  <c r="E2" i="10" l="1"/>
  <c r="D2" i="14"/>
  <c r="E3" i="10" l="1"/>
  <c r="D3" i="14"/>
  <c r="P2" i="10"/>
  <c r="E4" i="10" l="1"/>
  <c r="D4" i="14"/>
  <c r="E5" i="10" l="1"/>
  <c r="D5" i="14"/>
  <c r="P3" i="10" a="1"/>
  <c r="P3" i="10" s="1"/>
  <c r="G5" i="14" l="1"/>
  <c r="I5" i="14" s="1"/>
  <c r="L5" i="14"/>
  <c r="M5" i="14"/>
  <c r="K5" i="14"/>
  <c r="E6" i="10"/>
  <c r="D6" i="14"/>
  <c r="P4" i="10" a="1"/>
  <c r="P4" i="10" s="1"/>
  <c r="L6" i="14" l="1"/>
  <c r="G6" i="14"/>
  <c r="I6" i="14" s="1"/>
  <c r="M6" i="14"/>
  <c r="P5" i="10" a="1"/>
  <c r="P5" i="10" s="1"/>
  <c r="E7" i="10"/>
  <c r="J6" i="15" s="1"/>
  <c r="D7" i="14"/>
  <c r="K6" i="14" l="1"/>
  <c r="AD6" i="14" s="1"/>
  <c r="L7" i="14"/>
  <c r="G7" i="14"/>
  <c r="I7" i="14" s="1"/>
  <c r="M7" i="14"/>
  <c r="E8" i="10"/>
  <c r="J7" i="15" s="1"/>
  <c r="D8" i="14"/>
  <c r="P6" i="10" a="1"/>
  <c r="P6" i="10" s="1"/>
  <c r="K7" i="14" l="1"/>
  <c r="AD7" i="14" s="1"/>
  <c r="L8" i="14"/>
  <c r="G8" i="14"/>
  <c r="M8" i="14"/>
  <c r="E9" i="10"/>
  <c r="J8" i="15" s="1"/>
  <c r="D9" i="14"/>
  <c r="P7" i="10" a="1"/>
  <c r="P7" i="10" s="1"/>
  <c r="K8" i="14" l="1"/>
  <c r="I8" i="14"/>
  <c r="L9" i="14"/>
  <c r="G9" i="14"/>
  <c r="I9" i="14" s="1"/>
  <c r="M9" i="14"/>
  <c r="E10" i="10"/>
  <c r="D10" i="14"/>
  <c r="P8" i="10" a="1"/>
  <c r="P8" i="10" s="1"/>
  <c r="AD8" i="14" l="1"/>
  <c r="G10" i="14"/>
  <c r="I10" i="14" s="1"/>
  <c r="L10" i="14"/>
  <c r="M10" i="14"/>
  <c r="K9" i="14"/>
  <c r="AD9" i="14" s="1"/>
  <c r="J9" i="15"/>
  <c r="E11" i="10"/>
  <c r="D11" i="14"/>
  <c r="P9" i="10" a="1"/>
  <c r="P9" i="10" s="1"/>
  <c r="K10" i="14" l="1"/>
  <c r="AD10" i="14" s="1"/>
  <c r="G11" i="14"/>
  <c r="I11" i="14" s="1"/>
  <c r="L11" i="14"/>
  <c r="M11" i="14"/>
  <c r="J10" i="15"/>
  <c r="E12" i="10"/>
  <c r="D12" i="14"/>
  <c r="P10" i="10" a="1"/>
  <c r="P10" i="10" s="1"/>
  <c r="G12" i="14" l="1"/>
  <c r="I12" i="14" s="1"/>
  <c r="L12" i="14"/>
  <c r="M12" i="14"/>
  <c r="K12" i="14"/>
  <c r="K11" i="14"/>
  <c r="AD11" i="14" s="1"/>
  <c r="J11" i="15"/>
  <c r="E13" i="10"/>
  <c r="J12" i="15" s="1"/>
  <c r="D13" i="14"/>
  <c r="P11" i="10" a="1"/>
  <c r="P11" i="10" s="1"/>
  <c r="AD12" i="14" l="1"/>
  <c r="G13" i="14"/>
  <c r="L13" i="14"/>
  <c r="M13" i="14"/>
  <c r="E14" i="10"/>
  <c r="D14" i="14"/>
  <c r="P12" i="10" a="1"/>
  <c r="P12" i="10" s="1"/>
  <c r="L14" i="14" l="1"/>
  <c r="G14" i="14"/>
  <c r="I14" i="14" s="1"/>
  <c r="M14" i="14"/>
  <c r="K13" i="14"/>
  <c r="I13" i="14"/>
  <c r="J13" i="15"/>
  <c r="E15" i="10"/>
  <c r="D15" i="14"/>
  <c r="P13" i="10" a="1"/>
  <c r="P13" i="10" s="1"/>
  <c r="AD13" i="14" l="1"/>
  <c r="K14" i="14"/>
  <c r="AD14" i="14" s="1"/>
  <c r="L15" i="14"/>
  <c r="G15" i="14"/>
  <c r="I15" i="14" s="1"/>
  <c r="M15" i="14"/>
  <c r="J14" i="15"/>
  <c r="E16" i="10"/>
  <c r="J15" i="15" s="1"/>
  <c r="D16" i="14"/>
  <c r="P14" i="10" a="1"/>
  <c r="P14" i="10" s="1"/>
  <c r="K15" i="14" l="1"/>
  <c r="AD15" i="14" s="1"/>
  <c r="L16" i="14"/>
  <c r="G16" i="14"/>
  <c r="M16" i="14"/>
  <c r="E17" i="10"/>
  <c r="J16" i="15" s="1"/>
  <c r="D17" i="14"/>
  <c r="P15" i="10" a="1"/>
  <c r="P15" i="10" s="1"/>
  <c r="L17" i="14" l="1"/>
  <c r="G17" i="14"/>
  <c r="M17" i="14"/>
  <c r="K16" i="14"/>
  <c r="I16" i="14"/>
  <c r="E18" i="10"/>
  <c r="D18" i="14"/>
  <c r="P16" i="10" a="1"/>
  <c r="P16" i="10" s="1"/>
  <c r="AD16" i="14" l="1"/>
  <c r="K17" i="14"/>
  <c r="I17" i="14"/>
  <c r="G18" i="14"/>
  <c r="I18" i="14" s="1"/>
  <c r="L18" i="14"/>
  <c r="M18" i="14"/>
  <c r="J17" i="15"/>
  <c r="E19" i="10"/>
  <c r="D19" i="14"/>
  <c r="P17" i="10" a="1"/>
  <c r="P17" i="10" s="1"/>
  <c r="AD17" i="14" l="1"/>
  <c r="G19" i="14"/>
  <c r="L19" i="14"/>
  <c r="M19" i="14"/>
  <c r="K18" i="14"/>
  <c r="AD18" i="14" s="1"/>
  <c r="P18" i="10" a="1"/>
  <c r="P18" i="10" s="1"/>
  <c r="J18" i="15"/>
  <c r="E20" i="10"/>
  <c r="D20" i="14"/>
  <c r="K19" i="14" l="1"/>
  <c r="I19" i="14"/>
  <c r="G20" i="14"/>
  <c r="I20" i="14" s="1"/>
  <c r="L20" i="14"/>
  <c r="M20" i="14"/>
  <c r="J19" i="15"/>
  <c r="E21" i="10"/>
  <c r="J20" i="15" s="1"/>
  <c r="D21" i="14"/>
  <c r="P19" i="10" a="1"/>
  <c r="P19" i="10" s="1"/>
  <c r="AD19" i="14" l="1"/>
  <c r="G21" i="14"/>
  <c r="L21" i="14"/>
  <c r="M21" i="14"/>
  <c r="K20" i="14"/>
  <c r="AD20" i="14" s="1"/>
  <c r="E22" i="10"/>
  <c r="J21" i="15" s="1"/>
  <c r="D22" i="14"/>
  <c r="P20" i="10" a="1"/>
  <c r="P20" i="10" s="1"/>
  <c r="L22" i="14" l="1"/>
  <c r="G22" i="14"/>
  <c r="I22" i="14" s="1"/>
  <c r="M22" i="14"/>
  <c r="K21" i="14"/>
  <c r="I21" i="14"/>
  <c r="E23" i="10"/>
  <c r="J22" i="15" s="1"/>
  <c r="D23" i="14"/>
  <c r="P21" i="10" a="1"/>
  <c r="P21" i="10" s="1"/>
  <c r="K22" i="14" l="1"/>
  <c r="AD22" i="14" s="1"/>
  <c r="AD21" i="14"/>
  <c r="L23" i="14"/>
  <c r="G23" i="14"/>
  <c r="I23" i="14" s="1"/>
  <c r="M23" i="14"/>
  <c r="E24" i="10"/>
  <c r="J23" i="15" s="1"/>
  <c r="D24" i="14"/>
  <c r="P22" i="10" a="1"/>
  <c r="P22" i="10" s="1"/>
  <c r="K23" i="14" l="1"/>
  <c r="AD23" i="14" s="1"/>
  <c r="G24" i="14"/>
  <c r="I24" i="14" s="1"/>
  <c r="L24" i="14"/>
  <c r="M24" i="14"/>
  <c r="E25" i="10"/>
  <c r="D25" i="14"/>
  <c r="P23" i="10" a="1"/>
  <c r="P23" i="10" s="1"/>
  <c r="K24" i="14" l="1"/>
  <c r="AD24" i="14" s="1"/>
  <c r="G25" i="14"/>
  <c r="L25" i="14"/>
  <c r="M25" i="14"/>
  <c r="J24" i="15"/>
  <c r="E26" i="10"/>
  <c r="J25" i="15" s="1"/>
  <c r="D26" i="14"/>
  <c r="P24" i="10" a="1"/>
  <c r="P24" i="10" s="1"/>
  <c r="L26" i="14" l="1"/>
  <c r="G26" i="14"/>
  <c r="I26" i="14" s="1"/>
  <c r="M26" i="14"/>
  <c r="K26" i="14"/>
  <c r="K25" i="14"/>
  <c r="I25" i="14"/>
  <c r="E27" i="10"/>
  <c r="J26" i="15" s="1"/>
  <c r="D27" i="14"/>
  <c r="P25" i="10" a="1"/>
  <c r="P25" i="10" s="1"/>
  <c r="AD26" i="14" l="1"/>
  <c r="AD25" i="14"/>
  <c r="G27" i="14"/>
  <c r="I27" i="14" s="1"/>
  <c r="L27" i="14"/>
  <c r="M27" i="14"/>
  <c r="E28" i="10"/>
  <c r="D28" i="14"/>
  <c r="P26" i="10" a="1"/>
  <c r="P26" i="10" s="1"/>
  <c r="K27" i="14" l="1"/>
  <c r="AD27" i="14" s="1"/>
  <c r="G28" i="14"/>
  <c r="I28" i="14" s="1"/>
  <c r="L28" i="14"/>
  <c r="M28" i="14"/>
  <c r="K28" i="14"/>
  <c r="J27" i="15"/>
  <c r="E29" i="10"/>
  <c r="J28" i="15" s="1"/>
  <c r="D29" i="14"/>
  <c r="P27" i="10" a="1"/>
  <c r="P27" i="10" s="1"/>
  <c r="AD28" i="14" l="1"/>
  <c r="G29" i="14"/>
  <c r="L29" i="14"/>
  <c r="M29" i="14"/>
  <c r="E30" i="10"/>
  <c r="J29" i="15" s="1"/>
  <c r="D30" i="14"/>
  <c r="P28" i="10" a="1"/>
  <c r="P28" i="10" s="1"/>
  <c r="L30" i="14" l="1"/>
  <c r="G30" i="14"/>
  <c r="I30" i="14" s="1"/>
  <c r="M30" i="14"/>
  <c r="K30" i="14"/>
  <c r="K29" i="14"/>
  <c r="I29" i="14"/>
  <c r="E31" i="10"/>
  <c r="J30" i="15" s="1"/>
  <c r="D31" i="14"/>
  <c r="P29" i="10" a="1"/>
  <c r="P29" i="10" s="1"/>
  <c r="AD29" i="14" l="1"/>
  <c r="AD30" i="14"/>
  <c r="L31" i="14"/>
  <c r="G31" i="14"/>
  <c r="I31" i="14" s="1"/>
  <c r="M31" i="14"/>
  <c r="P30" i="10" a="1"/>
  <c r="P30" i="10" s="1"/>
  <c r="E32" i="10"/>
  <c r="J31" i="15" s="1"/>
  <c r="D32" i="14"/>
  <c r="K31" i="14" l="1"/>
  <c r="AD31" i="14" s="1"/>
  <c r="L32" i="14"/>
  <c r="G32" i="14"/>
  <c r="M32" i="14"/>
  <c r="E33" i="10"/>
  <c r="D33" i="14"/>
  <c r="P31" i="10" a="1"/>
  <c r="P31" i="10" s="1"/>
  <c r="K32" i="14" l="1"/>
  <c r="I32" i="14"/>
  <c r="L33" i="14"/>
  <c r="G33" i="14"/>
  <c r="M33" i="14"/>
  <c r="J32" i="15"/>
  <c r="E34" i="10"/>
  <c r="D34" i="14"/>
  <c r="P32" i="10" a="1"/>
  <c r="P32" i="10" s="1"/>
  <c r="AD32" i="14" l="1"/>
  <c r="K33" i="14"/>
  <c r="I33" i="14"/>
  <c r="L34" i="14"/>
  <c r="G34" i="14"/>
  <c r="I34" i="14" s="1"/>
  <c r="M34" i="14"/>
  <c r="P33" i="10" a="1"/>
  <c r="P33" i="10" s="1"/>
  <c r="J33" i="15"/>
  <c r="E35" i="10"/>
  <c r="J34" i="15" s="1"/>
  <c r="D35" i="14"/>
  <c r="K34" i="14" l="1"/>
  <c r="AD34" i="14" s="1"/>
  <c r="G35" i="14"/>
  <c r="I35" i="14" s="1"/>
  <c r="L35" i="14"/>
  <c r="M35" i="14"/>
  <c r="AD33" i="14"/>
  <c r="E36" i="10"/>
  <c r="D36" i="14"/>
  <c r="P34" i="10" a="1"/>
  <c r="P34" i="10" s="1"/>
  <c r="K35" i="14" l="1"/>
  <c r="AD35" i="14" s="1"/>
  <c r="G36" i="14"/>
  <c r="I36" i="14" s="1"/>
  <c r="L36" i="14"/>
  <c r="M36" i="14"/>
  <c r="J35" i="15"/>
  <c r="E37" i="10"/>
  <c r="J36" i="15" s="1"/>
  <c r="D37" i="14"/>
  <c r="P35" i="10" a="1"/>
  <c r="P35" i="10" s="1"/>
  <c r="K36" i="14" l="1"/>
  <c r="AD36" i="14" s="1"/>
  <c r="G37" i="14"/>
  <c r="L37" i="14"/>
  <c r="M37" i="14"/>
  <c r="E38" i="10"/>
  <c r="D38" i="14"/>
  <c r="P36" i="10" a="1"/>
  <c r="P36" i="10" s="1"/>
  <c r="K37" i="14" l="1"/>
  <c r="I37" i="14"/>
  <c r="L38" i="14"/>
  <c r="G38" i="14"/>
  <c r="I38" i="14" s="1"/>
  <c r="M38" i="14"/>
  <c r="J37" i="15"/>
  <c r="E39" i="10"/>
  <c r="D39" i="14"/>
  <c r="P37" i="10" a="1"/>
  <c r="P37" i="10" s="1"/>
  <c r="AD37" i="14" l="1"/>
  <c r="K38" i="14"/>
  <c r="AD38" i="14" s="1"/>
  <c r="L39" i="14"/>
  <c r="G39" i="14"/>
  <c r="I39" i="14" s="1"/>
  <c r="M39" i="14"/>
  <c r="J38" i="15"/>
  <c r="E40" i="10"/>
  <c r="D40" i="14"/>
  <c r="P38" i="10" a="1"/>
  <c r="P38" i="10" s="1"/>
  <c r="K39" i="14" l="1"/>
  <c r="AD39" i="14" s="1"/>
  <c r="L40" i="14"/>
  <c r="G40" i="14"/>
  <c r="I40" i="14" s="1"/>
  <c r="M40" i="14"/>
  <c r="J39" i="15"/>
  <c r="E41" i="10"/>
  <c r="J40" i="15" s="1"/>
  <c r="D41" i="14"/>
  <c r="P39" i="10" a="1"/>
  <c r="P39" i="10" s="1"/>
  <c r="K40" i="14" l="1"/>
  <c r="AD40" i="14"/>
  <c r="G41" i="14"/>
  <c r="L41" i="14"/>
  <c r="M41" i="14"/>
  <c r="E42" i="10"/>
  <c r="J41" i="15" s="1"/>
  <c r="D42" i="14"/>
  <c r="P40" i="10" a="1"/>
  <c r="P40" i="10" s="1"/>
  <c r="L42" i="14" l="1"/>
  <c r="G42" i="14"/>
  <c r="I42" i="14" s="1"/>
  <c r="M42" i="14"/>
  <c r="K42" i="14"/>
  <c r="AD42" i="14" s="1"/>
  <c r="K41" i="14"/>
  <c r="I41" i="14"/>
  <c r="P41" i="10" a="1"/>
  <c r="P41" i="10" s="1"/>
  <c r="E43" i="10"/>
  <c r="D43" i="14"/>
  <c r="AD41" i="14" l="1"/>
  <c r="G43" i="14"/>
  <c r="I43" i="14" s="1"/>
  <c r="L43" i="14"/>
  <c r="M43" i="14"/>
  <c r="K43" i="14"/>
  <c r="J42" i="15"/>
  <c r="E44" i="10"/>
  <c r="D44" i="14"/>
  <c r="P42" i="10" a="1"/>
  <c r="P42" i="10" s="1"/>
  <c r="AD43" i="14" l="1"/>
  <c r="G44" i="14"/>
  <c r="I44" i="14" s="1"/>
  <c r="L44" i="14"/>
  <c r="M44" i="14"/>
  <c r="J43" i="15"/>
  <c r="E45" i="10"/>
  <c r="D45" i="14"/>
  <c r="P43" i="10" a="1"/>
  <c r="P43" i="10" s="1"/>
  <c r="G45" i="14" l="1"/>
  <c r="L45" i="14"/>
  <c r="M45" i="14"/>
  <c r="K44" i="14"/>
  <c r="AD44" i="14" s="1"/>
  <c r="J44" i="15"/>
  <c r="E46" i="10"/>
  <c r="J45" i="15" s="1"/>
  <c r="D46" i="14"/>
  <c r="P44" i="10" a="1"/>
  <c r="P44" i="10" s="1"/>
  <c r="K45" i="14" l="1"/>
  <c r="I45" i="14"/>
  <c r="AD45" i="14" s="1"/>
  <c r="L46" i="14"/>
  <c r="G46" i="14"/>
  <c r="I46" i="14" s="1"/>
  <c r="M46" i="14"/>
  <c r="P45" i="10" a="1"/>
  <c r="P45" i="10" s="1"/>
  <c r="E47" i="10"/>
  <c r="J46" i="15" s="1"/>
  <c r="D47" i="14"/>
  <c r="K46" i="14" l="1"/>
  <c r="AD46" i="14" s="1"/>
  <c r="L47" i="14"/>
  <c r="G47" i="14"/>
  <c r="I47" i="14" s="1"/>
  <c r="M47" i="14"/>
  <c r="E48" i="10"/>
  <c r="J47" i="15" s="1"/>
  <c r="D48" i="14"/>
  <c r="P46" i="10" a="1"/>
  <c r="P46" i="10" s="1"/>
  <c r="K47" i="14" l="1"/>
  <c r="AD47" i="14" s="1"/>
  <c r="L48" i="14"/>
  <c r="G48" i="14"/>
  <c r="I48" i="14" s="1"/>
  <c r="M48" i="14"/>
  <c r="E49" i="10"/>
  <c r="J48" i="15" s="1"/>
  <c r="D49" i="14"/>
  <c r="P47" i="10" a="1"/>
  <c r="P47" i="10" s="1"/>
  <c r="K48" i="14" l="1"/>
  <c r="AD48" i="14" s="1"/>
  <c r="G49" i="14"/>
  <c r="L49" i="14"/>
  <c r="M49" i="14"/>
  <c r="P48" i="10" a="1"/>
  <c r="P48" i="10" s="1"/>
  <c r="E50" i="10"/>
  <c r="D50" i="14"/>
  <c r="L50" i="14" l="1"/>
  <c r="G50" i="14"/>
  <c r="I50" i="14" s="1"/>
  <c r="M50" i="14"/>
  <c r="K49" i="14"/>
  <c r="I49" i="14"/>
  <c r="J49" i="15"/>
  <c r="E51" i="10"/>
  <c r="D51" i="14"/>
  <c r="P49" i="10" a="1"/>
  <c r="P49" i="10" s="1"/>
  <c r="AD49" i="14" l="1"/>
  <c r="G51" i="14"/>
  <c r="K51" i="14" s="1"/>
  <c r="L51" i="14"/>
  <c r="M51" i="14"/>
  <c r="K50" i="14"/>
  <c r="AD50" i="14" s="1"/>
  <c r="J50" i="15"/>
  <c r="E52" i="10"/>
  <c r="D52" i="14"/>
  <c r="E53" i="10"/>
  <c r="D53" i="14"/>
  <c r="P50" i="10" a="1"/>
  <c r="P50" i="10" s="1"/>
  <c r="I51" i="14" l="1"/>
  <c r="AD51" i="14" s="1"/>
  <c r="G52" i="14"/>
  <c r="I52" i="14" s="1"/>
  <c r="L52" i="14"/>
  <c r="M52" i="14"/>
  <c r="G53" i="14"/>
  <c r="K53" i="14" s="1"/>
  <c r="L53" i="14"/>
  <c r="M53" i="14"/>
  <c r="J53" i="15"/>
  <c r="P52" i="10" a="1"/>
  <c r="P52" i="10" s="1"/>
  <c r="J51" i="15"/>
  <c r="P54" i="10" a="1"/>
  <c r="P54" i="10" s="1"/>
  <c r="J54" i="15"/>
  <c r="J52" i="15"/>
  <c r="P53" i="10" a="1"/>
  <c r="P53" i="10" s="1"/>
  <c r="P51" i="10" a="1"/>
  <c r="P51" i="10" s="1"/>
  <c r="I53" i="14" l="1"/>
  <c r="K52" i="14"/>
  <c r="AD52" i="14" s="1"/>
  <c r="AD53" i="14"/>
  <c r="AP4" i="6" l="1"/>
  <c r="AP12" i="6"/>
  <c r="AP41" i="6"/>
  <c r="AP14" i="6"/>
  <c r="AP22" i="6"/>
  <c r="AP27" i="6"/>
  <c r="AP9" i="6"/>
  <c r="AP19" i="6"/>
  <c r="AP45" i="6"/>
  <c r="AP16" i="6" l="1"/>
  <c r="AP48" i="6"/>
  <c r="AP35" i="6"/>
  <c r="AP33" i="6"/>
  <c r="AP30" i="6"/>
  <c r="AP24" i="6"/>
  <c r="AP34" i="6"/>
  <c r="AP23" i="6"/>
  <c r="AP17" i="6"/>
  <c r="AP36" i="6"/>
  <c r="AP31" i="6"/>
  <c r="AP38" i="6"/>
  <c r="AP7" i="6"/>
  <c r="AP21" i="6"/>
  <c r="AP46" i="6"/>
  <c r="AP28" i="6"/>
  <c r="AP5" i="6"/>
  <c r="AP52" i="6"/>
  <c r="AP15" i="6"/>
  <c r="AP40" i="6"/>
  <c r="AP25" i="6"/>
  <c r="AP26" i="6"/>
  <c r="AP32" i="6"/>
  <c r="AP37" i="6"/>
  <c r="AP47" i="6"/>
  <c r="AP8" i="6"/>
  <c r="AP3" i="6"/>
  <c r="AP50" i="6"/>
  <c r="AP39" i="6"/>
  <c r="AP11" i="6"/>
  <c r="AP51" i="6"/>
  <c r="AP6" i="6"/>
  <c r="AP44" i="6"/>
  <c r="AP10" i="6"/>
  <c r="AP20" i="6"/>
  <c r="AP13" i="6"/>
  <c r="AP42" i="6"/>
  <c r="AP43" i="6"/>
  <c r="AP29" i="6"/>
  <c r="AP18" i="6"/>
  <c r="AP49" i="6"/>
  <c r="AP53" i="6"/>
  <c r="AP74" i="6"/>
  <c r="AP70" i="6"/>
  <c r="AP76" i="6"/>
  <c r="AP58" i="6"/>
  <c r="AP105" i="6"/>
  <c r="AP94" i="6"/>
  <c r="AP80" i="6"/>
  <c r="AP89" i="6"/>
  <c r="AP92" i="6"/>
  <c r="AP99" i="6"/>
  <c r="AP85" i="6"/>
  <c r="AP61" i="6"/>
  <c r="AP104" i="6"/>
  <c r="AP83" i="6"/>
  <c r="AP65" i="6" l="1"/>
  <c r="AP97" i="6"/>
  <c r="AP93" i="6"/>
  <c r="AP69" i="6"/>
  <c r="AP57" i="6"/>
  <c r="AP62" i="6"/>
  <c r="AP78" i="6"/>
  <c r="AP88" i="6"/>
  <c r="AP102" i="6"/>
  <c r="AP72" i="6"/>
  <c r="AP55" i="6"/>
  <c r="AP60" i="6"/>
  <c r="AP82" i="6"/>
  <c r="AP81" i="6"/>
  <c r="AP56" i="6"/>
  <c r="AP95" i="6"/>
  <c r="AP87" i="6"/>
  <c r="AP67" i="6"/>
  <c r="AP98" i="6"/>
  <c r="AP68" i="6"/>
  <c r="AP90" i="6"/>
  <c r="AP77" i="6"/>
  <c r="AP54" i="6"/>
  <c r="AP101" i="6"/>
  <c r="AP63" i="6"/>
  <c r="AP84" i="6"/>
  <c r="AP96" i="6"/>
  <c r="AP100" i="6"/>
  <c r="AP103" i="6"/>
  <c r="AP91" i="6"/>
  <c r="AP59" i="6"/>
  <c r="AP75" i="6"/>
  <c r="AP73" i="6"/>
  <c r="AP71" i="6"/>
  <c r="AP64" i="6"/>
  <c r="AP86" i="6"/>
  <c r="AP79" i="6"/>
  <c r="AP6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6223A-B373-7A40-BA45-878970C69C43}" name="table_tabel-1cd4820b-3961-480b-9d85-eb5e1bda9573" type="6" refreshedVersion="8" background="1" saveData="1">
    <textPr sourceFile="/Users/hermansteigstra/Downloads/table_tabel-1cd4820b-3961-480b-9d85-eb5e1bda9573.csv" decimal="," thousands="." comma="1">
      <textFields count="5">
        <textField/>
        <textField/>
        <textField/>
        <textField/>
        <textField/>
      </textFields>
    </textPr>
  </connection>
  <connection id="2" xr16:uid="{A4A12F1D-446A-0B4A-8DE8-C9DA9C00A2F0}" name="table_tabel-5498f8e9-d98c-433b-9ae8-845ebf120eca" type="6" refreshedVersion="8" background="1" saveData="1">
    <textPr sourceFile="/Users/hermansteigstra/Downloads/table_tabel-5498f8e9-d98c-433b-9ae8-845ebf120eca.csv" decimal="," thousands="." comma="1">
      <textFields count="5">
        <textField/>
        <textField/>
        <textField/>
        <textField/>
        <textField/>
      </textFields>
    </textPr>
  </connection>
  <connection id="3" xr16:uid="{7B3087D6-064C-0E4B-841D-2553E2A18CCD}" name="table_tabel-557fa828-405a-4ae1-86e0-7dd3ce3187f3" type="6" refreshedVersion="8" background="1" saveData="1">
    <textPr sourceFile="/Users/hermansteigstra/Downloads/table_tabel-557fa828-405a-4ae1-86e0-7dd3ce3187f3.csv" decimal="," thousands="." comma="1">
      <textFields count="5">
        <textField/>
        <textField/>
        <textField/>
        <textField/>
        <textField/>
      </textFields>
    </textPr>
  </connection>
  <connection id="4" xr16:uid="{8D1DB184-C113-0841-8920-6B9E584AD448}" name="table_tabel-cfafa6db-e588-46e6-bffb-dc002bef3f2e" type="6" refreshedVersion="8" background="1" saveData="1">
    <textPr sourceFile="/Users/hermansteigstra/Downloads/table_tabel-cfafa6db-e588-46e6-bffb-dc002bef3f2e.csv" decimal="," thousands=".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<sst xmlns="http://schemas.openxmlformats.org/spreadsheetml/2006/main" count="544" uniqueCount="144">
  <si>
    <t>Group</t>
  </si>
  <si>
    <t>week</t>
  </si>
  <si>
    <t>Met wachttijd na vaccinatie (zoals in rapport) (aantal)</t>
  </si>
  <si>
    <t>Zonder wachttijd na een eerste vaccinatie (aantal)</t>
  </si>
  <si>
    <t>Zonder wachttijd na voltooiing basisserie (aantal)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</si>
  <si>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</si>
  <si>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</si>
  <si>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</si>
  <si>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</si>
  <si>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</si>
  <si>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</si>
  <si>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</si>
  <si>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</si>
  <si>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</si>
  <si>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</si>
  <si>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</si>
  <si>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</si>
  <si>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</si>
  <si>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</si>
  <si>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</si>
  <si>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</si>
  <si>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</si>
  <si>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</si>
  <si>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</si>
  <si>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</si>
  <si>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</si>
  <si>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</si>
  <si>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</si>
  <si>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</si>
  <si>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</si>
  <si>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</si>
  <si>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</si>
  <si>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</si>
  <si>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</si>
  <si>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</si>
  <si>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</si>
  <si>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</si>
  <si>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</si>
  <si>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</si>
  <si>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</si>
  <si>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</si>
  <si>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</si>
  <si>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</si>
  <si>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</si>
  <si>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</si>
  <si>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</si>
  <si>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</si>
  <si>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</si>
  <si>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</si>
  <si>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</si>
  <si>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</si>
  <si>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</si>
  <si>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</si>
  <si>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</si>
  <si>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</si>
  <si>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</si>
  <si>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 xml:space="preserve">week 52 </t>
  </si>
  <si>
    <t>week 52</t>
  </si>
  <si>
    <t>*Aantal volgens ontvangen doodsoorzaakverklaringen.</t>
  </si>
  <si>
    <t>Week</t>
  </si>
  <si>
    <t>wacht doden</t>
  </si>
  <si>
    <t>vaxx</t>
  </si>
  <si>
    <t>sterfte</t>
  </si>
  <si>
    <t>datum</t>
  </si>
  <si>
    <t>verwacht</t>
  </si>
  <si>
    <t>Netto</t>
  </si>
  <si>
    <t>Verw. 80+</t>
  </si>
  <si>
    <t>sterfte 80+</t>
  </si>
  <si>
    <t>Vaxx 80+</t>
  </si>
  <si>
    <t>sterfte 65-80</t>
  </si>
  <si>
    <t>Vaxx 65-80</t>
  </si>
  <si>
    <t>Verw 65-80</t>
  </si>
  <si>
    <t>sterfte 0-65</t>
  </si>
  <si>
    <t>Vaxx 0-65</t>
  </si>
  <si>
    <t>Verw 0-65</t>
  </si>
  <si>
    <t>Wacht covid</t>
  </si>
  <si>
    <t>Covid totaal</t>
  </si>
  <si>
    <t>Vaxx wacht deel</t>
  </si>
  <si>
    <t>Start vaxx</t>
  </si>
  <si>
    <t>Wachttijd</t>
  </si>
  <si>
    <t>2e prik</t>
  </si>
  <si>
    <t>Wachttijd na 2e prik</t>
  </si>
  <si>
    <t>Totaal st.</t>
  </si>
  <si>
    <t>% totaal</t>
  </si>
  <si>
    <t>% wacht</t>
  </si>
  <si>
    <t>zonder wacht</t>
  </si>
  <si>
    <t>Vaxx wacht %</t>
  </si>
  <si>
    <t>Vaxx %</t>
  </si>
  <si>
    <t>VE</t>
  </si>
  <si>
    <t>%vaxx</t>
  </si>
  <si>
    <t>Vaccinaties</t>
  </si>
  <si>
    <t>Oversterfte</t>
  </si>
  <si>
    <t>Gem.</t>
  </si>
  <si>
    <t>Sterfte</t>
  </si>
  <si>
    <t>Corona</t>
  </si>
  <si>
    <t>ACM 1 prik</t>
  </si>
  <si>
    <t>Cov 1 prik</t>
  </si>
  <si>
    <t>unvax/100K</t>
  </si>
  <si>
    <t>vax/100K</t>
  </si>
  <si>
    <t>bespaard/100K</t>
  </si>
  <si>
    <t>VE gem</t>
  </si>
  <si>
    <t>Verwacht</t>
  </si>
  <si>
    <t>Over/100K</t>
  </si>
  <si>
    <t>avg unvax/100K</t>
  </si>
  <si>
    <t>avg vaxx/100K</t>
  </si>
  <si>
    <t>zero</t>
  </si>
  <si>
    <t>Bespaard</t>
  </si>
  <si>
    <t>Bespaard/100K</t>
  </si>
  <si>
    <t>Corona/100K</t>
  </si>
  <si>
    <t>ratio</t>
  </si>
  <si>
    <t>Prognose</t>
  </si>
  <si>
    <t>Baseline</t>
  </si>
  <si>
    <t>Sterfte vax</t>
  </si>
  <si>
    <t>Expect vax</t>
  </si>
  <si>
    <t>unvax</t>
  </si>
  <si>
    <t>vaccins</t>
  </si>
  <si>
    <t>Covid vax</t>
  </si>
  <si>
    <t>covid unvax</t>
  </si>
  <si>
    <t>Niet in CIMS</t>
  </si>
  <si>
    <t>%vaxx RIVM</t>
  </si>
  <si>
    <t>Corona vax</t>
  </si>
  <si>
    <t>Corona unvax</t>
  </si>
  <si>
    <t>Vax rel</t>
  </si>
  <si>
    <t>Unvax rel</t>
  </si>
  <si>
    <t>Rvaxx</t>
  </si>
  <si>
    <t>Runvaxx</t>
  </si>
  <si>
    <t>Overst.</t>
  </si>
  <si>
    <t>Healthy :</t>
  </si>
  <si>
    <t>Ondersterfte</t>
  </si>
  <si>
    <t>Diff</t>
  </si>
  <si>
    <t>Ongevax</t>
  </si>
  <si>
    <t>Onvax RIVM</t>
  </si>
  <si>
    <t>Belkoofd</t>
  </si>
  <si>
    <t>Overst</t>
  </si>
  <si>
    <t>Vaxx overig</t>
  </si>
  <si>
    <t>Unvax overig</t>
  </si>
  <si>
    <t>Corona GGD</t>
  </si>
  <si>
    <t>Corona CBS</t>
  </si>
  <si>
    <t>vaxx % &gt;&gt;&gt;</t>
  </si>
  <si>
    <t>Datum</t>
  </si>
  <si>
    <t>Overst. %</t>
  </si>
  <si>
    <t>Over/dag</t>
  </si>
  <si>
    <t>Simul.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</si>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</sst>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€&quot;\ * #,##0_);_(&quot;€&quot;\ * \(#,##0\);_(&quot;€&quot;\ * &quot;-&quot;_);_(@_)"/>
    <numFmt numFmtId="164" formatCode="[$-413]d\ mmm\ yy;@"/>
    <numFmt numFmtId="165" formatCode="0.0%"/>
    <numFmt numFmtId="166" formatCode="[$-413]d/mmm/yy;@"/>
    <numFmt numFmtId="167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164" fontId="2" fillId="2" borderId="1" xfId="0" applyNumberFormat="1" applyFont="1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5" fontId="0" fillId="0" borderId="0" xfId="0" applyNumberFormat="1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1" fillId="0" borderId="0" xfId="0" applyNumberFormat="1" applyFont="1"/>
    <xf numFmtId="42" fontId="0" fillId="0" borderId="0" xfId="0" applyNumberFormat="1"/>
    <xf numFmtId="1" fontId="2" fillId="0" borderId="0" xfId="0" applyNumberFormat="1" applyFont="1"/>
    <xf numFmtId="0" fontId="3" fillId="0" borderId="0" xfId="0" applyFont="1"/>
    <xf numFmtId="164" fontId="3" fillId="2" borderId="1" xfId="0" applyNumberFormat="1" applyFont="1" applyFill="1" applyBorder="1"/>
    <xf numFmtId="164" fontId="3" fillId="2" borderId="2" xfId="0" applyNumberFormat="1" applyFont="1" applyFill="1" applyBorder="1"/>
    <xf numFmtId="0" fontId="3" fillId="6" borderId="0" xfId="0" applyFont="1" applyFill="1"/>
    <xf numFmtId="164" fontId="3" fillId="6" borderId="2" xfId="0" applyNumberFormat="1" applyFont="1" applyFill="1" applyBorder="1"/>
    <xf numFmtId="0" fontId="3" fillId="5" borderId="0" xfId="0" applyFont="1" applyFill="1"/>
    <xf numFmtId="164" fontId="3" fillId="5" borderId="2" xfId="0" applyNumberFormat="1" applyFont="1" applyFill="1" applyBorder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Vaccinatiegraad Booster</a:t>
            </a:r>
            <a:r>
              <a:rPr lang="en-US" sz="1600" b="1" baseline="0">
                <a:solidFill>
                  <a:schemeClr val="tx1"/>
                </a:solidFill>
              </a:rPr>
              <a:t> 2021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4956518931039435E-2"/>
          <c:y val="8.7743114832460486E-2"/>
          <c:w val="0.8340605248972488"/>
          <c:h val="0.85018883980396365"/>
        </c:manualLayout>
      </c:layout>
      <c:lineChart>
        <c:grouping val="standard"/>
        <c:varyColors val="0"/>
        <c:ser>
          <c:idx val="0"/>
          <c:order val="0"/>
          <c:tx>
            <c:v> Vaxx RIVM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verzamel!$Y$2:$Y$104</c:f>
              <c:numCache>
                <c:formatCode>General</c:formatCode>
                <c:ptCount val="103"/>
                <c:pt idx="30" formatCode="0.0%">
                  <c:v>0.23340374106590189</c:v>
                </c:pt>
                <c:pt idx="31" formatCode="0.0%">
                  <c:v>0.23454190133536446</c:v>
                </c:pt>
                <c:pt idx="32" formatCode="0.0%">
                  <c:v>0.23494885198019699</c:v>
                </c:pt>
                <c:pt idx="33" formatCode="0.0%">
                  <c:v>0.23894754172402988</c:v>
                </c:pt>
                <c:pt idx="34" formatCode="0.0%">
                  <c:v>0.23320657506667786</c:v>
                </c:pt>
                <c:pt idx="35" formatCode="0.0%">
                  <c:v>0.22444681038778047</c:v>
                </c:pt>
                <c:pt idx="36" formatCode="0.0%">
                  <c:v>0.21737525118145962</c:v>
                </c:pt>
                <c:pt idx="37" formatCode="0.0%">
                  <c:v>0.20958914094545378</c:v>
                </c:pt>
                <c:pt idx="38" formatCode="0.0%">
                  <c:v>0.20606186537210658</c:v>
                </c:pt>
                <c:pt idx="39" formatCode="0.0%">
                  <c:v>0.2017190338118966</c:v>
                </c:pt>
                <c:pt idx="40" formatCode="0.0%">
                  <c:v>0.20093333955028669</c:v>
                </c:pt>
                <c:pt idx="41" formatCode="0.0%">
                  <c:v>0.1998774259309839</c:v>
                </c:pt>
                <c:pt idx="42" formatCode="0.0%">
                  <c:v>0.19487059225043479</c:v>
                </c:pt>
                <c:pt idx="43" formatCode="0.0%">
                  <c:v>0.19928418004186921</c:v>
                </c:pt>
                <c:pt idx="44" formatCode="0.0%">
                  <c:v>0.20578640950429461</c:v>
                </c:pt>
                <c:pt idx="45" formatCode="0.0%">
                  <c:v>0.201914485623226</c:v>
                </c:pt>
                <c:pt idx="46" formatCode="0.0%">
                  <c:v>0.19803426635957999</c:v>
                </c:pt>
                <c:pt idx="47" formatCode="0.0%">
                  <c:v>0.19934332131927657</c:v>
                </c:pt>
                <c:pt idx="48" formatCode="0.0%">
                  <c:v>0.1980475566176525</c:v>
                </c:pt>
                <c:pt idx="49" formatCode="0.0%">
                  <c:v>0.19093931345030501</c:v>
                </c:pt>
                <c:pt idx="50" formatCode="0.0%">
                  <c:v>0.18078245391898284</c:v>
                </c:pt>
                <c:pt idx="51" formatCode="0.0%">
                  <c:v>0.17257614212325967</c:v>
                </c:pt>
                <c:pt idx="52" formatCode="0.0%">
                  <c:v>0.16807894214655739</c:v>
                </c:pt>
                <c:pt idx="53" formatCode="0.0%">
                  <c:v>0.16202399284330427</c:v>
                </c:pt>
                <c:pt idx="54" formatCode="0.0%">
                  <c:v>0.15246633126190412</c:v>
                </c:pt>
                <c:pt idx="55" formatCode="0.0%">
                  <c:v>0.14833215301866165</c:v>
                </c:pt>
                <c:pt idx="56" formatCode="0.0%">
                  <c:v>0.15156027961791296</c:v>
                </c:pt>
                <c:pt idx="57" formatCode="0.0%">
                  <c:v>0.15483971901564542</c:v>
                </c:pt>
                <c:pt idx="58" formatCode="0.0%">
                  <c:v>0.15372122976474656</c:v>
                </c:pt>
                <c:pt idx="59" formatCode="0.0%">
                  <c:v>0.1470267341556355</c:v>
                </c:pt>
                <c:pt idx="60" formatCode="0.0%">
                  <c:v>0.14327507069782497</c:v>
                </c:pt>
                <c:pt idx="61" formatCode="0.0%">
                  <c:v>0.14399839831517314</c:v>
                </c:pt>
                <c:pt idx="62" formatCode="0.0%">
                  <c:v>0.14308055826631949</c:v>
                </c:pt>
                <c:pt idx="63" formatCode="0.0%">
                  <c:v>0.14164430172416576</c:v>
                </c:pt>
                <c:pt idx="64" formatCode="0.0%">
                  <c:v>0.1370631989618285</c:v>
                </c:pt>
                <c:pt idx="65" formatCode="0.0%">
                  <c:v>0.12882962582701629</c:v>
                </c:pt>
                <c:pt idx="66" formatCode="0.0%">
                  <c:v>0.12239813919685838</c:v>
                </c:pt>
                <c:pt idx="67" formatCode="0.0%">
                  <c:v>0.11729006209462933</c:v>
                </c:pt>
                <c:pt idx="68" formatCode="0.0%">
                  <c:v>0.11095409276733981</c:v>
                </c:pt>
                <c:pt idx="69" formatCode="0.0%">
                  <c:v>0.11039208405468082</c:v>
                </c:pt>
                <c:pt idx="70" formatCode="0.0%">
                  <c:v>0.11628290879964376</c:v>
                </c:pt>
                <c:pt idx="71" formatCode="0.0%">
                  <c:v>0.11611754230661231</c:v>
                </c:pt>
                <c:pt idx="72" formatCode="0.0%">
                  <c:v>0.11151401303983866</c:v>
                </c:pt>
                <c:pt idx="73" formatCode="0.0%">
                  <c:v>0.10960026354114882</c:v>
                </c:pt>
                <c:pt idx="74" formatCode="0.0%">
                  <c:v>0.10938651040394098</c:v>
                </c:pt>
                <c:pt idx="75" formatCode="0.0%">
                  <c:v>0.1091288928370826</c:v>
                </c:pt>
                <c:pt idx="76" formatCode="0.0%">
                  <c:v>0.10978742990033385</c:v>
                </c:pt>
                <c:pt idx="77" formatCode="0.0%">
                  <c:v>0.11136988804298342</c:v>
                </c:pt>
                <c:pt idx="78" formatCode="0.0%">
                  <c:v>0.10998478342757989</c:v>
                </c:pt>
                <c:pt idx="79" formatCode="0.0%">
                  <c:v>0.10915315391214653</c:v>
                </c:pt>
                <c:pt idx="80" formatCode="0.0%">
                  <c:v>0.11103445873105633</c:v>
                </c:pt>
                <c:pt idx="81" formatCode="0.0%">
                  <c:v>0.11189971044558444</c:v>
                </c:pt>
                <c:pt idx="82" formatCode="0.0%">
                  <c:v>0.11173798401077972</c:v>
                </c:pt>
                <c:pt idx="83" formatCode="0.0%">
                  <c:v>0.11110600634756329</c:v>
                </c:pt>
                <c:pt idx="84" formatCode="0.0%">
                  <c:v>0.1123113464070562</c:v>
                </c:pt>
                <c:pt idx="85" formatCode="0.0%">
                  <c:v>0.11210361039185923</c:v>
                </c:pt>
                <c:pt idx="86" formatCode="0.0%">
                  <c:v>0.10739275997700926</c:v>
                </c:pt>
                <c:pt idx="87" formatCode="0.0%">
                  <c:v>0.10734679464215391</c:v>
                </c:pt>
                <c:pt idx="88" formatCode="0.0%">
                  <c:v>0.11075297700692777</c:v>
                </c:pt>
                <c:pt idx="89" formatCode="0.0%">
                  <c:v>0.10968370186199627</c:v>
                </c:pt>
                <c:pt idx="90" formatCode="0.0%">
                  <c:v>0.10783166515102383</c:v>
                </c:pt>
                <c:pt idx="91" formatCode="0.0%">
                  <c:v>0.10557891270373698</c:v>
                </c:pt>
                <c:pt idx="92" formatCode="0.0%">
                  <c:v>0.10432967877323396</c:v>
                </c:pt>
                <c:pt idx="93" formatCode="0.0%">
                  <c:v>0.10829800141507029</c:v>
                </c:pt>
                <c:pt idx="94" formatCode="0.0%">
                  <c:v>0.11216977974147779</c:v>
                </c:pt>
                <c:pt idx="95" formatCode="0.0%">
                  <c:v>0.11195905433551445</c:v>
                </c:pt>
                <c:pt idx="96" formatCode="0.0%">
                  <c:v>0.10704499276562085</c:v>
                </c:pt>
                <c:pt idx="97" formatCode="0.0%">
                  <c:v>0.10050647519119094</c:v>
                </c:pt>
                <c:pt idx="98" formatCode="0.0%">
                  <c:v>9.7493213761444819E-2</c:v>
                </c:pt>
                <c:pt idx="99" formatCode="0.0%">
                  <c:v>9.9710613099041501E-2</c:v>
                </c:pt>
                <c:pt idx="100" formatCode="0.0%">
                  <c:v>0.10433613011667464</c:v>
                </c:pt>
                <c:pt idx="101" formatCode="0.0%">
                  <c:v>0.10508946212574355</c:v>
                </c:pt>
                <c:pt idx="102" formatCode="0.0%">
                  <c:v>0.10277908542997949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416-034A-98C4-D9E8B3BA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lineChart>
        <c:grouping val="standard"/>
        <c:varyColors val="0"/>
        <c:ser>
          <c:idx val="1"/>
          <c:order val="1"/>
          <c:tx>
            <c:v>Vaccinaties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Corona!$K$2:$K$104</c:f>
              <c:numCache>
                <c:formatCode>0.0%</c:formatCode>
                <c:ptCount val="10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3416-034A-98C4-D9E8B3BA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471600"/>
        <c:axId val="1758682768"/>
      </c:lineChart>
      <c:dateAx>
        <c:axId val="1783545871"/>
        <c:scaling>
          <c:orientation val="minMax"/>
          <c:max val="44592"/>
          <c:min val="444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1"/>
        <c:majorTimeUnit val="months"/>
      </c:dateAx>
      <c:valAx>
        <c:axId val="1219877727"/>
        <c:scaling>
          <c:orientation val="minMax"/>
          <c:max val="0.2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Ongevaccineerd</a:t>
                </a:r>
                <a:r>
                  <a:rPr lang="nl-NL" baseline="0">
                    <a:solidFill>
                      <a:schemeClr val="tx1"/>
                    </a:solidFill>
                  </a:rPr>
                  <a:t> overleden</a:t>
                </a:r>
                <a:endParaRPr lang="nl-NL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  <c:majorUnit val="0.02"/>
      </c:valAx>
      <c:valAx>
        <c:axId val="1758682768"/>
        <c:scaling>
          <c:orientation val="minMax"/>
          <c:max val="0.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b="1">
                    <a:solidFill>
                      <a:srgbClr val="00B050"/>
                    </a:solidFill>
                  </a:rPr>
                  <a:t>Vaccinatie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94471600"/>
        <c:crosses val="max"/>
        <c:crossBetween val="between"/>
      </c:valAx>
      <c:dateAx>
        <c:axId val="1894471600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1758682768"/>
        <c:crosses val="autoZero"/>
        <c:auto val="1"/>
        <c:lblOffset val="100"/>
        <c:baseTimeUnit val="days"/>
      </c:date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Vaccinatiegraad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7614636405743389E-2"/>
          <c:y val="8.7743114832460486E-2"/>
          <c:w val="0.90591942405989567"/>
          <c:h val="0.85018883980396365"/>
        </c:manualLayout>
      </c:layout>
      <c:areaChart>
        <c:grouping val="stacked"/>
        <c:varyColors val="0"/>
        <c:ser>
          <c:idx val="1"/>
          <c:order val="2"/>
          <c:tx>
            <c:v>CBS</c:v>
          </c:tx>
          <c:spPr>
            <a:solidFill>
              <a:schemeClr val="bg1">
                <a:alpha val="1000"/>
              </a:schemeClr>
            </a:solidFill>
            <a:ln>
              <a:noFill/>
            </a:ln>
            <a:effectLst/>
          </c:spPr>
          <c:val>
            <c:numRef>
              <c:f>verzamel!$I$2:$I$103</c:f>
              <c:numCache>
                <c:formatCode>0.0%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2.0182992465016146E-3</c:v>
                </c:pt>
                <c:pt idx="3">
                  <c:v>2.244108672507767E-2</c:v>
                </c:pt>
                <c:pt idx="4">
                  <c:v>7.8897698245861764E-2</c:v>
                </c:pt>
                <c:pt idx="5">
                  <c:v>0.15339227207800715</c:v>
                </c:pt>
                <c:pt idx="6">
                  <c:v>0.20706083890756</c:v>
                </c:pt>
                <c:pt idx="7">
                  <c:v>0.23200040289159685</c:v>
                </c:pt>
                <c:pt idx="8">
                  <c:v>0.2534496692412237</c:v>
                </c:pt>
                <c:pt idx="9">
                  <c:v>0.27684002090684884</c:v>
                </c:pt>
                <c:pt idx="10">
                  <c:v>0.29315602036363159</c:v>
                </c:pt>
                <c:pt idx="11">
                  <c:v>0.30823504057276691</c:v>
                </c:pt>
                <c:pt idx="12">
                  <c:v>0.32664061735545868</c:v>
                </c:pt>
                <c:pt idx="13">
                  <c:v>0.35011475175326284</c:v>
                </c:pt>
                <c:pt idx="14">
                  <c:v>0.3830277948282787</c:v>
                </c:pt>
                <c:pt idx="15">
                  <c:v>0.42465058312930515</c:v>
                </c:pt>
                <c:pt idx="16">
                  <c:v>0.46707099444407779</c:v>
                </c:pt>
                <c:pt idx="17">
                  <c:v>0.50655324721254436</c:v>
                </c:pt>
                <c:pt idx="18">
                  <c:v>0.54506395732182455</c:v>
                </c:pt>
                <c:pt idx="19">
                  <c:v>0.58439344018770367</c:v>
                </c:pt>
                <c:pt idx="20">
                  <c:v>0.61923285110076653</c:v>
                </c:pt>
                <c:pt idx="21">
                  <c:v>0.64960975478291738</c:v>
                </c:pt>
                <c:pt idx="22">
                  <c:v>0.68006822864043615</c:v>
                </c:pt>
                <c:pt idx="23">
                  <c:v>0.69705083860391104</c:v>
                </c:pt>
                <c:pt idx="24">
                  <c:v>0.70275534297848585</c:v>
                </c:pt>
                <c:pt idx="25">
                  <c:v>0.71795628552726254</c:v>
                </c:pt>
                <c:pt idx="26">
                  <c:v>0.73978885477813849</c:v>
                </c:pt>
                <c:pt idx="27">
                  <c:v>0.75245167489447651</c:v>
                </c:pt>
                <c:pt idx="28">
                  <c:v>0.75650776900918448</c:v>
                </c:pt>
                <c:pt idx="29">
                  <c:v>0.76389978313263884</c:v>
                </c:pt>
                <c:pt idx="30">
                  <c:v>0.76659625893409811</c:v>
                </c:pt>
                <c:pt idx="31">
                  <c:v>0.76545809866463554</c:v>
                </c:pt>
                <c:pt idx="32">
                  <c:v>0.76505114801980301</c:v>
                </c:pt>
                <c:pt idx="33">
                  <c:v>0.76105245827597012</c:v>
                </c:pt>
                <c:pt idx="34">
                  <c:v>0.76679342493332214</c:v>
                </c:pt>
                <c:pt idx="35">
                  <c:v>0.77555318961221953</c:v>
                </c:pt>
                <c:pt idx="36">
                  <c:v>0.78262474881854038</c:v>
                </c:pt>
                <c:pt idx="37">
                  <c:v>0.79041085905454622</c:v>
                </c:pt>
                <c:pt idx="38">
                  <c:v>0.79393813462789342</c:v>
                </c:pt>
                <c:pt idx="39">
                  <c:v>0.7982809661881034</c:v>
                </c:pt>
                <c:pt idx="40">
                  <c:v>0.79906666044971331</c:v>
                </c:pt>
                <c:pt idx="41">
                  <c:v>0.8001225740690161</c:v>
                </c:pt>
                <c:pt idx="42">
                  <c:v>0.80512940774956521</c:v>
                </c:pt>
                <c:pt idx="43">
                  <c:v>0.80071581995813079</c:v>
                </c:pt>
                <c:pt idx="44">
                  <c:v>0.79421359049570539</c:v>
                </c:pt>
                <c:pt idx="45">
                  <c:v>0.798085514376774</c:v>
                </c:pt>
                <c:pt idx="46">
                  <c:v>0.80196573364042001</c:v>
                </c:pt>
                <c:pt idx="47">
                  <c:v>0.80065667868072343</c:v>
                </c:pt>
                <c:pt idx="48">
                  <c:v>0.8019524433823475</c:v>
                </c:pt>
                <c:pt idx="49">
                  <c:v>0.80906068654969499</c:v>
                </c:pt>
                <c:pt idx="50">
                  <c:v>0.81921754608101716</c:v>
                </c:pt>
                <c:pt idx="51">
                  <c:v>0.82742385787674033</c:v>
                </c:pt>
                <c:pt idx="52">
                  <c:v>0.83192105785344261</c:v>
                </c:pt>
                <c:pt idx="53">
                  <c:v>0.83797600715669573</c:v>
                </c:pt>
                <c:pt idx="54">
                  <c:v>0.84753366873809588</c:v>
                </c:pt>
                <c:pt idx="55">
                  <c:v>0.85166784698133835</c:v>
                </c:pt>
                <c:pt idx="56">
                  <c:v>0.84843972038208704</c:v>
                </c:pt>
                <c:pt idx="57">
                  <c:v>0.84516028098435458</c:v>
                </c:pt>
                <c:pt idx="58">
                  <c:v>0.84627877023525344</c:v>
                </c:pt>
                <c:pt idx="59">
                  <c:v>0.8529732658443645</c:v>
                </c:pt>
                <c:pt idx="60">
                  <c:v>0.85672492930217503</c:v>
                </c:pt>
                <c:pt idx="61">
                  <c:v>0.85600160168482686</c:v>
                </c:pt>
                <c:pt idx="62">
                  <c:v>0.85691944173368051</c:v>
                </c:pt>
                <c:pt idx="63">
                  <c:v>0.85835569827583424</c:v>
                </c:pt>
                <c:pt idx="64">
                  <c:v>0.8629368010381715</c:v>
                </c:pt>
                <c:pt idx="65">
                  <c:v>0.87117037417298371</c:v>
                </c:pt>
                <c:pt idx="66">
                  <c:v>0.87760186080314162</c:v>
                </c:pt>
                <c:pt idx="67">
                  <c:v>0.88270993790537067</c:v>
                </c:pt>
                <c:pt idx="68">
                  <c:v>0.88904590723266019</c:v>
                </c:pt>
                <c:pt idx="69">
                  <c:v>0.88960791594531918</c:v>
                </c:pt>
                <c:pt idx="70">
                  <c:v>0.88371709120035624</c:v>
                </c:pt>
                <c:pt idx="71">
                  <c:v>0.88388245769338769</c:v>
                </c:pt>
                <c:pt idx="72">
                  <c:v>0.88848598696016134</c:v>
                </c:pt>
                <c:pt idx="73">
                  <c:v>0.89039973645885118</c:v>
                </c:pt>
                <c:pt idx="74">
                  <c:v>0.89061348959605902</c:v>
                </c:pt>
                <c:pt idx="75">
                  <c:v>0.8908711071629174</c:v>
                </c:pt>
                <c:pt idx="76">
                  <c:v>0.89021257009966615</c:v>
                </c:pt>
                <c:pt idx="77">
                  <c:v>0.88863011195701658</c:v>
                </c:pt>
                <c:pt idx="78">
                  <c:v>0.89001521657242011</c:v>
                </c:pt>
                <c:pt idx="79">
                  <c:v>0.89084684608785347</c:v>
                </c:pt>
                <c:pt idx="80">
                  <c:v>0.88896554126894367</c:v>
                </c:pt>
                <c:pt idx="81">
                  <c:v>0.88810028955441556</c:v>
                </c:pt>
                <c:pt idx="82">
                  <c:v>0.88826201598922028</c:v>
                </c:pt>
                <c:pt idx="83">
                  <c:v>0.88889399365243671</c:v>
                </c:pt>
                <c:pt idx="84">
                  <c:v>0.8876886535929438</c:v>
                </c:pt>
                <c:pt idx="85">
                  <c:v>0.88789638960814077</c:v>
                </c:pt>
                <c:pt idx="86">
                  <c:v>0.89260724002299074</c:v>
                </c:pt>
                <c:pt idx="87">
                  <c:v>0.89265320535784609</c:v>
                </c:pt>
                <c:pt idx="88">
                  <c:v>0.88924702299307223</c:v>
                </c:pt>
                <c:pt idx="89">
                  <c:v>0.89031629813800373</c:v>
                </c:pt>
                <c:pt idx="90">
                  <c:v>0.89216833484897617</c:v>
                </c:pt>
                <c:pt idx="91">
                  <c:v>0.89442108729626302</c:v>
                </c:pt>
                <c:pt idx="92">
                  <c:v>0.89567032122676604</c:v>
                </c:pt>
                <c:pt idx="93">
                  <c:v>0.89170199858492971</c:v>
                </c:pt>
                <c:pt idx="94">
                  <c:v>0.88783022025852221</c:v>
                </c:pt>
                <c:pt idx="95">
                  <c:v>0.88804094566448555</c:v>
                </c:pt>
                <c:pt idx="96">
                  <c:v>0.89295500723437915</c:v>
                </c:pt>
                <c:pt idx="97">
                  <c:v>0.89949352480880906</c:v>
                </c:pt>
                <c:pt idx="98">
                  <c:v>0.90250678623855518</c:v>
                </c:pt>
                <c:pt idx="99">
                  <c:v>0.9002893869009585</c:v>
                </c:pt>
                <c:pt idx="100">
                  <c:v>0.89566386988332536</c:v>
                </c:pt>
                <c:pt idx="101">
                  <c:v>0.89491053787425645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4-AA43-AF4F-0B1CFAE0989D}"/>
            </c:ext>
          </c:extLst>
        </c:ser>
        <c:ser>
          <c:idx val="3"/>
          <c:order val="3"/>
          <c:tx>
            <c:v>elixer</c:v>
          </c:tx>
          <c:spPr>
            <a:solidFill>
              <a:schemeClr val="bg1">
                <a:alpha val="1000"/>
              </a:schemeClr>
            </a:solidFill>
            <a:ln>
              <a:noFill/>
            </a:ln>
            <a:effectLst/>
          </c:spPr>
          <c:val>
            <c:numRef>
              <c:f>verzamel!$W$2:$W$103</c:f>
              <c:numCache>
                <c:formatCode>0.0%</c:formatCode>
                <c:ptCount val="102"/>
                <c:pt idx="0">
                  <c:v>3.9562452868417497E-3</c:v>
                </c:pt>
                <c:pt idx="1">
                  <c:v>1.0727419086763277E-2</c:v>
                </c:pt>
                <c:pt idx="2">
                  <c:v>1.0562279347944868E-2</c:v>
                </c:pt>
                <c:pt idx="3">
                  <c:v>1.8576649489215849E-2</c:v>
                </c:pt>
                <c:pt idx="4">
                  <c:v>-1.0533343339095794E-2</c:v>
                </c:pt>
                <c:pt idx="5">
                  <c:v>-3.2066024034988927E-2</c:v>
                </c:pt>
                <c:pt idx="6">
                  <c:v>-6.4106203334391154E-3</c:v>
                </c:pt>
                <c:pt idx="7">
                  <c:v>2.5468331425212321E-2</c:v>
                </c:pt>
                <c:pt idx="8">
                  <c:v>7.2666541987381317E-2</c:v>
                </c:pt>
                <c:pt idx="9">
                  <c:v>0.11700316053446741</c:v>
                </c:pt>
                <c:pt idx="10">
                  <c:v>0.14655827383006614</c:v>
                </c:pt>
                <c:pt idx="11">
                  <c:v>0.16856183598783353</c:v>
                </c:pt>
                <c:pt idx="12">
                  <c:v>0.16640595567196159</c:v>
                </c:pt>
                <c:pt idx="13">
                  <c:v>0.18000609124437644</c:v>
                </c:pt>
                <c:pt idx="14">
                  <c:v>0.17969740031673415</c:v>
                </c:pt>
                <c:pt idx="15">
                  <c:v>0.19982824075198313</c:v>
                </c:pt>
                <c:pt idx="16">
                  <c:v>0.21429980725272352</c:v>
                </c:pt>
                <c:pt idx="17">
                  <c:v>0.21703886174808451</c:v>
                </c:pt>
                <c:pt idx="18">
                  <c:v>0.21199609337638547</c:v>
                </c:pt>
                <c:pt idx="19">
                  <c:v>0.19980833939536446</c:v>
                </c:pt>
                <c:pt idx="20">
                  <c:v>0.18420185541950429</c:v>
                </c:pt>
                <c:pt idx="21">
                  <c:v>0.17623377111292027</c:v>
                </c:pt>
                <c:pt idx="22">
                  <c:v>0.15828325325306025</c:v>
                </c:pt>
                <c:pt idx="23">
                  <c:v>0.15929430085475904</c:v>
                </c:pt>
                <c:pt idx="24">
                  <c:v>0.16259221648996114</c:v>
                </c:pt>
                <c:pt idx="25">
                  <c:v>0.15277651842079143</c:v>
                </c:pt>
                <c:pt idx="26">
                  <c:v>0.13462520364830011</c:v>
                </c:pt>
                <c:pt idx="27">
                  <c:v>0.1245997859884006</c:v>
                </c:pt>
                <c:pt idx="28">
                  <c:v>0.12083477591295444</c:v>
                </c:pt>
                <c:pt idx="29">
                  <c:v>0.11460333836103509</c:v>
                </c:pt>
                <c:pt idx="30">
                  <c:v>0.11371588146688205</c:v>
                </c:pt>
                <c:pt idx="31">
                  <c:v>0.11557077497255253</c:v>
                </c:pt>
                <c:pt idx="32">
                  <c:v>0.11641875591602979</c:v>
                </c:pt>
                <c:pt idx="33">
                  <c:v>0.12351258240416529</c:v>
                </c:pt>
                <c:pt idx="34">
                  <c:v>0.11811641991677646</c:v>
                </c:pt>
                <c:pt idx="35">
                  <c:v>0.11125266857172722</c:v>
                </c:pt>
                <c:pt idx="36">
                  <c:v>0.10427974114730487</c:v>
                </c:pt>
                <c:pt idx="37">
                  <c:v>9.6493630911299033E-2</c:v>
                </c:pt>
                <c:pt idx="38">
                  <c:v>9.3156401942097955E-2</c:v>
                </c:pt>
                <c:pt idx="39">
                  <c:v>8.8962720881344493E-2</c:v>
                </c:pt>
                <c:pt idx="40">
                  <c:v>9.0170671333471786E-2</c:v>
                </c:pt>
                <c:pt idx="41">
                  <c:v>8.9831490950376902E-2</c:v>
                </c:pt>
                <c:pt idx="42">
                  <c:v>8.4872770334168512E-2</c:v>
                </c:pt>
                <c:pt idx="43">
                  <c:v>8.9382584254284581E-2</c:v>
                </c:pt>
                <c:pt idx="44">
                  <c:v>9.5985851151825563E-2</c:v>
                </c:pt>
                <c:pt idx="45">
                  <c:v>9.2207747746221758E-2</c:v>
                </c:pt>
                <c:pt idx="46">
                  <c:v>8.8423754611257399E-2</c:v>
                </c:pt>
                <c:pt idx="47">
                  <c:v>8.9732809570953975E-2</c:v>
                </c:pt>
                <c:pt idx="48">
                  <c:v>8.8688140705155516E-2</c:v>
                </c:pt>
                <c:pt idx="49">
                  <c:v>8.1579897537808033E-2</c:v>
                </c:pt>
                <c:pt idx="50">
                  <c:v>7.1473556724043763E-2</c:v>
                </c:pt>
                <c:pt idx="51">
                  <c:v>6.3267244928320587E-2</c:v>
                </c:pt>
                <c:pt idx="52">
                  <c:v>5.8770044951618305E-2</c:v>
                </c:pt>
                <c:pt idx="53">
                  <c:v>5.2847178491246982E-2</c:v>
                </c:pt>
                <c:pt idx="54">
                  <c:v>4.3304062970476176E-2</c:v>
                </c:pt>
                <c:pt idx="55">
                  <c:v>3.9273196033667856E-2</c:v>
                </c:pt>
                <c:pt idx="56">
                  <c:v>4.2579348287551166E-2</c:v>
                </c:pt>
                <c:pt idx="57">
                  <c:v>4.5891402438064111E-2</c:v>
                </c:pt>
                <c:pt idx="58">
                  <c:v>4.4775318840382106E-2</c:v>
                </c:pt>
                <c:pt idx="59">
                  <c:v>3.8156443232686299E-2</c:v>
                </c:pt>
                <c:pt idx="60">
                  <c:v>3.4407185428092735E-2</c:v>
                </c:pt>
                <c:pt idx="61">
                  <c:v>3.516312779822095E-2</c:v>
                </c:pt>
                <c:pt idx="62">
                  <c:v>3.4247693402584711E-2</c:v>
                </c:pt>
                <c:pt idx="63">
                  <c:v>3.2879727760867672E-2</c:v>
                </c:pt>
                <c:pt idx="64">
                  <c:v>2.8305954099508757E-2</c:v>
                </c:pt>
                <c:pt idx="65">
                  <c:v>2.0074786617913509E-2</c:v>
                </c:pt>
                <c:pt idx="66">
                  <c:v>1.3645705640972672E-2</c:v>
                </c:pt>
                <c:pt idx="67">
                  <c:v>8.5542596677788962E-3</c:v>
                </c:pt>
                <c:pt idx="68">
                  <c:v>2.2435759922914134E-3</c:v>
                </c:pt>
                <c:pt idx="69">
                  <c:v>1.6839729328493869E-3</c:v>
                </c:pt>
                <c:pt idx="70">
                  <c:v>7.5821267787906654E-3</c:v>
                </c:pt>
                <c:pt idx="71">
                  <c:v>7.4167602857592163E-3</c:v>
                </c:pt>
                <c:pt idx="72">
                  <c:v>2.8156366722025261E-3</c:v>
                </c:pt>
                <c:pt idx="73">
                  <c:v>9.6087604589256692E-4</c:v>
                </c:pt>
                <c:pt idx="74">
                  <c:v>7.6615969093707381E-4</c:v>
                </c:pt>
                <c:pt idx="75">
                  <c:v>5.0854212407869248E-4</c:v>
                </c:pt>
                <c:pt idx="76">
                  <c:v>1.1694848405471303E-3</c:v>
                </c:pt>
                <c:pt idx="77">
                  <c:v>2.7519429831966979E-3</c:v>
                </c:pt>
                <c:pt idx="78">
                  <c:v>1.3970474673562494E-3</c:v>
                </c:pt>
                <c:pt idx="79">
                  <c:v>5.6541795192288635E-4</c:v>
                </c:pt>
                <c:pt idx="80">
                  <c:v>2.4491284240496514E-3</c:v>
                </c:pt>
                <c:pt idx="81">
                  <c:v>3.314380138577766E-3</c:v>
                </c:pt>
                <c:pt idx="82">
                  <c:v>3.1643613850472763E-3</c:v>
                </c:pt>
                <c:pt idx="83">
                  <c:v>2.5397128228091814E-3</c:v>
                </c:pt>
                <c:pt idx="84">
                  <c:v>3.7450528823020912E-3</c:v>
                </c:pt>
                <c:pt idx="85">
                  <c:v>3.5397225203220861E-3</c:v>
                </c:pt>
                <c:pt idx="86">
                  <c:v>-1.1711278945278902E-3</c:v>
                </c:pt>
                <c:pt idx="87">
                  <c:v>-1.2170932293832371E-3</c:v>
                </c:pt>
                <c:pt idx="88">
                  <c:v>2.1890891353906206E-3</c:v>
                </c:pt>
                <c:pt idx="89">
                  <c:v>1.1198139904591287E-3</c:v>
                </c:pt>
                <c:pt idx="90">
                  <c:v>-6.7323384813366971E-4</c:v>
                </c:pt>
                <c:pt idx="91">
                  <c:v>-2.9259862954205129E-3</c:v>
                </c:pt>
                <c:pt idx="92">
                  <c:v>-4.1752202259235371E-3</c:v>
                </c:pt>
                <c:pt idx="93">
                  <c:v>-2.0689758408720671E-4</c:v>
                </c:pt>
                <c:pt idx="94">
                  <c:v>3.6648807423202978E-3</c:v>
                </c:pt>
                <c:pt idx="95">
                  <c:v>3.4541553363569566E-3</c:v>
                </c:pt>
                <c:pt idx="96">
                  <c:v>-1.4599062335366453E-3</c:v>
                </c:pt>
                <c:pt idx="97">
                  <c:v>-7.9984238079665593E-3</c:v>
                </c:pt>
                <c:pt idx="98">
                  <c:v>-1.1011685237712676E-2</c:v>
                </c:pt>
                <c:pt idx="99">
                  <c:v>-8.7869567991376574E-3</c:v>
                </c:pt>
                <c:pt idx="100">
                  <c:v>-4.1614397815045168E-3</c:v>
                </c:pt>
                <c:pt idx="101">
                  <c:v>-3.408107772435609E-3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4-AA43-AF4F-0B1CFAE09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45871"/>
        <c:axId val="1219877727"/>
      </c:areaChart>
      <c:lineChart>
        <c:grouping val="standard"/>
        <c:varyColors val="0"/>
        <c:ser>
          <c:idx val="2"/>
          <c:order val="0"/>
          <c:tx>
            <c:v>vaccinatiegraad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verzamel!$I$2:$I$103</c:f>
              <c:numCache>
                <c:formatCode>0.0%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2.0182992465016146E-3</c:v>
                </c:pt>
                <c:pt idx="3">
                  <c:v>2.244108672507767E-2</c:v>
                </c:pt>
                <c:pt idx="4">
                  <c:v>7.8897698245861764E-2</c:v>
                </c:pt>
                <c:pt idx="5">
                  <c:v>0.15339227207800715</c:v>
                </c:pt>
                <c:pt idx="6">
                  <c:v>0.20706083890756</c:v>
                </c:pt>
                <c:pt idx="7">
                  <c:v>0.23200040289159685</c:v>
                </c:pt>
                <c:pt idx="8">
                  <c:v>0.2534496692412237</c:v>
                </c:pt>
                <c:pt idx="9">
                  <c:v>0.27684002090684884</c:v>
                </c:pt>
                <c:pt idx="10">
                  <c:v>0.29315602036363159</c:v>
                </c:pt>
                <c:pt idx="11">
                  <c:v>0.30823504057276691</c:v>
                </c:pt>
                <c:pt idx="12">
                  <c:v>0.32664061735545868</c:v>
                </c:pt>
                <c:pt idx="13">
                  <c:v>0.35011475175326284</c:v>
                </c:pt>
                <c:pt idx="14">
                  <c:v>0.3830277948282787</c:v>
                </c:pt>
                <c:pt idx="15">
                  <c:v>0.42465058312930515</c:v>
                </c:pt>
                <c:pt idx="16">
                  <c:v>0.46707099444407779</c:v>
                </c:pt>
                <c:pt idx="17">
                  <c:v>0.50655324721254436</c:v>
                </c:pt>
                <c:pt idx="18">
                  <c:v>0.54506395732182455</c:v>
                </c:pt>
                <c:pt idx="19">
                  <c:v>0.58439344018770367</c:v>
                </c:pt>
                <c:pt idx="20">
                  <c:v>0.61923285110076653</c:v>
                </c:pt>
                <c:pt idx="21">
                  <c:v>0.64960975478291738</c:v>
                </c:pt>
                <c:pt idx="22">
                  <c:v>0.68006822864043615</c:v>
                </c:pt>
                <c:pt idx="23">
                  <c:v>0.69705083860391104</c:v>
                </c:pt>
                <c:pt idx="24">
                  <c:v>0.70275534297848585</c:v>
                </c:pt>
                <c:pt idx="25">
                  <c:v>0.71795628552726254</c:v>
                </c:pt>
                <c:pt idx="26">
                  <c:v>0.73978885477813849</c:v>
                </c:pt>
                <c:pt idx="27">
                  <c:v>0.75245167489447651</c:v>
                </c:pt>
                <c:pt idx="28">
                  <c:v>0.75650776900918448</c:v>
                </c:pt>
                <c:pt idx="29">
                  <c:v>0.76389978313263884</c:v>
                </c:pt>
                <c:pt idx="30">
                  <c:v>0.76659625893409811</c:v>
                </c:pt>
                <c:pt idx="31">
                  <c:v>0.76545809866463554</c:v>
                </c:pt>
                <c:pt idx="32">
                  <c:v>0.76505114801980301</c:v>
                </c:pt>
                <c:pt idx="33">
                  <c:v>0.76105245827597012</c:v>
                </c:pt>
                <c:pt idx="34">
                  <c:v>0.76679342493332214</c:v>
                </c:pt>
                <c:pt idx="35">
                  <c:v>0.77555318961221953</c:v>
                </c:pt>
                <c:pt idx="36">
                  <c:v>0.78262474881854038</c:v>
                </c:pt>
                <c:pt idx="37">
                  <c:v>0.79041085905454622</c:v>
                </c:pt>
                <c:pt idx="38">
                  <c:v>0.79393813462789342</c:v>
                </c:pt>
                <c:pt idx="39">
                  <c:v>0.7982809661881034</c:v>
                </c:pt>
                <c:pt idx="40">
                  <c:v>0.79906666044971331</c:v>
                </c:pt>
                <c:pt idx="41">
                  <c:v>0.8001225740690161</c:v>
                </c:pt>
                <c:pt idx="42">
                  <c:v>0.80512940774956521</c:v>
                </c:pt>
                <c:pt idx="43">
                  <c:v>0.80071581995813079</c:v>
                </c:pt>
                <c:pt idx="44">
                  <c:v>0.79421359049570539</c:v>
                </c:pt>
                <c:pt idx="45">
                  <c:v>0.798085514376774</c:v>
                </c:pt>
                <c:pt idx="46">
                  <c:v>0.80196573364042001</c:v>
                </c:pt>
                <c:pt idx="47">
                  <c:v>0.80065667868072343</c:v>
                </c:pt>
                <c:pt idx="48">
                  <c:v>0.8019524433823475</c:v>
                </c:pt>
                <c:pt idx="49">
                  <c:v>0.80906068654969499</c:v>
                </c:pt>
                <c:pt idx="50">
                  <c:v>0.81921754608101716</c:v>
                </c:pt>
                <c:pt idx="51">
                  <c:v>0.82742385787674033</c:v>
                </c:pt>
                <c:pt idx="52">
                  <c:v>0.83192105785344261</c:v>
                </c:pt>
                <c:pt idx="53">
                  <c:v>0.83797600715669573</c:v>
                </c:pt>
                <c:pt idx="54">
                  <c:v>0.84753366873809588</c:v>
                </c:pt>
                <c:pt idx="55">
                  <c:v>0.85166784698133835</c:v>
                </c:pt>
                <c:pt idx="56">
                  <c:v>0.84843972038208704</c:v>
                </c:pt>
                <c:pt idx="57">
                  <c:v>0.84516028098435458</c:v>
                </c:pt>
                <c:pt idx="58">
                  <c:v>0.84627877023525344</c:v>
                </c:pt>
                <c:pt idx="59">
                  <c:v>0.8529732658443645</c:v>
                </c:pt>
                <c:pt idx="60">
                  <c:v>0.85672492930217503</c:v>
                </c:pt>
                <c:pt idx="61">
                  <c:v>0.85600160168482686</c:v>
                </c:pt>
                <c:pt idx="62">
                  <c:v>0.85691944173368051</c:v>
                </c:pt>
                <c:pt idx="63">
                  <c:v>0.85835569827583424</c:v>
                </c:pt>
                <c:pt idx="64">
                  <c:v>0.8629368010381715</c:v>
                </c:pt>
                <c:pt idx="65">
                  <c:v>0.87117037417298371</c:v>
                </c:pt>
                <c:pt idx="66">
                  <c:v>0.87760186080314162</c:v>
                </c:pt>
                <c:pt idx="67">
                  <c:v>0.88270993790537067</c:v>
                </c:pt>
                <c:pt idx="68">
                  <c:v>0.88904590723266019</c:v>
                </c:pt>
                <c:pt idx="69">
                  <c:v>0.88960791594531918</c:v>
                </c:pt>
                <c:pt idx="70">
                  <c:v>0.88371709120035624</c:v>
                </c:pt>
                <c:pt idx="71">
                  <c:v>0.88388245769338769</c:v>
                </c:pt>
                <c:pt idx="72">
                  <c:v>0.88848598696016134</c:v>
                </c:pt>
                <c:pt idx="73">
                  <c:v>0.89039973645885118</c:v>
                </c:pt>
                <c:pt idx="74">
                  <c:v>0.89061348959605902</c:v>
                </c:pt>
                <c:pt idx="75">
                  <c:v>0.8908711071629174</c:v>
                </c:pt>
                <c:pt idx="76">
                  <c:v>0.89021257009966615</c:v>
                </c:pt>
                <c:pt idx="77">
                  <c:v>0.88863011195701658</c:v>
                </c:pt>
                <c:pt idx="78">
                  <c:v>0.89001521657242011</c:v>
                </c:pt>
                <c:pt idx="79">
                  <c:v>0.89084684608785347</c:v>
                </c:pt>
                <c:pt idx="80">
                  <c:v>0.88896554126894367</c:v>
                </c:pt>
                <c:pt idx="81">
                  <c:v>0.88810028955441556</c:v>
                </c:pt>
                <c:pt idx="82">
                  <c:v>0.88826201598922028</c:v>
                </c:pt>
                <c:pt idx="83">
                  <c:v>0.88889399365243671</c:v>
                </c:pt>
                <c:pt idx="84">
                  <c:v>0.8876886535929438</c:v>
                </c:pt>
                <c:pt idx="85">
                  <c:v>0.88789638960814077</c:v>
                </c:pt>
                <c:pt idx="86">
                  <c:v>0.89260724002299074</c:v>
                </c:pt>
                <c:pt idx="87">
                  <c:v>0.89265320535784609</c:v>
                </c:pt>
                <c:pt idx="88">
                  <c:v>0.88924702299307223</c:v>
                </c:pt>
                <c:pt idx="89">
                  <c:v>0.89031629813800373</c:v>
                </c:pt>
                <c:pt idx="90">
                  <c:v>0.89216833484897617</c:v>
                </c:pt>
                <c:pt idx="91">
                  <c:v>0.89442108729626302</c:v>
                </c:pt>
                <c:pt idx="92">
                  <c:v>0.89567032122676604</c:v>
                </c:pt>
                <c:pt idx="93">
                  <c:v>0.89170199858492971</c:v>
                </c:pt>
                <c:pt idx="94">
                  <c:v>0.88783022025852221</c:v>
                </c:pt>
                <c:pt idx="95">
                  <c:v>0.88804094566448555</c:v>
                </c:pt>
                <c:pt idx="96">
                  <c:v>0.89295500723437915</c:v>
                </c:pt>
                <c:pt idx="97">
                  <c:v>0.89949352480880906</c:v>
                </c:pt>
                <c:pt idx="98">
                  <c:v>0.90250678623855518</c:v>
                </c:pt>
                <c:pt idx="99">
                  <c:v>0.9002893869009585</c:v>
                </c:pt>
                <c:pt idx="100">
                  <c:v>0.89566386988332536</c:v>
                </c:pt>
                <c:pt idx="101">
                  <c:v>0.89491053787425645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E34-AA43-AF4F-0B1CFAE0989D}"/>
            </c:ext>
          </c:extLst>
        </c:ser>
        <c:ser>
          <c:idx val="0"/>
          <c:order val="1"/>
          <c:tx>
            <c:v> Vaxx RIVM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verzamel!$H$2:$H$104</c:f>
              <c:numCache>
                <c:formatCode>0.0%</c:formatCode>
                <c:ptCount val="103"/>
                <c:pt idx="0">
                  <c:v>3.9562452868417497E-3</c:v>
                </c:pt>
                <c:pt idx="1">
                  <c:v>1.0727419086763277E-2</c:v>
                </c:pt>
                <c:pt idx="2">
                  <c:v>1.2580578594446482E-2</c:v>
                </c:pt>
                <c:pt idx="3">
                  <c:v>4.101773621429352E-2</c:v>
                </c:pt>
                <c:pt idx="4">
                  <c:v>6.836435490676597E-2</c:v>
                </c:pt>
                <c:pt idx="5">
                  <c:v>0.12132624804301823</c:v>
                </c:pt>
                <c:pt idx="6">
                  <c:v>0.20065021857412088</c:v>
                </c:pt>
                <c:pt idx="7">
                  <c:v>0.25746873431680917</c:v>
                </c:pt>
                <c:pt idx="8">
                  <c:v>0.32611621122860501</c:v>
                </c:pt>
                <c:pt idx="9">
                  <c:v>0.39384318144131625</c:v>
                </c:pt>
                <c:pt idx="10">
                  <c:v>0.43971429419369773</c:v>
                </c:pt>
                <c:pt idx="11">
                  <c:v>0.47679687656060044</c:v>
                </c:pt>
                <c:pt idx="12">
                  <c:v>0.49304657302742028</c:v>
                </c:pt>
                <c:pt idx="13">
                  <c:v>0.53012084299763929</c:v>
                </c:pt>
                <c:pt idx="14">
                  <c:v>0.56272519514501285</c:v>
                </c:pt>
                <c:pt idx="15">
                  <c:v>0.62447882388128828</c:v>
                </c:pt>
                <c:pt idx="16">
                  <c:v>0.68137080169680131</c:v>
                </c:pt>
                <c:pt idx="17">
                  <c:v>0.72359210896062887</c:v>
                </c:pt>
                <c:pt idx="18">
                  <c:v>0.75706005069821003</c:v>
                </c:pt>
                <c:pt idx="19">
                  <c:v>0.78420177958306814</c:v>
                </c:pt>
                <c:pt idx="20">
                  <c:v>0.80343470652027082</c:v>
                </c:pt>
                <c:pt idx="21">
                  <c:v>0.82584352589583765</c:v>
                </c:pt>
                <c:pt idx="22">
                  <c:v>0.8383514818934964</c:v>
                </c:pt>
                <c:pt idx="23">
                  <c:v>0.85634513945867008</c:v>
                </c:pt>
                <c:pt idx="24">
                  <c:v>0.86534755946844699</c:v>
                </c:pt>
                <c:pt idx="25">
                  <c:v>0.87073280394805397</c:v>
                </c:pt>
                <c:pt idx="26">
                  <c:v>0.8744140584264386</c:v>
                </c:pt>
                <c:pt idx="27">
                  <c:v>0.87705146088287711</c:v>
                </c:pt>
                <c:pt idx="28">
                  <c:v>0.87734254492213892</c:v>
                </c:pt>
                <c:pt idx="29">
                  <c:v>0.87850312149367393</c:v>
                </c:pt>
                <c:pt idx="30">
                  <c:v>0.88031214040098016</c:v>
                </c:pt>
                <c:pt idx="31">
                  <c:v>0.88102887363718807</c:v>
                </c:pt>
                <c:pt idx="32">
                  <c:v>0.8814699039358328</c:v>
                </c:pt>
                <c:pt idx="33">
                  <c:v>0.88456504068013542</c:v>
                </c:pt>
                <c:pt idx="34">
                  <c:v>0.8849098448500986</c:v>
                </c:pt>
                <c:pt idx="35">
                  <c:v>0.88680585818394675</c:v>
                </c:pt>
                <c:pt idx="36">
                  <c:v>0.88690448996584526</c:v>
                </c:pt>
                <c:pt idx="37">
                  <c:v>0.88690448996584526</c:v>
                </c:pt>
                <c:pt idx="38">
                  <c:v>0.88709453656999138</c:v>
                </c:pt>
                <c:pt idx="39">
                  <c:v>0.88724368706944789</c:v>
                </c:pt>
                <c:pt idx="40">
                  <c:v>0.88923733178318509</c:v>
                </c:pt>
                <c:pt idx="41">
                  <c:v>0.889954065019393</c:v>
                </c:pt>
                <c:pt idx="42">
                  <c:v>0.89000217808373372</c:v>
                </c:pt>
                <c:pt idx="43">
                  <c:v>0.89009840421241537</c:v>
                </c:pt>
                <c:pt idx="44">
                  <c:v>0.89019944164753095</c:v>
                </c:pt>
                <c:pt idx="45">
                  <c:v>0.89029326212299575</c:v>
                </c:pt>
                <c:pt idx="46">
                  <c:v>0.89038948825167741</c:v>
                </c:pt>
                <c:pt idx="47">
                  <c:v>0.89038948825167741</c:v>
                </c:pt>
                <c:pt idx="48">
                  <c:v>0.89064058408750302</c:v>
                </c:pt>
                <c:pt idx="49">
                  <c:v>0.89064058408750302</c:v>
                </c:pt>
                <c:pt idx="50">
                  <c:v>0.89069110280506092</c:v>
                </c:pt>
                <c:pt idx="51">
                  <c:v>0.89069110280506092</c:v>
                </c:pt>
                <c:pt idx="52">
                  <c:v>0.89069110280506092</c:v>
                </c:pt>
                <c:pt idx="53">
                  <c:v>0.89082318564794272</c:v>
                </c:pt>
                <c:pt idx="54">
                  <c:v>0.89083773170857206</c:v>
                </c:pt>
                <c:pt idx="55">
                  <c:v>0.89094104301500621</c:v>
                </c:pt>
                <c:pt idx="56">
                  <c:v>0.8910190686696382</c:v>
                </c:pt>
                <c:pt idx="57">
                  <c:v>0.89105168342241869</c:v>
                </c:pt>
                <c:pt idx="58">
                  <c:v>0.89105408907563555</c:v>
                </c:pt>
                <c:pt idx="59">
                  <c:v>0.8911297090770508</c:v>
                </c:pt>
                <c:pt idx="60">
                  <c:v>0.89113211473026777</c:v>
                </c:pt>
                <c:pt idx="61">
                  <c:v>0.89116472948304781</c:v>
                </c:pt>
                <c:pt idx="62">
                  <c:v>0.89116713513626522</c:v>
                </c:pt>
                <c:pt idx="63">
                  <c:v>0.89123542603670192</c:v>
                </c:pt>
                <c:pt idx="64">
                  <c:v>0.89124275513768025</c:v>
                </c:pt>
                <c:pt idx="65">
                  <c:v>0.89124516079089722</c:v>
                </c:pt>
                <c:pt idx="66">
                  <c:v>0.89124756644411429</c:v>
                </c:pt>
                <c:pt idx="67">
                  <c:v>0.89126419757314956</c:v>
                </c:pt>
                <c:pt idx="68">
                  <c:v>0.89128948322495161</c:v>
                </c:pt>
                <c:pt idx="69">
                  <c:v>0.89129188887816857</c:v>
                </c:pt>
                <c:pt idx="70">
                  <c:v>0.89129921797914691</c:v>
                </c:pt>
                <c:pt idx="71">
                  <c:v>0.89129921797914691</c:v>
                </c:pt>
                <c:pt idx="72">
                  <c:v>0.89130162363236387</c:v>
                </c:pt>
                <c:pt idx="73">
                  <c:v>0.89136061250474374</c:v>
                </c:pt>
                <c:pt idx="74">
                  <c:v>0.89137964928699609</c:v>
                </c:pt>
                <c:pt idx="75">
                  <c:v>0.89137964928699609</c:v>
                </c:pt>
                <c:pt idx="76">
                  <c:v>0.89138205494021328</c:v>
                </c:pt>
                <c:pt idx="77">
                  <c:v>0.89138205494021328</c:v>
                </c:pt>
                <c:pt idx="78">
                  <c:v>0.89141226403977636</c:v>
                </c:pt>
                <c:pt idx="79">
                  <c:v>0.89141226403977636</c:v>
                </c:pt>
                <c:pt idx="80">
                  <c:v>0.89141466969299332</c:v>
                </c:pt>
                <c:pt idx="81">
                  <c:v>0.89141466969299332</c:v>
                </c:pt>
                <c:pt idx="82">
                  <c:v>0.89142637737426755</c:v>
                </c:pt>
                <c:pt idx="83">
                  <c:v>0.89143370647524589</c:v>
                </c:pt>
                <c:pt idx="84">
                  <c:v>0.89143370647524589</c:v>
                </c:pt>
                <c:pt idx="85">
                  <c:v>0.89143611212846285</c:v>
                </c:pt>
                <c:pt idx="86">
                  <c:v>0.89143611212846285</c:v>
                </c:pt>
                <c:pt idx="87">
                  <c:v>0.89143611212846285</c:v>
                </c:pt>
                <c:pt idx="88">
                  <c:v>0.89143611212846285</c:v>
                </c:pt>
                <c:pt idx="89">
                  <c:v>0.89143611212846285</c:v>
                </c:pt>
                <c:pt idx="90">
                  <c:v>0.8914951010008425</c:v>
                </c:pt>
                <c:pt idx="91">
                  <c:v>0.8914951010008425</c:v>
                </c:pt>
                <c:pt idx="92">
                  <c:v>0.8914951010008425</c:v>
                </c:pt>
                <c:pt idx="93">
                  <c:v>0.8914951010008425</c:v>
                </c:pt>
                <c:pt idx="94">
                  <c:v>0.8914951010008425</c:v>
                </c:pt>
                <c:pt idx="95">
                  <c:v>0.8914951010008425</c:v>
                </c:pt>
                <c:pt idx="96">
                  <c:v>0.8914951010008425</c:v>
                </c:pt>
                <c:pt idx="97">
                  <c:v>0.8914951010008425</c:v>
                </c:pt>
                <c:pt idx="98">
                  <c:v>0.8914951010008425</c:v>
                </c:pt>
                <c:pt idx="99">
                  <c:v>0.89150243010182084</c:v>
                </c:pt>
                <c:pt idx="100">
                  <c:v>0.89150243010182084</c:v>
                </c:pt>
                <c:pt idx="101">
                  <c:v>0.89150243010182084</c:v>
                </c:pt>
                <c:pt idx="102">
                  <c:v>0.89150243010182084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34-AA43-AF4F-0B1CFAE09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dateAx>
        <c:axId val="1783545871"/>
        <c:scaling>
          <c:orientation val="minMax"/>
          <c:max val="44926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2"/>
        <c:majorTimeUnit val="months"/>
      </c:dateAx>
      <c:valAx>
        <c:axId val="121987772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  <c:majorUnit val="0.1"/>
      </c:val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727624038215594E-2"/>
          <c:y val="3.9711191335740074E-2"/>
          <c:w val="0.87099085397468423"/>
          <c:h val="0.89822077118408983"/>
        </c:manualLayout>
      </c:layout>
      <c:lineChart>
        <c:grouping val="standard"/>
        <c:varyColors val="0"/>
        <c:ser>
          <c:idx val="3"/>
          <c:order val="0"/>
          <c:tx>
            <c:v> Corona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Corona!$E$2:$E$53</c:f>
              <c:numCache>
                <c:formatCode>General</c:formatCode>
                <c:ptCount val="52"/>
                <c:pt idx="0">
                  <c:v>1145</c:v>
                </c:pt>
                <c:pt idx="1">
                  <c:v>1026</c:v>
                </c:pt>
                <c:pt idx="2">
                  <c:v>984</c:v>
                </c:pt>
                <c:pt idx="3">
                  <c:v>822</c:v>
                </c:pt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A9D-9D49-A0F6-A8C7535D8034}"/>
            </c:ext>
          </c:extLst>
        </c:ser>
        <c:ser>
          <c:idx val="2"/>
          <c:order val="1"/>
          <c:tx>
            <c:v> Vaxxed wacht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33</c:v>
                </c:pt>
                <c:pt idx="5">
                  <c:v>125</c:v>
                </c:pt>
                <c:pt idx="6">
                  <c:v>171</c:v>
                </c:pt>
                <c:pt idx="7">
                  <c:v>127</c:v>
                </c:pt>
                <c:pt idx="8">
                  <c:v>103</c:v>
                </c:pt>
                <c:pt idx="9">
                  <c:v>76</c:v>
                </c:pt>
                <c:pt idx="10">
                  <c:v>56</c:v>
                </c:pt>
                <c:pt idx="11">
                  <c:v>54</c:v>
                </c:pt>
                <c:pt idx="12">
                  <c:v>48</c:v>
                </c:pt>
                <c:pt idx="13">
                  <c:v>45</c:v>
                </c:pt>
                <c:pt idx="14">
                  <c:v>54</c:v>
                </c:pt>
                <c:pt idx="15">
                  <c:v>50</c:v>
                </c:pt>
                <c:pt idx="16">
                  <c:v>59</c:v>
                </c:pt>
                <c:pt idx="17">
                  <c:v>67</c:v>
                </c:pt>
                <c:pt idx="18">
                  <c:v>63</c:v>
                </c:pt>
                <c:pt idx="19">
                  <c:v>50</c:v>
                </c:pt>
                <c:pt idx="20">
                  <c:v>28</c:v>
                </c:pt>
                <c:pt idx="21">
                  <c:v>34</c:v>
                </c:pt>
                <c:pt idx="22">
                  <c:v>19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9</c:v>
                </c:pt>
                <c:pt idx="29">
                  <c:v>4</c:v>
                </c:pt>
                <c:pt idx="30">
                  <c:v>7</c:v>
                </c:pt>
                <c:pt idx="31">
                  <c:v>6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</c:v>
                </c:pt>
                <c:pt idx="36">
                  <c:v>7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9</c:v>
                </c:pt>
                <c:pt idx="43">
                  <c:v>12</c:v>
                </c:pt>
                <c:pt idx="44">
                  <c:v>8</c:v>
                </c:pt>
                <c:pt idx="45">
                  <c:v>24</c:v>
                </c:pt>
                <c:pt idx="46">
                  <c:v>26</c:v>
                </c:pt>
                <c:pt idx="47">
                  <c:v>23</c:v>
                </c:pt>
                <c:pt idx="48">
                  <c:v>32</c:v>
                </c:pt>
                <c:pt idx="49">
                  <c:v>27</c:v>
                </c:pt>
                <c:pt idx="50">
                  <c:v>12</c:v>
                </c:pt>
                <c:pt idx="51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A9D-9D49-A0F6-A8C7535D8034}"/>
            </c:ext>
          </c:extLst>
        </c:ser>
        <c:ser>
          <c:idx val="0"/>
          <c:order val="2"/>
          <c:tx>
            <c:v> Naar rato</c:v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Corona!$G$2:$G$53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5.9659149623250816</c:v>
                </c:pt>
                <c:pt idx="4">
                  <c:v>49.012068965517244</c:v>
                </c:pt>
                <c:pt idx="5">
                  <c:v>101.37261971830988</c:v>
                </c:pt>
                <c:pt idx="6">
                  <c:v>125.4656462585034</c:v>
                </c:pt>
                <c:pt idx="7">
                  <c:v>99.719083255378862</c:v>
                </c:pt>
                <c:pt idx="8">
                  <c:v>70.189391304347836</c:v>
                </c:pt>
                <c:pt idx="9">
                  <c:v>59.252033898305086</c:v>
                </c:pt>
                <c:pt idx="10">
                  <c:v>49.593480118304306</c:v>
                </c:pt>
                <c:pt idx="11">
                  <c:v>42.986530880420503</c:v>
                </c:pt>
                <c:pt idx="12">
                  <c:v>46.269402139710515</c:v>
                </c:pt>
                <c:pt idx="13">
                  <c:v>38.726470588235294</c:v>
                </c:pt>
                <c:pt idx="14">
                  <c:v>43.570959515460636</c:v>
                </c:pt>
                <c:pt idx="15">
                  <c:v>43.271622137404584</c:v>
                </c:pt>
                <c:pt idx="16">
                  <c:v>50.757809798270898</c:v>
                </c:pt>
                <c:pt idx="17">
                  <c:v>51.140700000000002</c:v>
                </c:pt>
                <c:pt idx="18">
                  <c:v>44.298537313432838</c:v>
                </c:pt>
                <c:pt idx="19">
                  <c:v>39.503212851405621</c:v>
                </c:pt>
                <c:pt idx="20">
                  <c:v>20.581967213114755</c:v>
                </c:pt>
                <c:pt idx="21">
                  <c:v>19.575433698903293</c:v>
                </c:pt>
                <c:pt idx="22">
                  <c:v>11.086451612903227</c:v>
                </c:pt>
                <c:pt idx="23">
                  <c:v>7.7369257581038697</c:v>
                </c:pt>
                <c:pt idx="24">
                  <c:v>3.6260606060606064</c:v>
                </c:pt>
                <c:pt idx="25">
                  <c:v>2.8785397279885472</c:v>
                </c:pt>
                <c:pt idx="26">
                  <c:v>2.3174683098591551</c:v>
                </c:pt>
                <c:pt idx="27">
                  <c:v>1.8266585450748347</c:v>
                </c:pt>
                <c:pt idx="28">
                  <c:v>5.6269020172910666</c:v>
                </c:pt>
                <c:pt idx="29">
                  <c:v>5.1202605416523825</c:v>
                </c:pt>
                <c:pt idx="30">
                  <c:v>7.25293283833952</c:v>
                </c:pt>
                <c:pt idx="31">
                  <c:v>5.6055153007386567</c:v>
                </c:pt>
                <c:pt idx="32">
                  <c:v>5.3888777969018937</c:v>
                </c:pt>
                <c:pt idx="33">
                  <c:v>6.0499147630412553</c:v>
                </c:pt>
                <c:pt idx="34">
                  <c:v>3.8340627177700353</c:v>
                </c:pt>
                <c:pt idx="35">
                  <c:v>4.3049321266968326</c:v>
                </c:pt>
                <c:pt idx="36">
                  <c:v>3.8123630136986311</c:v>
                </c:pt>
                <c:pt idx="37">
                  <c:v>2.6705711318795431</c:v>
                </c:pt>
                <c:pt idx="38">
                  <c:v>2.2109775901266646</c:v>
                </c:pt>
                <c:pt idx="39">
                  <c:v>2.8750406768630006</c:v>
                </c:pt>
                <c:pt idx="40">
                  <c:v>4.0887878787878789</c:v>
                </c:pt>
                <c:pt idx="41">
                  <c:v>6.0605945121951219</c:v>
                </c:pt>
                <c:pt idx="42">
                  <c:v>10.250294898260101</c:v>
                </c:pt>
                <c:pt idx="43">
                  <c:v>12.94876595744681</c:v>
                </c:pt>
                <c:pt idx="44">
                  <c:v>16.871770448548812</c:v>
                </c:pt>
                <c:pt idx="45">
                  <c:v>26.342017500000004</c:v>
                </c:pt>
                <c:pt idx="46">
                  <c:v>31.131855203619914</c:v>
                </c:pt>
                <c:pt idx="47">
                  <c:v>27.386503067484664</c:v>
                </c:pt>
                <c:pt idx="48">
                  <c:v>27.956177342147257</c:v>
                </c:pt>
                <c:pt idx="49">
                  <c:v>17.742419911286348</c:v>
                </c:pt>
                <c:pt idx="50">
                  <c:v>13.967267904509285</c:v>
                </c:pt>
                <c:pt idx="51">
                  <c:v>6.7913975576662144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9D-9D49-A0F6-A8C7535D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lineChart>
        <c:grouping val="standard"/>
        <c:varyColors val="0"/>
        <c:ser>
          <c:idx val="1"/>
          <c:order val="3"/>
          <c:tx>
            <c:v> % totaal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Corona!$F$2:$F$53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7.8040904198062432E-3</c:v>
                </c:pt>
                <c:pt idx="4">
                  <c:v>7.170224411603722E-2</c:v>
                </c:pt>
                <c:pt idx="5">
                  <c:v>0.15774647887323945</c:v>
                </c:pt>
                <c:pt idx="6">
                  <c:v>0.20691609977324263</c:v>
                </c:pt>
                <c:pt idx="7">
                  <c:v>0.21359526036794513</c:v>
                </c:pt>
                <c:pt idx="8">
                  <c:v>0.1784219001610306</c:v>
                </c:pt>
                <c:pt idx="9">
                  <c:v>0.16548536209553158</c:v>
                </c:pt>
                <c:pt idx="10">
                  <c:v>0.15149523496549458</c:v>
                </c:pt>
                <c:pt idx="11">
                  <c:v>0.13797634691195795</c:v>
                </c:pt>
                <c:pt idx="12">
                  <c:v>0.13593455003146634</c:v>
                </c:pt>
                <c:pt idx="13">
                  <c:v>0.12618595825426945</c:v>
                </c:pt>
                <c:pt idx="14">
                  <c:v>0.1357985336308575</c:v>
                </c:pt>
                <c:pt idx="15">
                  <c:v>0.15458015267175573</c:v>
                </c:pt>
                <c:pt idx="16">
                  <c:v>0.17162984309958373</c:v>
                </c:pt>
                <c:pt idx="17">
                  <c:v>0.19500000000000001</c:v>
                </c:pt>
                <c:pt idx="18">
                  <c:v>0.19601990049751244</c:v>
                </c:pt>
                <c:pt idx="19">
                  <c:v>0.22356091030789826</c:v>
                </c:pt>
                <c:pt idx="20">
                  <c:v>0.19244476122594439</c:v>
                </c:pt>
                <c:pt idx="21">
                  <c:v>0.1814556331006979</c:v>
                </c:pt>
                <c:pt idx="22">
                  <c:v>0.186264308012487</c:v>
                </c:pt>
                <c:pt idx="23">
                  <c:v>0.16312303938654585</c:v>
                </c:pt>
                <c:pt idx="24">
                  <c:v>0.14440703329592219</c:v>
                </c:pt>
                <c:pt idx="25">
                  <c:v>0.13457408732999285</c:v>
                </c:pt>
                <c:pt idx="26">
                  <c:v>0.11866197183098591</c:v>
                </c:pt>
                <c:pt idx="27">
                  <c:v>0.10337626174730247</c:v>
                </c:pt>
                <c:pt idx="28">
                  <c:v>8.8976945244956779E-2</c:v>
                </c:pt>
                <c:pt idx="29">
                  <c:v>7.5419952005485083E-2</c:v>
                </c:pt>
                <c:pt idx="30">
                  <c:v>7.1549105636179541E-2</c:v>
                </c:pt>
                <c:pt idx="31">
                  <c:v>5.9092507914175169E-2</c:v>
                </c:pt>
                <c:pt idx="32">
                  <c:v>6.2306368330464719E-2</c:v>
                </c:pt>
                <c:pt idx="33">
                  <c:v>6.137061029662462E-2</c:v>
                </c:pt>
                <c:pt idx="34">
                  <c:v>4.7386759581881537E-2</c:v>
                </c:pt>
                <c:pt idx="35">
                  <c:v>4.9773755656108594E-2</c:v>
                </c:pt>
                <c:pt idx="36">
                  <c:v>4.3150684931506852E-2</c:v>
                </c:pt>
                <c:pt idx="37">
                  <c:v>4.7075112495673241E-2</c:v>
                </c:pt>
                <c:pt idx="38">
                  <c:v>3.9623254303345241E-2</c:v>
                </c:pt>
                <c:pt idx="39">
                  <c:v>4.0676863000325414E-2</c:v>
                </c:pt>
                <c:pt idx="40">
                  <c:v>4.2684913652655587E-2</c:v>
                </c:pt>
                <c:pt idx="41">
                  <c:v>3.8109756097560975E-2</c:v>
                </c:pt>
                <c:pt idx="42">
                  <c:v>3.6862282512533179E-2</c:v>
                </c:pt>
                <c:pt idx="43">
                  <c:v>3.4042553191489362E-2</c:v>
                </c:pt>
                <c:pt idx="44">
                  <c:v>3.245382585751979E-2</c:v>
                </c:pt>
                <c:pt idx="45">
                  <c:v>3.4250000000000003E-2</c:v>
                </c:pt>
                <c:pt idx="46">
                  <c:v>3.2626815908549656E-2</c:v>
                </c:pt>
                <c:pt idx="47">
                  <c:v>2.7266530334014997E-2</c:v>
                </c:pt>
                <c:pt idx="48">
                  <c:v>2.8493275586961478E-2</c:v>
                </c:pt>
                <c:pt idx="49">
                  <c:v>2.4396254312469196E-2</c:v>
                </c:pt>
                <c:pt idx="50">
                  <c:v>2.5198938992042442E-2</c:v>
                </c:pt>
                <c:pt idx="51">
                  <c:v>1.7639077340569877E-2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6A9D-9D49-A0F6-A8C7535D8034}"/>
            </c:ext>
          </c:extLst>
        </c:ser>
        <c:ser>
          <c:idx val="4"/>
          <c:order val="4"/>
          <c:tx>
            <c:v> % corona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Corona!$H$2:$H$53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1.0464903330455485E-2</c:v>
                </c:pt>
                <c:pt idx="4">
                  <c:v>4.8277375466315553E-2</c:v>
                </c:pt>
                <c:pt idx="5">
                  <c:v>0.19451317243203708</c:v>
                </c:pt>
                <c:pt idx="6">
                  <c:v>0.28201068672075991</c:v>
                </c:pt>
                <c:pt idx="7">
                  <c:v>0.27203015893415583</c:v>
                </c:pt>
                <c:pt idx="8">
                  <c:v>0.26182668598591724</c:v>
                </c:pt>
                <c:pt idx="9">
                  <c:v>0.21226085742214776</c:v>
                </c:pt>
                <c:pt idx="10">
                  <c:v>0.17106549364613879</c:v>
                </c:pt>
                <c:pt idx="11">
                  <c:v>0.17332691381800672</c:v>
                </c:pt>
                <c:pt idx="12">
                  <c:v>0.14101886127269522</c:v>
                </c:pt>
                <c:pt idx="13">
                  <c:v>0.14662756598240467</c:v>
                </c:pt>
                <c:pt idx="14">
                  <c:v>0.16830294530154277</c:v>
                </c:pt>
                <c:pt idx="15">
                  <c:v>0.17861608259207659</c:v>
                </c:pt>
                <c:pt idx="16">
                  <c:v>0.19949956042469735</c:v>
                </c:pt>
                <c:pt idx="17">
                  <c:v>0.25547166933577364</c:v>
                </c:pt>
                <c:pt idx="18">
                  <c:v>0.27877339705296694</c:v>
                </c:pt>
                <c:pt idx="19">
                  <c:v>0.28296547821165813</c:v>
                </c:pt>
                <c:pt idx="20">
                  <c:v>0.26180458158017766</c:v>
                </c:pt>
                <c:pt idx="21">
                  <c:v>0.31516499814608823</c:v>
                </c:pt>
                <c:pt idx="22">
                  <c:v>0.31922043010752688</c:v>
                </c:pt>
                <c:pt idx="23">
                  <c:v>0.1265022137887413</c:v>
                </c:pt>
                <c:pt idx="24">
                  <c:v>0.1991238550378335</c:v>
                </c:pt>
                <c:pt idx="25">
                  <c:v>0.23375409069658717</c:v>
                </c:pt>
                <c:pt idx="26">
                  <c:v>0.10240655401945724</c:v>
                </c:pt>
                <c:pt idx="27">
                  <c:v>0.11318619128466326</c:v>
                </c:pt>
                <c:pt idx="28">
                  <c:v>0.14231499051233396</c:v>
                </c:pt>
                <c:pt idx="29">
                  <c:v>5.8918839298865808E-2</c:v>
                </c:pt>
                <c:pt idx="30">
                  <c:v>6.9053960737890899E-2</c:v>
                </c:pt>
                <c:pt idx="31">
                  <c:v>6.3251106894370648E-2</c:v>
                </c:pt>
                <c:pt idx="32">
                  <c:v>4.6248121170077469E-2</c:v>
                </c:pt>
                <c:pt idx="33">
                  <c:v>4.0576181781294379E-2</c:v>
                </c:pt>
                <c:pt idx="34">
                  <c:v>4.9437646768013842E-2</c:v>
                </c:pt>
                <c:pt idx="35">
                  <c:v>1.1562030292519367E-2</c:v>
                </c:pt>
                <c:pt idx="36">
                  <c:v>7.9230333899264274E-2</c:v>
                </c:pt>
                <c:pt idx="37">
                  <c:v>1.7627357659086903E-2</c:v>
                </c:pt>
                <c:pt idx="38">
                  <c:v>5.3763440860215055E-2</c:v>
                </c:pt>
                <c:pt idx="39">
                  <c:v>1.4148273910582907E-2</c:v>
                </c:pt>
                <c:pt idx="40">
                  <c:v>2.0879006159306813E-2</c:v>
                </c:pt>
                <c:pt idx="41">
                  <c:v>1.2576243476073695E-2</c:v>
                </c:pt>
                <c:pt idx="42">
                  <c:v>3.2365951019527453E-2</c:v>
                </c:pt>
                <c:pt idx="43">
                  <c:v>3.1548229355627413E-2</c:v>
                </c:pt>
                <c:pt idx="44">
                  <c:v>1.5388462500240443E-2</c:v>
                </c:pt>
                <c:pt idx="45">
                  <c:v>3.1204899169169558E-2</c:v>
                </c:pt>
                <c:pt idx="46">
                  <c:v>2.7248527531493007E-2</c:v>
                </c:pt>
                <c:pt idx="47">
                  <c:v>2.2899243329350855E-2</c:v>
                </c:pt>
                <c:pt idx="48">
                  <c:v>3.2614788768282117E-2</c:v>
                </c:pt>
                <c:pt idx="49">
                  <c:v>3.7125649698869723E-2</c:v>
                </c:pt>
                <c:pt idx="50">
                  <c:v>2.1649707728945658E-2</c:v>
                </c:pt>
                <c:pt idx="51">
                  <c:v>2.3375409069658716E-2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A9D-9D49-A0F6-A8C7535D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48079"/>
        <c:axId val="857788127"/>
      </c:lineChart>
      <c:dateAx>
        <c:axId val="1783545871"/>
        <c:scaling>
          <c:orientation val="minMax"/>
          <c:max val="44348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1"/>
        <c:majorTimeUnit val="months"/>
      </c:dateAx>
      <c:valAx>
        <c:axId val="1219877727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Sterfte/week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</c:valAx>
      <c:valAx>
        <c:axId val="857788127"/>
        <c:scaling>
          <c:orientation val="minMax"/>
          <c:max val="0.3"/>
          <c:min val="0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148079"/>
        <c:crosses val="max"/>
        <c:crossBetween val="between"/>
      </c:valAx>
      <c:dateAx>
        <c:axId val="203148079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857788127"/>
        <c:crosses val="autoZero"/>
        <c:auto val="1"/>
        <c:lblOffset val="100"/>
        <c:baseTimeUnit val="days"/>
      </c:date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legend>
      <c:legendPos val="l"/>
      <c:layout>
        <c:manualLayout>
          <c:xMode val="edge"/>
          <c:yMode val="edge"/>
          <c:x val="0.45573669401948103"/>
          <c:y val="4.4868232934297848E-2"/>
          <c:w val="0.39032526114218163"/>
          <c:h val="0.13956767599172054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727624038215594E-2"/>
          <c:y val="3.9711191335740074E-2"/>
          <c:w val="0.89030604273675606"/>
          <c:h val="0.89822077118408983"/>
        </c:manualLayout>
      </c:layout>
      <c:lineChart>
        <c:grouping val="standard"/>
        <c:varyColors val="0"/>
        <c:ser>
          <c:idx val="3"/>
          <c:order val="0"/>
          <c:tx>
            <c:v> Totaal corona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Corona!$E$2:$E$53</c:f>
              <c:numCache>
                <c:formatCode>General</c:formatCode>
                <c:ptCount val="52"/>
                <c:pt idx="0">
                  <c:v>1145</c:v>
                </c:pt>
                <c:pt idx="1">
                  <c:v>1026</c:v>
                </c:pt>
                <c:pt idx="2">
                  <c:v>984</c:v>
                </c:pt>
                <c:pt idx="3">
                  <c:v>822</c:v>
                </c:pt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DCE-344F-BCFA-C71D6AEE66BF}"/>
            </c:ext>
          </c:extLst>
        </c:ser>
        <c:ser>
          <c:idx val="2"/>
          <c:order val="1"/>
          <c:tx>
            <c:v> Gevaccineerd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33</c:v>
                </c:pt>
                <c:pt idx="5">
                  <c:v>127</c:v>
                </c:pt>
                <c:pt idx="6">
                  <c:v>175</c:v>
                </c:pt>
                <c:pt idx="7">
                  <c:v>131</c:v>
                </c:pt>
                <c:pt idx="8">
                  <c:v>107</c:v>
                </c:pt>
                <c:pt idx="9">
                  <c:v>92</c:v>
                </c:pt>
                <c:pt idx="10">
                  <c:v>64</c:v>
                </c:pt>
                <c:pt idx="11">
                  <c:v>74</c:v>
                </c:pt>
                <c:pt idx="12">
                  <c:v>65</c:v>
                </c:pt>
                <c:pt idx="13">
                  <c:v>65</c:v>
                </c:pt>
                <c:pt idx="14">
                  <c:v>71</c:v>
                </c:pt>
                <c:pt idx="15">
                  <c:v>66</c:v>
                </c:pt>
                <c:pt idx="16">
                  <c:v>80</c:v>
                </c:pt>
                <c:pt idx="17">
                  <c:v>86</c:v>
                </c:pt>
                <c:pt idx="18">
                  <c:v>90</c:v>
                </c:pt>
                <c:pt idx="19">
                  <c:v>74</c:v>
                </c:pt>
                <c:pt idx="20">
                  <c:v>34</c:v>
                </c:pt>
                <c:pt idx="21">
                  <c:v>51</c:v>
                </c:pt>
                <c:pt idx="22">
                  <c:v>27</c:v>
                </c:pt>
                <c:pt idx="23">
                  <c:v>10</c:v>
                </c:pt>
                <c:pt idx="24">
                  <c:v>10</c:v>
                </c:pt>
                <c:pt idx="25">
                  <c:v>13</c:v>
                </c:pt>
                <c:pt idx="26">
                  <c:v>8</c:v>
                </c:pt>
                <c:pt idx="27">
                  <c:v>9</c:v>
                </c:pt>
                <c:pt idx="28">
                  <c:v>36</c:v>
                </c:pt>
                <c:pt idx="29">
                  <c:v>40</c:v>
                </c:pt>
                <c:pt idx="30">
                  <c:v>59</c:v>
                </c:pt>
                <c:pt idx="31">
                  <c:v>54</c:v>
                </c:pt>
                <c:pt idx="32">
                  <c:v>50</c:v>
                </c:pt>
                <c:pt idx="33">
                  <c:v>48</c:v>
                </c:pt>
                <c:pt idx="34">
                  <c:v>46</c:v>
                </c:pt>
                <c:pt idx="35">
                  <c:v>50</c:v>
                </c:pt>
                <c:pt idx="36">
                  <c:v>56</c:v>
                </c:pt>
                <c:pt idx="37">
                  <c:v>37</c:v>
                </c:pt>
                <c:pt idx="38">
                  <c:v>29</c:v>
                </c:pt>
                <c:pt idx="39">
                  <c:v>37</c:v>
                </c:pt>
                <c:pt idx="40">
                  <c:v>62</c:v>
                </c:pt>
                <c:pt idx="41">
                  <c:v>122</c:v>
                </c:pt>
                <c:pt idx="42">
                  <c:v>205</c:v>
                </c:pt>
                <c:pt idx="43">
                  <c:v>282</c:v>
                </c:pt>
                <c:pt idx="44">
                  <c:v>378</c:v>
                </c:pt>
                <c:pt idx="45">
                  <c:v>583</c:v>
                </c:pt>
                <c:pt idx="46">
                  <c:v>736</c:v>
                </c:pt>
                <c:pt idx="47">
                  <c:v>765</c:v>
                </c:pt>
                <c:pt idx="48">
                  <c:v>742</c:v>
                </c:pt>
                <c:pt idx="49">
                  <c:v>526</c:v>
                </c:pt>
                <c:pt idx="50">
                  <c:v>388</c:v>
                </c:pt>
                <c:pt idx="51">
                  <c:v>270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DCE-344F-BCFA-C71D6AEE6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545871"/>
        <c:axId val="1219877727"/>
      </c:lineChart>
      <c:dateAx>
        <c:axId val="1783545871"/>
        <c:scaling>
          <c:orientation val="minMax"/>
          <c:max val="44348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1"/>
        <c:majorTimeUnit val="months"/>
      </c:dateAx>
      <c:valAx>
        <c:axId val="1219877727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Sterfte/week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</c:val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727624038215594E-2"/>
          <c:y val="3.9711191335740074E-2"/>
          <c:w val="0.84103247087803212"/>
          <c:h val="0.89822077118408983"/>
        </c:manualLayout>
      </c:layout>
      <c:lineChart>
        <c:grouping val="standard"/>
        <c:varyColors val="0"/>
        <c:ser>
          <c:idx val="3"/>
          <c:order val="0"/>
          <c:tx>
            <c:v> totaal corona overlijdens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Corona!$E$2:$E$53</c:f>
              <c:numCache>
                <c:formatCode>General</c:formatCode>
                <c:ptCount val="52"/>
                <c:pt idx="0">
                  <c:v>1145</c:v>
                </c:pt>
                <c:pt idx="1">
                  <c:v>1026</c:v>
                </c:pt>
                <c:pt idx="2">
                  <c:v>984</c:v>
                </c:pt>
                <c:pt idx="3">
                  <c:v>822</c:v>
                </c:pt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6A-DF4B-A2B8-9A9B58ED4DA7}"/>
            </c:ext>
          </c:extLst>
        </c:ser>
        <c:ser>
          <c:idx val="0"/>
          <c:order val="1"/>
          <c:tx>
            <c:v> Oversterfte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VE!$E$2:$E$53</c:f>
              <c:numCache>
                <c:formatCode>0</c:formatCode>
                <c:ptCount val="52"/>
                <c:pt idx="0">
                  <c:v>940.37494262644941</c:v>
                </c:pt>
                <c:pt idx="1">
                  <c:v>639.6227814163276</c:v>
                </c:pt>
                <c:pt idx="2">
                  <c:v>644.24616696009207</c:v>
                </c:pt>
                <c:pt idx="3">
                  <c:v>496.32138568566506</c:v>
                </c:pt>
                <c:pt idx="4">
                  <c:v>435.87439435801934</c:v>
                </c:pt>
                <c:pt idx="5">
                  <c:v>336.8804357334011</c:v>
                </c:pt>
                <c:pt idx="6">
                  <c:v>323.26439373800031</c:v>
                </c:pt>
                <c:pt idx="7">
                  <c:v>13.901883076891409</c:v>
                </c:pt>
                <c:pt idx="8">
                  <c:v>-73.378942531840039</c:v>
                </c:pt>
                <c:pt idx="9">
                  <c:v>84.205110215543755</c:v>
                </c:pt>
                <c:pt idx="10">
                  <c:v>-97.604569266648923</c:v>
                </c:pt>
                <c:pt idx="11">
                  <c:v>-74.104628932601827</c:v>
                </c:pt>
                <c:pt idx="12">
                  <c:v>84.374567554763871</c:v>
                </c:pt>
                <c:pt idx="13">
                  <c:v>94.473754663109048</c:v>
                </c:pt>
                <c:pt idx="14">
                  <c:v>96.810000865556958</c:v>
                </c:pt>
                <c:pt idx="15">
                  <c:v>131.98229024439524</c:v>
                </c:pt>
                <c:pt idx="16">
                  <c:v>139.57736846626312</c:v>
                </c:pt>
                <c:pt idx="17">
                  <c:v>45.175767906701367</c:v>
                </c:pt>
                <c:pt idx="18">
                  <c:v>88.357924079557051</c:v>
                </c:pt>
                <c:pt idx="19">
                  <c:v>88.710294185088969</c:v>
                </c:pt>
                <c:pt idx="20">
                  <c:v>-67.16861145060102</c:v>
                </c:pt>
                <c:pt idx="21">
                  <c:v>160.33762698786131</c:v>
                </c:pt>
                <c:pt idx="22">
                  <c:v>56.868934668201746</c:v>
                </c:pt>
                <c:pt idx="23">
                  <c:v>63.093995837954935</c:v>
                </c:pt>
                <c:pt idx="24">
                  <c:v>-115.28491123901631</c:v>
                </c:pt>
                <c:pt idx="25">
                  <c:v>20.472431306223825</c:v>
                </c:pt>
                <c:pt idx="26">
                  <c:v>78.147973759868364</c:v>
                </c:pt>
                <c:pt idx="27">
                  <c:v>119.56858348611831</c:v>
                </c:pt>
                <c:pt idx="28">
                  <c:v>27.608574923994638</c:v>
                </c:pt>
                <c:pt idx="29">
                  <c:v>170.19154794939459</c:v>
                </c:pt>
                <c:pt idx="30">
                  <c:v>214.29150771350305</c:v>
                </c:pt>
                <c:pt idx="31">
                  <c:v>88.93324954391619</c:v>
                </c:pt>
                <c:pt idx="32">
                  <c:v>142.19200321062408</c:v>
                </c:pt>
                <c:pt idx="33">
                  <c:v>158.1923416591344</c:v>
                </c:pt>
                <c:pt idx="34">
                  <c:v>80.106370039958165</c:v>
                </c:pt>
                <c:pt idx="35">
                  <c:v>286.15122136109539</c:v>
                </c:pt>
                <c:pt idx="36">
                  <c:v>91.58589520475789</c:v>
                </c:pt>
                <c:pt idx="37">
                  <c:v>37.707485533975614</c:v>
                </c:pt>
                <c:pt idx="38">
                  <c:v>202.84685252904092</c:v>
                </c:pt>
                <c:pt idx="39">
                  <c:v>170.36380150783771</c:v>
                </c:pt>
                <c:pt idx="40">
                  <c:v>138.64183917967921</c:v>
                </c:pt>
                <c:pt idx="41">
                  <c:v>321.08258365414758</c:v>
                </c:pt>
                <c:pt idx="42">
                  <c:v>403.09990968459488</c:v>
                </c:pt>
                <c:pt idx="43">
                  <c:v>508.11391449647363</c:v>
                </c:pt>
                <c:pt idx="44">
                  <c:v>744.54479217692506</c:v>
                </c:pt>
                <c:pt idx="45">
                  <c:v>926.80670594568255</c:v>
                </c:pt>
                <c:pt idx="46">
                  <c:v>1099.3017476685136</c:v>
                </c:pt>
                <c:pt idx="47">
                  <c:v>1276.4140727124818</c:v>
                </c:pt>
                <c:pt idx="48">
                  <c:v>1239.5042956954071</c:v>
                </c:pt>
                <c:pt idx="49">
                  <c:v>889.90422888712374</c:v>
                </c:pt>
                <c:pt idx="50">
                  <c:v>583.91204003261646</c:v>
                </c:pt>
                <c:pt idx="51">
                  <c:v>483.78790025946819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2C6-AD41-B7CB-342153947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lineChart>
        <c:grouping val="standard"/>
        <c:varyColors val="0"/>
        <c:ser>
          <c:idx val="4"/>
          <c:order val="2"/>
          <c:tx>
            <c:v> % corona overlijdens 1 prik</c:v>
          </c:tx>
          <c:spPr>
            <a:ln w="412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Corona!$H$2:$H$53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1.0464903330455485E-2</c:v>
                </c:pt>
                <c:pt idx="4">
                  <c:v>4.8277375466315553E-2</c:v>
                </c:pt>
                <c:pt idx="5">
                  <c:v>0.19451317243203708</c:v>
                </c:pt>
                <c:pt idx="6">
                  <c:v>0.28201068672075991</c:v>
                </c:pt>
                <c:pt idx="7">
                  <c:v>0.27203015893415583</c:v>
                </c:pt>
                <c:pt idx="8">
                  <c:v>0.26182668598591724</c:v>
                </c:pt>
                <c:pt idx="9">
                  <c:v>0.21226085742214776</c:v>
                </c:pt>
                <c:pt idx="10">
                  <c:v>0.17106549364613879</c:v>
                </c:pt>
                <c:pt idx="11">
                  <c:v>0.17332691381800672</c:v>
                </c:pt>
                <c:pt idx="12">
                  <c:v>0.14101886127269522</c:v>
                </c:pt>
                <c:pt idx="13">
                  <c:v>0.14662756598240467</c:v>
                </c:pt>
                <c:pt idx="14">
                  <c:v>0.16830294530154277</c:v>
                </c:pt>
                <c:pt idx="15">
                  <c:v>0.17861608259207659</c:v>
                </c:pt>
                <c:pt idx="16">
                  <c:v>0.19949956042469735</c:v>
                </c:pt>
                <c:pt idx="17">
                  <c:v>0.25547166933577364</c:v>
                </c:pt>
                <c:pt idx="18">
                  <c:v>0.27877339705296694</c:v>
                </c:pt>
                <c:pt idx="19">
                  <c:v>0.28296547821165813</c:v>
                </c:pt>
                <c:pt idx="20">
                  <c:v>0.26180458158017766</c:v>
                </c:pt>
                <c:pt idx="21">
                  <c:v>0.31516499814608823</c:v>
                </c:pt>
                <c:pt idx="22">
                  <c:v>0.31922043010752688</c:v>
                </c:pt>
                <c:pt idx="23">
                  <c:v>0.1265022137887413</c:v>
                </c:pt>
                <c:pt idx="24">
                  <c:v>0.1991238550378335</c:v>
                </c:pt>
                <c:pt idx="25">
                  <c:v>0.23375409069658717</c:v>
                </c:pt>
                <c:pt idx="26">
                  <c:v>0.10240655401945724</c:v>
                </c:pt>
                <c:pt idx="27">
                  <c:v>0.11318619128466326</c:v>
                </c:pt>
                <c:pt idx="28">
                  <c:v>0.14231499051233396</c:v>
                </c:pt>
                <c:pt idx="29">
                  <c:v>5.8918839298865808E-2</c:v>
                </c:pt>
                <c:pt idx="30">
                  <c:v>6.9053960737890899E-2</c:v>
                </c:pt>
                <c:pt idx="31">
                  <c:v>6.3251106894370648E-2</c:v>
                </c:pt>
                <c:pt idx="32">
                  <c:v>4.6248121170077469E-2</c:v>
                </c:pt>
                <c:pt idx="33">
                  <c:v>4.0576181781294379E-2</c:v>
                </c:pt>
                <c:pt idx="34">
                  <c:v>4.9437646768013842E-2</c:v>
                </c:pt>
                <c:pt idx="35">
                  <c:v>1.1562030292519367E-2</c:v>
                </c:pt>
                <c:pt idx="36">
                  <c:v>7.9230333899264274E-2</c:v>
                </c:pt>
                <c:pt idx="37">
                  <c:v>1.7627357659086903E-2</c:v>
                </c:pt>
                <c:pt idx="38">
                  <c:v>5.3763440860215055E-2</c:v>
                </c:pt>
                <c:pt idx="39">
                  <c:v>1.4148273910582907E-2</c:v>
                </c:pt>
                <c:pt idx="40">
                  <c:v>2.0879006159306813E-2</c:v>
                </c:pt>
                <c:pt idx="41">
                  <c:v>1.2576243476073695E-2</c:v>
                </c:pt>
                <c:pt idx="42">
                  <c:v>3.2365951019527453E-2</c:v>
                </c:pt>
                <c:pt idx="43">
                  <c:v>3.1548229355627413E-2</c:v>
                </c:pt>
                <c:pt idx="44">
                  <c:v>1.5388462500240443E-2</c:v>
                </c:pt>
                <c:pt idx="45">
                  <c:v>3.1204899169169558E-2</c:v>
                </c:pt>
                <c:pt idx="46">
                  <c:v>2.7248527531493007E-2</c:v>
                </c:pt>
                <c:pt idx="47">
                  <c:v>2.2899243329350855E-2</c:v>
                </c:pt>
                <c:pt idx="48">
                  <c:v>3.2614788768282117E-2</c:v>
                </c:pt>
                <c:pt idx="49">
                  <c:v>3.7125649698869723E-2</c:v>
                </c:pt>
                <c:pt idx="50">
                  <c:v>2.1649707728945658E-2</c:v>
                </c:pt>
                <c:pt idx="51">
                  <c:v>2.3375409069658716E-2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56A-DF4B-A2B8-9A9B58ED4DA7}"/>
            </c:ext>
          </c:extLst>
        </c:ser>
        <c:ser>
          <c:idx val="1"/>
          <c:order val="3"/>
          <c:tx>
            <c:v> % alle overlijdens 1 prik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Corona!$F$2:$F$53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7.8040904198062432E-3</c:v>
                </c:pt>
                <c:pt idx="4">
                  <c:v>7.170224411603722E-2</c:v>
                </c:pt>
                <c:pt idx="5">
                  <c:v>0.15774647887323945</c:v>
                </c:pt>
                <c:pt idx="6">
                  <c:v>0.20691609977324263</c:v>
                </c:pt>
                <c:pt idx="7">
                  <c:v>0.21359526036794513</c:v>
                </c:pt>
                <c:pt idx="8">
                  <c:v>0.1784219001610306</c:v>
                </c:pt>
                <c:pt idx="9">
                  <c:v>0.16548536209553158</c:v>
                </c:pt>
                <c:pt idx="10">
                  <c:v>0.15149523496549458</c:v>
                </c:pt>
                <c:pt idx="11">
                  <c:v>0.13797634691195795</c:v>
                </c:pt>
                <c:pt idx="12">
                  <c:v>0.13593455003146634</c:v>
                </c:pt>
                <c:pt idx="13">
                  <c:v>0.12618595825426945</c:v>
                </c:pt>
                <c:pt idx="14">
                  <c:v>0.1357985336308575</c:v>
                </c:pt>
                <c:pt idx="15">
                  <c:v>0.15458015267175573</c:v>
                </c:pt>
                <c:pt idx="16">
                  <c:v>0.17162984309958373</c:v>
                </c:pt>
                <c:pt idx="17">
                  <c:v>0.19500000000000001</c:v>
                </c:pt>
                <c:pt idx="18">
                  <c:v>0.19601990049751244</c:v>
                </c:pt>
                <c:pt idx="19">
                  <c:v>0.22356091030789826</c:v>
                </c:pt>
                <c:pt idx="20">
                  <c:v>0.19244476122594439</c:v>
                </c:pt>
                <c:pt idx="21">
                  <c:v>0.1814556331006979</c:v>
                </c:pt>
                <c:pt idx="22">
                  <c:v>0.186264308012487</c:v>
                </c:pt>
                <c:pt idx="23">
                  <c:v>0.16312303938654585</c:v>
                </c:pt>
                <c:pt idx="24">
                  <c:v>0.14440703329592219</c:v>
                </c:pt>
                <c:pt idx="25">
                  <c:v>0.13457408732999285</c:v>
                </c:pt>
                <c:pt idx="26">
                  <c:v>0.11866197183098591</c:v>
                </c:pt>
                <c:pt idx="27">
                  <c:v>0.10337626174730247</c:v>
                </c:pt>
                <c:pt idx="28">
                  <c:v>8.8976945244956779E-2</c:v>
                </c:pt>
                <c:pt idx="29">
                  <c:v>7.5419952005485083E-2</c:v>
                </c:pt>
                <c:pt idx="30">
                  <c:v>7.1549105636179541E-2</c:v>
                </c:pt>
                <c:pt idx="31">
                  <c:v>5.9092507914175169E-2</c:v>
                </c:pt>
                <c:pt idx="32">
                  <c:v>6.2306368330464719E-2</c:v>
                </c:pt>
                <c:pt idx="33">
                  <c:v>6.137061029662462E-2</c:v>
                </c:pt>
                <c:pt idx="34">
                  <c:v>4.7386759581881537E-2</c:v>
                </c:pt>
                <c:pt idx="35">
                  <c:v>4.9773755656108594E-2</c:v>
                </c:pt>
                <c:pt idx="36">
                  <c:v>4.3150684931506852E-2</c:v>
                </c:pt>
                <c:pt idx="37">
                  <c:v>4.7075112495673241E-2</c:v>
                </c:pt>
                <c:pt idx="38">
                  <c:v>3.9623254303345241E-2</c:v>
                </c:pt>
                <c:pt idx="39">
                  <c:v>4.0676863000325414E-2</c:v>
                </c:pt>
                <c:pt idx="40">
                  <c:v>4.2684913652655587E-2</c:v>
                </c:pt>
                <c:pt idx="41">
                  <c:v>3.8109756097560975E-2</c:v>
                </c:pt>
                <c:pt idx="42">
                  <c:v>3.6862282512533179E-2</c:v>
                </c:pt>
                <c:pt idx="43">
                  <c:v>3.4042553191489362E-2</c:v>
                </c:pt>
                <c:pt idx="44">
                  <c:v>3.245382585751979E-2</c:v>
                </c:pt>
                <c:pt idx="45">
                  <c:v>3.4250000000000003E-2</c:v>
                </c:pt>
                <c:pt idx="46">
                  <c:v>3.2626815908549656E-2</c:v>
                </c:pt>
                <c:pt idx="47">
                  <c:v>2.7266530334014997E-2</c:v>
                </c:pt>
                <c:pt idx="48">
                  <c:v>2.8493275586961478E-2</c:v>
                </c:pt>
                <c:pt idx="49">
                  <c:v>2.4396254312469196E-2</c:v>
                </c:pt>
                <c:pt idx="50">
                  <c:v>2.5198938992042442E-2</c:v>
                </c:pt>
                <c:pt idx="51">
                  <c:v>1.7639077340569877E-2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56A-DF4B-A2B8-9A9B58ED4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48079"/>
        <c:axId val="857788127"/>
      </c:lineChart>
      <c:dateAx>
        <c:axId val="1783545871"/>
        <c:scaling>
          <c:orientation val="minMax"/>
          <c:max val="44348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1"/>
        <c:majorTimeUnit val="months"/>
      </c:dateAx>
      <c:valAx>
        <c:axId val="1219877727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Sterfte/week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  <c:majorUnit val="250"/>
      </c:valAx>
      <c:valAx>
        <c:axId val="857788127"/>
        <c:scaling>
          <c:orientation val="minMax"/>
          <c:max val="0.3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rgbClr val="0070C0"/>
                    </a:solidFill>
                  </a:rPr>
                  <a:t>% Overlijdens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148079"/>
        <c:crosses val="max"/>
        <c:crossBetween val="between"/>
      </c:valAx>
      <c:dateAx>
        <c:axId val="203148079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857788127"/>
        <c:crosses val="autoZero"/>
        <c:auto val="1"/>
        <c:lblOffset val="100"/>
        <c:baseTimeUnit val="days"/>
      </c:date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2415159035763E-2"/>
          <c:y val="3.9711191335740074E-2"/>
          <c:w val="0.874502706476879"/>
          <c:h val="0.89822077118408983"/>
        </c:manualLayout>
      </c:layout>
      <c:lineChart>
        <c:grouping val="standard"/>
        <c:varyColors val="0"/>
        <c:ser>
          <c:idx val="3"/>
          <c:order val="0"/>
          <c:tx>
            <c:v> Totaal corona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Corona!$E$2:$E$104</c:f>
              <c:numCache>
                <c:formatCode>General</c:formatCode>
                <c:ptCount val="103"/>
                <c:pt idx="0">
                  <c:v>1145</c:v>
                </c:pt>
                <c:pt idx="1">
                  <c:v>1026</c:v>
                </c:pt>
                <c:pt idx="2">
                  <c:v>984</c:v>
                </c:pt>
                <c:pt idx="3">
                  <c:v>822</c:v>
                </c:pt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  <c:pt idx="52">
                  <c:v>296</c:v>
                </c:pt>
                <c:pt idx="53">
                  <c:v>226</c:v>
                </c:pt>
                <c:pt idx="54">
                  <c:v>179</c:v>
                </c:pt>
                <c:pt idx="55">
                  <c:v>186</c:v>
                </c:pt>
                <c:pt idx="56">
                  <c:v>239</c:v>
                </c:pt>
                <c:pt idx="57">
                  <c:v>274</c:v>
                </c:pt>
                <c:pt idx="58">
                  <c:v>291</c:v>
                </c:pt>
                <c:pt idx="59">
                  <c:v>252</c:v>
                </c:pt>
                <c:pt idx="60">
                  <c:v>235</c:v>
                </c:pt>
                <c:pt idx="61">
                  <c:v>314</c:v>
                </c:pt>
                <c:pt idx="62">
                  <c:v>410</c:v>
                </c:pt>
                <c:pt idx="63">
                  <c:v>389</c:v>
                </c:pt>
                <c:pt idx="64">
                  <c:v>343</c:v>
                </c:pt>
                <c:pt idx="65">
                  <c:v>292</c:v>
                </c:pt>
                <c:pt idx="66">
                  <c:v>227</c:v>
                </c:pt>
                <c:pt idx="67">
                  <c:v>169</c:v>
                </c:pt>
                <c:pt idx="68">
                  <c:v>115</c:v>
                </c:pt>
                <c:pt idx="69">
                  <c:v>71</c:v>
                </c:pt>
                <c:pt idx="70">
                  <c:v>61</c:v>
                </c:pt>
                <c:pt idx="71">
                  <c:v>53</c:v>
                </c:pt>
                <c:pt idx="72">
                  <c:v>42</c:v>
                </c:pt>
                <c:pt idx="73">
                  <c:v>29</c:v>
                </c:pt>
                <c:pt idx="74">
                  <c:v>29</c:v>
                </c:pt>
                <c:pt idx="75">
                  <c:v>73</c:v>
                </c:pt>
                <c:pt idx="76">
                  <c:v>69</c:v>
                </c:pt>
                <c:pt idx="77">
                  <c:v>152</c:v>
                </c:pt>
                <c:pt idx="78">
                  <c:v>105</c:v>
                </c:pt>
                <c:pt idx="79">
                  <c:v>156</c:v>
                </c:pt>
                <c:pt idx="80">
                  <c:v>184</c:v>
                </c:pt>
                <c:pt idx="81">
                  <c:v>183</c:v>
                </c:pt>
                <c:pt idx="82">
                  <c:v>146</c:v>
                </c:pt>
                <c:pt idx="83">
                  <c:v>131</c:v>
                </c:pt>
                <c:pt idx="84">
                  <c:v>101</c:v>
                </c:pt>
                <c:pt idx="85">
                  <c:v>84</c:v>
                </c:pt>
                <c:pt idx="86">
                  <c:v>63</c:v>
                </c:pt>
                <c:pt idx="87">
                  <c:v>72</c:v>
                </c:pt>
                <c:pt idx="88">
                  <c:v>56</c:v>
                </c:pt>
                <c:pt idx="89">
                  <c:v>58</c:v>
                </c:pt>
                <c:pt idx="90">
                  <c:v>104</c:v>
                </c:pt>
                <c:pt idx="91">
                  <c:v>170</c:v>
                </c:pt>
                <c:pt idx="92">
                  <c:v>196</c:v>
                </c:pt>
                <c:pt idx="93">
                  <c:v>226</c:v>
                </c:pt>
                <c:pt idx="94">
                  <c:v>177</c:v>
                </c:pt>
                <c:pt idx="95">
                  <c:v>111</c:v>
                </c:pt>
                <c:pt idx="96">
                  <c:v>98</c:v>
                </c:pt>
                <c:pt idx="97">
                  <c:v>77</c:v>
                </c:pt>
                <c:pt idx="98">
                  <c:v>66</c:v>
                </c:pt>
                <c:pt idx="99">
                  <c:v>83</c:v>
                </c:pt>
                <c:pt idx="100">
                  <c:v>91</c:v>
                </c:pt>
                <c:pt idx="101">
                  <c:v>117</c:v>
                </c:pt>
                <c:pt idx="102">
                  <c:v>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964-CA49-BBB6-8D7E11C03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lineChart>
        <c:grouping val="standard"/>
        <c:varyColors val="0"/>
        <c:ser>
          <c:idx val="0"/>
          <c:order val="1"/>
          <c:tx>
            <c:v>Gevaccineerd corona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Corona!$I$2:$I$104</c:f>
              <c:numCache>
                <c:formatCode>General</c:formatCode>
                <c:ptCount val="103"/>
                <c:pt idx="4" formatCode="0.0%">
                  <c:v>4.8040816326530615E-2</c:v>
                </c:pt>
                <c:pt idx="5" formatCode="0.0%">
                  <c:v>0.18213702637172524</c:v>
                </c:pt>
                <c:pt idx="6" formatCode="0.0%">
                  <c:v>0.26256665736262996</c:v>
                </c:pt>
                <c:pt idx="7" formatCode="0.0%">
                  <c:v>0.27907535130186589</c:v>
                </c:pt>
                <c:pt idx="8" formatCode="0.0%">
                  <c:v>0.26905882408164766</c:v>
                </c:pt>
                <c:pt idx="9" formatCode="0.0%">
                  <c:v>0.24414600411408924</c:v>
                </c:pt>
                <c:pt idx="10" formatCode="0.0%">
                  <c:v>0.22028435743361119</c:v>
                </c:pt>
                <c:pt idx="11" formatCode="0.0%">
                  <c:v>0.2143222987150685</c:v>
                </c:pt>
                <c:pt idx="12" formatCode="0.0%">
                  <c:v>0.20679260738038574</c:v>
                </c:pt>
                <c:pt idx="13" formatCode="0.0%">
                  <c:v>0.20793634311756196</c:v>
                </c:pt>
                <c:pt idx="14" formatCode="0.0%">
                  <c:v>0.22144532826459015</c:v>
                </c:pt>
                <c:pt idx="15" formatCode="0.0%">
                  <c:v>0.23965529222162568</c:v>
                </c:pt>
                <c:pt idx="16" formatCode="0.0%">
                  <c:v>0.27482369420278452</c:v>
                </c:pt>
                <c:pt idx="17" formatCode="0.0%">
                  <c:v>0.32952569992714514</c:v>
                </c:pt>
                <c:pt idx="18" formatCode="0.0%">
                  <c:v>0.38391037285886109</c:v>
                </c:pt>
                <c:pt idx="19" formatCode="0.0%">
                  <c:v>0.38652945164844477</c:v>
                </c:pt>
                <c:pt idx="20" formatCode="0.0%">
                  <c:v>0.37996588219048372</c:v>
                </c:pt>
                <c:pt idx="21" formatCode="0.0%">
                  <c:v>0.42715403626311849</c:v>
                </c:pt>
                <c:pt idx="22" formatCode="0.0%">
                  <c:v>0.39576186401284652</c:v>
                </c:pt>
                <c:pt idx="23" formatCode="0.0%">
                  <c:v>0.31682759735838784</c:v>
                </c:pt>
                <c:pt idx="24" formatCode="0.0%">
                  <c:v>0.40179478071421804</c:v>
                </c:pt>
                <c:pt idx="25" formatCode="0.0%">
                  <c:v>0.50337014032666205</c:v>
                </c:pt>
                <c:pt idx="26" formatCode="0.0%">
                  <c:v>0.48171570229922633</c:v>
                </c:pt>
                <c:pt idx="27" formatCode="0.0%">
                  <c:v>0.49694346159516439</c:v>
                </c:pt>
                <c:pt idx="28" formatCode="0.0%">
                  <c:v>0.55652116289918996</c:v>
                </c:pt>
                <c:pt idx="29" formatCode="0.0%">
                  <c:v>0.57956190997198176</c:v>
                </c:pt>
                <c:pt idx="30" formatCode="0.0%">
                  <c:v>0.57778014548787959</c:v>
                </c:pt>
                <c:pt idx="31" formatCode="0.0%">
                  <c:v>0.57184607640037366</c:v>
                </c:pt>
                <c:pt idx="32" formatCode="0.0%">
                  <c:v>0.55038413113267215</c:v>
                </c:pt>
                <c:pt idx="33" formatCode="0.0%">
                  <c:v>0.52751813685366689</c:v>
                </c:pt>
                <c:pt idx="34" formatCode="0.0%">
                  <c:v>0.54782284299116424</c:v>
                </c:pt>
                <c:pt idx="35" formatCode="0.0%">
                  <c:v>0.58675540073766175</c:v>
                </c:pt>
                <c:pt idx="36" formatCode="0.0%">
                  <c:v>0.62143972371436262</c:v>
                </c:pt>
                <c:pt idx="37" formatCode="0.0%">
                  <c:v>0.61148407391429405</c:v>
                </c:pt>
                <c:pt idx="38" formatCode="0.0%">
                  <c:v>0.55106769485188389</c:v>
                </c:pt>
                <c:pt idx="39" formatCode="0.0%">
                  <c:v>0.55077161045818435</c:v>
                </c:pt>
                <c:pt idx="40" formatCode="0.0%">
                  <c:v>0.64311705132572528</c:v>
                </c:pt>
                <c:pt idx="41" formatCode="0.0%">
                  <c:v>0.7261183339419216</c:v>
                </c:pt>
                <c:pt idx="42" formatCode="0.0%">
                  <c:v>0.7420916260949999</c:v>
                </c:pt>
                <c:pt idx="43" formatCode="0.0%">
                  <c:v>0.73316382549591497</c:v>
                </c:pt>
                <c:pt idx="44" formatCode="0.0%">
                  <c:v>0.73478485144982919</c:v>
                </c:pt>
                <c:pt idx="45" formatCode="0.0%">
                  <c:v>0.74992870596581929</c:v>
                </c:pt>
                <c:pt idx="46" formatCode="0.0%">
                  <c:v>0.7618370220400188</c:v>
                </c:pt>
                <c:pt idx="47" formatCode="0.0%">
                  <c:v>0.75898661229825493</c:v>
                </c:pt>
                <c:pt idx="48" formatCode="0.0%">
                  <c:v>0.74568371570243597</c:v>
                </c:pt>
                <c:pt idx="49" formatCode="0.0%">
                  <c:v>0.72214107109867054</c:v>
                </c:pt>
                <c:pt idx="50" formatCode="0.0%">
                  <c:v>0.70267477986233895</c:v>
                </c:pt>
                <c:pt idx="51" formatCode="0.0%">
                  <c:v>0.67397794688838242</c:v>
                </c:pt>
                <c:pt idx="52" formatCode="0.0%">
                  <c:v>0.62780216273410772</c:v>
                </c:pt>
                <c:pt idx="53" formatCode="0.0%">
                  <c:v>0.6048652118555744</c:v>
                </c:pt>
                <c:pt idx="54" formatCode="0.0%">
                  <c:v>0.62308023423391812</c:v>
                </c:pt>
                <c:pt idx="55" formatCode="0.0%">
                  <c:v>0.65599289190533538</c:v>
                </c:pt>
                <c:pt idx="56" formatCode="0.0%">
                  <c:v>0.65037181016118029</c:v>
                </c:pt>
                <c:pt idx="57" formatCode="0.0%">
                  <c:v>0.62801484103052696</c:v>
                </c:pt>
                <c:pt idx="58" formatCode="0.0%">
                  <c:v>0.63478597960241623</c:v>
                </c:pt>
                <c:pt idx="59" formatCode="0.0%">
                  <c:v>0.65297607122837442</c:v>
                </c:pt>
                <c:pt idx="60" formatCode="0.0%">
                  <c:v>0.6967390828649298</c:v>
                </c:pt>
                <c:pt idx="61" formatCode="0.0%">
                  <c:v>0.74859716598521187</c:v>
                </c:pt>
                <c:pt idx="62" formatCode="0.0%">
                  <c:v>0.77229017053961424</c:v>
                </c:pt>
                <c:pt idx="63" formatCode="0.0%">
                  <c:v>0.79308939089192287</c:v>
                </c:pt>
                <c:pt idx="64" formatCode="0.0%">
                  <c:v>0.81140978383490392</c:v>
                </c:pt>
                <c:pt idx="65" formatCode="0.0%">
                  <c:v>0.82213825045264199</c:v>
                </c:pt>
                <c:pt idx="66" formatCode="0.0%">
                  <c:v>0.84986674004347085</c:v>
                </c:pt>
                <c:pt idx="67" formatCode="0.0%">
                  <c:v>0.87014939723397433</c:v>
                </c:pt>
                <c:pt idx="68" formatCode="0.0%">
                  <c:v>0.8801198487555123</c:v>
                </c:pt>
                <c:pt idx="69" formatCode="0.0%">
                  <c:v>0.87619307720879813</c:v>
                </c:pt>
                <c:pt idx="70" formatCode="0.0%">
                  <c:v>0.84529198233010816</c:v>
                </c:pt>
                <c:pt idx="71" formatCode="0.0%">
                  <c:v>0.83520219315687927</c:v>
                </c:pt>
                <c:pt idx="72" formatCode="0.0%">
                  <c:v>0.8644749357127367</c:v>
                </c:pt>
                <c:pt idx="73" formatCode="0.0%">
                  <c:v>0.88639573070607558</c:v>
                </c:pt>
                <c:pt idx="74" formatCode="0.0%">
                  <c:v>0.87288143599433154</c:v>
                </c:pt>
                <c:pt idx="75" formatCode="0.0%">
                  <c:v>0.89380010337297111</c:v>
                </c:pt>
                <c:pt idx="76" formatCode="0.0%">
                  <c:v>0.91662661110414523</c:v>
                </c:pt>
                <c:pt idx="77" formatCode="0.0%">
                  <c:v>0.88596075787294326</c:v>
                </c:pt>
                <c:pt idx="78" formatCode="0.0%">
                  <c:v>0.87419046414112211</c:v>
                </c:pt>
                <c:pt idx="79" formatCode="0.0%">
                  <c:v>0.88097348303870049</c:v>
                </c:pt>
                <c:pt idx="80" formatCode="0.0%">
                  <c:v>0.8727580436610195</c:v>
                </c:pt>
                <c:pt idx="81" formatCode="0.0%">
                  <c:v>0.87978810897717552</c:v>
                </c:pt>
                <c:pt idx="82" formatCode="0.0%">
                  <c:v>0.89842482753142949</c:v>
                </c:pt>
                <c:pt idx="83" formatCode="0.0%">
                  <c:v>0.89665189188321748</c:v>
                </c:pt>
                <c:pt idx="84" formatCode="0.0%">
                  <c:v>0.89044349759403418</c:v>
                </c:pt>
                <c:pt idx="85" formatCode="0.0%">
                  <c:v>0.90608635863586351</c:v>
                </c:pt>
                <c:pt idx="86" formatCode="0.0%">
                  <c:v>0.92138888888888903</c:v>
                </c:pt>
                <c:pt idx="87" formatCode="0.0%">
                  <c:v>0.90334325396825399</c:v>
                </c:pt>
                <c:pt idx="88" formatCode="0.0%">
                  <c:v>0.87453612479474552</c:v>
                </c:pt>
                <c:pt idx="89" formatCode="0.0%">
                  <c:v>0.87553287230011378</c:v>
                </c:pt>
                <c:pt idx="90" formatCode="0.0%">
                  <c:v>0.89857711811515073</c:v>
                </c:pt>
                <c:pt idx="91" formatCode="0.0%">
                  <c:v>0.90902324776064281</c:v>
                </c:pt>
                <c:pt idx="92" formatCode="0.0%">
                  <c:v>0.90489706413538873</c:v>
                </c:pt>
                <c:pt idx="93" formatCode="0.0%">
                  <c:v>0.88103086618628246</c:v>
                </c:pt>
                <c:pt idx="94" formatCode="0.0%">
                  <c:v>0.85236818226656241</c:v>
                </c:pt>
                <c:pt idx="95" formatCode="0.0%">
                  <c:v>0.84985252071511164</c:v>
                </c:pt>
                <c:pt idx="96" formatCode="0.0%">
                  <c:v>0.86915927058784193</c:v>
                </c:pt>
                <c:pt idx="97" formatCode="0.0%">
                  <c:v>0.89828385899814478</c:v>
                </c:pt>
                <c:pt idx="98" formatCode="0.0%">
                  <c:v>0.92312822719449228</c:v>
                </c:pt>
                <c:pt idx="99" formatCode="0.0%">
                  <c:v>0.91615280803533827</c:v>
                </c:pt>
                <c:pt idx="100" formatCode="0.0%">
                  <c:v>0.89079306235932743</c:v>
                </c:pt>
                <c:pt idx="101" formatCode="0.0%">
                  <c:v>0.88306355311355311</c:v>
                </c:pt>
                <c:pt idx="102" formatCode="0.0%">
                  <c:v>0.87494112239961308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964-CA49-BBB6-8D7E11C03055}"/>
            </c:ext>
          </c:extLst>
        </c:ser>
        <c:ser>
          <c:idx val="1"/>
          <c:order val="2"/>
          <c:tx>
            <c:v>Vaccinaties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Corona!$K$2:$K$105</c:f>
              <c:numCache>
                <c:formatCode>0.0%</c:formatCode>
                <c:ptCount val="1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  <c:pt idx="103">
                  <c:v>3.1242420954355229E-3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64-CA49-BBB6-8D7E11C03055}"/>
            </c:ext>
          </c:extLst>
        </c:ser>
        <c:ser>
          <c:idx val="2"/>
          <c:order val="3"/>
          <c:tx>
            <c:v>ACM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verzamel!$I$2:$I$103</c:f>
              <c:numCache>
                <c:formatCode>0.0%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2.0182992465016146E-3</c:v>
                </c:pt>
                <c:pt idx="3">
                  <c:v>2.244108672507767E-2</c:v>
                </c:pt>
                <c:pt idx="4">
                  <c:v>7.8897698245861764E-2</c:v>
                </c:pt>
                <c:pt idx="5">
                  <c:v>0.15339227207800715</c:v>
                </c:pt>
                <c:pt idx="6">
                  <c:v>0.20706083890756</c:v>
                </c:pt>
                <c:pt idx="7">
                  <c:v>0.23200040289159685</c:v>
                </c:pt>
                <c:pt idx="8">
                  <c:v>0.2534496692412237</c:v>
                </c:pt>
                <c:pt idx="9">
                  <c:v>0.27684002090684884</c:v>
                </c:pt>
                <c:pt idx="10">
                  <c:v>0.29315602036363159</c:v>
                </c:pt>
                <c:pt idx="11">
                  <c:v>0.30823504057276691</c:v>
                </c:pt>
                <c:pt idx="12">
                  <c:v>0.32664061735545868</c:v>
                </c:pt>
                <c:pt idx="13">
                  <c:v>0.35011475175326284</c:v>
                </c:pt>
                <c:pt idx="14">
                  <c:v>0.3830277948282787</c:v>
                </c:pt>
                <c:pt idx="15">
                  <c:v>0.42465058312930515</c:v>
                </c:pt>
                <c:pt idx="16">
                  <c:v>0.46707099444407779</c:v>
                </c:pt>
                <c:pt idx="17">
                  <c:v>0.50655324721254436</c:v>
                </c:pt>
                <c:pt idx="18">
                  <c:v>0.54506395732182455</c:v>
                </c:pt>
                <c:pt idx="19">
                  <c:v>0.58439344018770367</c:v>
                </c:pt>
                <c:pt idx="20">
                  <c:v>0.61923285110076653</c:v>
                </c:pt>
                <c:pt idx="21">
                  <c:v>0.64960975478291738</c:v>
                </c:pt>
                <c:pt idx="22">
                  <c:v>0.68006822864043615</c:v>
                </c:pt>
                <c:pt idx="23">
                  <c:v>0.69705083860391104</c:v>
                </c:pt>
                <c:pt idx="24">
                  <c:v>0.70275534297848585</c:v>
                </c:pt>
                <c:pt idx="25">
                  <c:v>0.71795628552726254</c:v>
                </c:pt>
                <c:pt idx="26">
                  <c:v>0.73978885477813849</c:v>
                </c:pt>
                <c:pt idx="27">
                  <c:v>0.75245167489447651</c:v>
                </c:pt>
                <c:pt idx="28">
                  <c:v>0.75650776900918448</c:v>
                </c:pt>
                <c:pt idx="29">
                  <c:v>0.76389978313263884</c:v>
                </c:pt>
                <c:pt idx="30">
                  <c:v>0.76659625893409811</c:v>
                </c:pt>
                <c:pt idx="31">
                  <c:v>0.76545809866463554</c:v>
                </c:pt>
                <c:pt idx="32">
                  <c:v>0.76505114801980301</c:v>
                </c:pt>
                <c:pt idx="33">
                  <c:v>0.76105245827597012</c:v>
                </c:pt>
                <c:pt idx="34">
                  <c:v>0.76679342493332214</c:v>
                </c:pt>
                <c:pt idx="35">
                  <c:v>0.77555318961221953</c:v>
                </c:pt>
                <c:pt idx="36">
                  <c:v>0.78262474881854038</c:v>
                </c:pt>
                <c:pt idx="37">
                  <c:v>0.79041085905454622</c:v>
                </c:pt>
                <c:pt idx="38">
                  <c:v>0.79393813462789342</c:v>
                </c:pt>
                <c:pt idx="39">
                  <c:v>0.7982809661881034</c:v>
                </c:pt>
                <c:pt idx="40">
                  <c:v>0.79906666044971331</c:v>
                </c:pt>
                <c:pt idx="41">
                  <c:v>0.8001225740690161</c:v>
                </c:pt>
                <c:pt idx="42">
                  <c:v>0.80512940774956521</c:v>
                </c:pt>
                <c:pt idx="43">
                  <c:v>0.80071581995813079</c:v>
                </c:pt>
                <c:pt idx="44">
                  <c:v>0.79421359049570539</c:v>
                </c:pt>
                <c:pt idx="45">
                  <c:v>0.798085514376774</c:v>
                </c:pt>
                <c:pt idx="46">
                  <c:v>0.80196573364042001</c:v>
                </c:pt>
                <c:pt idx="47">
                  <c:v>0.80065667868072343</c:v>
                </c:pt>
                <c:pt idx="48">
                  <c:v>0.8019524433823475</c:v>
                </c:pt>
                <c:pt idx="49">
                  <c:v>0.80906068654969499</c:v>
                </c:pt>
                <c:pt idx="50">
                  <c:v>0.81921754608101716</c:v>
                </c:pt>
                <c:pt idx="51">
                  <c:v>0.82742385787674033</c:v>
                </c:pt>
                <c:pt idx="52">
                  <c:v>0.83192105785344261</c:v>
                </c:pt>
                <c:pt idx="53">
                  <c:v>0.83797600715669573</c:v>
                </c:pt>
                <c:pt idx="54">
                  <c:v>0.84753366873809588</c:v>
                </c:pt>
                <c:pt idx="55">
                  <c:v>0.85166784698133835</c:v>
                </c:pt>
                <c:pt idx="56">
                  <c:v>0.84843972038208704</c:v>
                </c:pt>
                <c:pt idx="57">
                  <c:v>0.84516028098435458</c:v>
                </c:pt>
                <c:pt idx="58">
                  <c:v>0.84627877023525344</c:v>
                </c:pt>
                <c:pt idx="59">
                  <c:v>0.8529732658443645</c:v>
                </c:pt>
                <c:pt idx="60">
                  <c:v>0.85672492930217503</c:v>
                </c:pt>
                <c:pt idx="61">
                  <c:v>0.85600160168482686</c:v>
                </c:pt>
                <c:pt idx="62">
                  <c:v>0.85691944173368051</c:v>
                </c:pt>
                <c:pt idx="63">
                  <c:v>0.85835569827583424</c:v>
                </c:pt>
                <c:pt idx="64">
                  <c:v>0.8629368010381715</c:v>
                </c:pt>
                <c:pt idx="65">
                  <c:v>0.87117037417298371</c:v>
                </c:pt>
                <c:pt idx="66">
                  <c:v>0.87760186080314162</c:v>
                </c:pt>
                <c:pt idx="67">
                  <c:v>0.88270993790537067</c:v>
                </c:pt>
                <c:pt idx="68">
                  <c:v>0.88904590723266019</c:v>
                </c:pt>
                <c:pt idx="69">
                  <c:v>0.88960791594531918</c:v>
                </c:pt>
                <c:pt idx="70">
                  <c:v>0.88371709120035624</c:v>
                </c:pt>
                <c:pt idx="71">
                  <c:v>0.88388245769338769</c:v>
                </c:pt>
                <c:pt idx="72">
                  <c:v>0.88848598696016134</c:v>
                </c:pt>
                <c:pt idx="73">
                  <c:v>0.89039973645885118</c:v>
                </c:pt>
                <c:pt idx="74">
                  <c:v>0.89061348959605902</c:v>
                </c:pt>
                <c:pt idx="75">
                  <c:v>0.8908711071629174</c:v>
                </c:pt>
                <c:pt idx="76">
                  <c:v>0.89021257009966615</c:v>
                </c:pt>
                <c:pt idx="77">
                  <c:v>0.88863011195701658</c:v>
                </c:pt>
                <c:pt idx="78">
                  <c:v>0.89001521657242011</c:v>
                </c:pt>
                <c:pt idx="79">
                  <c:v>0.89084684608785347</c:v>
                </c:pt>
                <c:pt idx="80">
                  <c:v>0.88896554126894367</c:v>
                </c:pt>
                <c:pt idx="81">
                  <c:v>0.88810028955441556</c:v>
                </c:pt>
                <c:pt idx="82">
                  <c:v>0.88826201598922028</c:v>
                </c:pt>
                <c:pt idx="83">
                  <c:v>0.88889399365243671</c:v>
                </c:pt>
                <c:pt idx="84">
                  <c:v>0.8876886535929438</c:v>
                </c:pt>
                <c:pt idx="85">
                  <c:v>0.88789638960814077</c:v>
                </c:pt>
                <c:pt idx="86">
                  <c:v>0.89260724002299074</c:v>
                </c:pt>
                <c:pt idx="87">
                  <c:v>0.89265320535784609</c:v>
                </c:pt>
                <c:pt idx="88">
                  <c:v>0.88924702299307223</c:v>
                </c:pt>
                <c:pt idx="89">
                  <c:v>0.89031629813800373</c:v>
                </c:pt>
                <c:pt idx="90">
                  <c:v>0.89216833484897617</c:v>
                </c:pt>
                <c:pt idx="91">
                  <c:v>0.89442108729626302</c:v>
                </c:pt>
                <c:pt idx="92">
                  <c:v>0.89567032122676604</c:v>
                </c:pt>
                <c:pt idx="93">
                  <c:v>0.89170199858492971</c:v>
                </c:pt>
                <c:pt idx="94">
                  <c:v>0.88783022025852221</c:v>
                </c:pt>
                <c:pt idx="95">
                  <c:v>0.88804094566448555</c:v>
                </c:pt>
                <c:pt idx="96">
                  <c:v>0.89295500723437915</c:v>
                </c:pt>
                <c:pt idx="97">
                  <c:v>0.89949352480880906</c:v>
                </c:pt>
                <c:pt idx="98">
                  <c:v>0.90250678623855518</c:v>
                </c:pt>
                <c:pt idx="99">
                  <c:v>0.9002893869009585</c:v>
                </c:pt>
                <c:pt idx="100">
                  <c:v>0.89566386988332536</c:v>
                </c:pt>
                <c:pt idx="101">
                  <c:v>0.89491053787425645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64-CA49-BBB6-8D7E11C03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474864"/>
        <c:axId val="416031024"/>
      </c:lineChart>
      <c:dateAx>
        <c:axId val="1783545871"/>
        <c:scaling>
          <c:orientation val="minMax"/>
          <c:max val="44926"/>
          <c:min val="444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2"/>
        <c:majorTimeUnit val="months"/>
      </c:dateAx>
      <c:valAx>
        <c:axId val="1219877727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Sterfte/week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</c:valAx>
      <c:valAx>
        <c:axId val="416031024"/>
        <c:scaling>
          <c:orientation val="minMax"/>
          <c:max val="1.2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474864"/>
        <c:crosses val="max"/>
        <c:crossBetween val="between"/>
      </c:valAx>
      <c:dateAx>
        <c:axId val="415474864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416031024"/>
        <c:crosses val="autoZero"/>
        <c:auto val="1"/>
        <c:lblOffset val="100"/>
        <c:baseTimeUnit val="days"/>
      </c:date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2415159035763E-2"/>
          <c:y val="3.9711191335740074E-2"/>
          <c:w val="0.874502706476879"/>
          <c:h val="0.89822077118408983"/>
        </c:manualLayout>
      </c:layout>
      <c:lineChart>
        <c:grouping val="standard"/>
        <c:varyColors val="0"/>
        <c:ser>
          <c:idx val="3"/>
          <c:order val="0"/>
          <c:tx>
            <c:v> Totaal corona</c:v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Corona!$E$2:$E$104</c:f>
              <c:numCache>
                <c:formatCode>General</c:formatCode>
                <c:ptCount val="103"/>
                <c:pt idx="0">
                  <c:v>1145</c:v>
                </c:pt>
                <c:pt idx="1">
                  <c:v>1026</c:v>
                </c:pt>
                <c:pt idx="2">
                  <c:v>984</c:v>
                </c:pt>
                <c:pt idx="3">
                  <c:v>822</c:v>
                </c:pt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  <c:pt idx="52">
                  <c:v>296</c:v>
                </c:pt>
                <c:pt idx="53">
                  <c:v>226</c:v>
                </c:pt>
                <c:pt idx="54">
                  <c:v>179</c:v>
                </c:pt>
                <c:pt idx="55">
                  <c:v>186</c:v>
                </c:pt>
                <c:pt idx="56">
                  <c:v>239</c:v>
                </c:pt>
                <c:pt idx="57">
                  <c:v>274</c:v>
                </c:pt>
                <c:pt idx="58">
                  <c:v>291</c:v>
                </c:pt>
                <c:pt idx="59">
                  <c:v>252</c:v>
                </c:pt>
                <c:pt idx="60">
                  <c:v>235</c:v>
                </c:pt>
                <c:pt idx="61">
                  <c:v>314</c:v>
                </c:pt>
                <c:pt idx="62">
                  <c:v>410</c:v>
                </c:pt>
                <c:pt idx="63">
                  <c:v>389</c:v>
                </c:pt>
                <c:pt idx="64">
                  <c:v>343</c:v>
                </c:pt>
                <c:pt idx="65">
                  <c:v>292</c:v>
                </c:pt>
                <c:pt idx="66">
                  <c:v>227</c:v>
                </c:pt>
                <c:pt idx="67">
                  <c:v>169</c:v>
                </c:pt>
                <c:pt idx="68">
                  <c:v>115</c:v>
                </c:pt>
                <c:pt idx="69">
                  <c:v>71</c:v>
                </c:pt>
                <c:pt idx="70">
                  <c:v>61</c:v>
                </c:pt>
                <c:pt idx="71">
                  <c:v>53</c:v>
                </c:pt>
                <c:pt idx="72">
                  <c:v>42</c:v>
                </c:pt>
                <c:pt idx="73">
                  <c:v>29</c:v>
                </c:pt>
                <c:pt idx="74">
                  <c:v>29</c:v>
                </c:pt>
                <c:pt idx="75">
                  <c:v>73</c:v>
                </c:pt>
                <c:pt idx="76">
                  <c:v>69</c:v>
                </c:pt>
                <c:pt idx="77">
                  <c:v>152</c:v>
                </c:pt>
                <c:pt idx="78">
                  <c:v>105</c:v>
                </c:pt>
                <c:pt idx="79">
                  <c:v>156</c:v>
                </c:pt>
                <c:pt idx="80">
                  <c:v>184</c:v>
                </c:pt>
                <c:pt idx="81">
                  <c:v>183</c:v>
                </c:pt>
                <c:pt idx="82">
                  <c:v>146</c:v>
                </c:pt>
                <c:pt idx="83">
                  <c:v>131</c:v>
                </c:pt>
                <c:pt idx="84">
                  <c:v>101</c:v>
                </c:pt>
                <c:pt idx="85">
                  <c:v>84</c:v>
                </c:pt>
                <c:pt idx="86">
                  <c:v>63</c:v>
                </c:pt>
                <c:pt idx="87">
                  <c:v>72</c:v>
                </c:pt>
                <c:pt idx="88">
                  <c:v>56</c:v>
                </c:pt>
                <c:pt idx="89">
                  <c:v>58</c:v>
                </c:pt>
                <c:pt idx="90">
                  <c:v>104</c:v>
                </c:pt>
                <c:pt idx="91">
                  <c:v>170</c:v>
                </c:pt>
                <c:pt idx="92">
                  <c:v>196</c:v>
                </c:pt>
                <c:pt idx="93">
                  <c:v>226</c:v>
                </c:pt>
                <c:pt idx="94">
                  <c:v>177</c:v>
                </c:pt>
                <c:pt idx="95">
                  <c:v>111</c:v>
                </c:pt>
                <c:pt idx="96">
                  <c:v>98</c:v>
                </c:pt>
                <c:pt idx="97">
                  <c:v>77</c:v>
                </c:pt>
                <c:pt idx="98">
                  <c:v>66</c:v>
                </c:pt>
                <c:pt idx="99">
                  <c:v>83</c:v>
                </c:pt>
                <c:pt idx="100">
                  <c:v>91</c:v>
                </c:pt>
                <c:pt idx="101">
                  <c:v>117</c:v>
                </c:pt>
                <c:pt idx="102">
                  <c:v>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B1-9C43-B5DA-0E4B24BB9B81}"/>
            </c:ext>
          </c:extLst>
        </c:ser>
        <c:ser>
          <c:idx val="1"/>
          <c:order val="2"/>
          <c:tx>
            <c:v> Oversterfte</c:v>
          </c:tx>
          <c:spPr>
            <a:ln w="476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Corona!$AP$2:$AP$104</c:f>
              <c:numCache>
                <c:formatCode>0</c:formatCode>
                <c:ptCount val="103"/>
                <c:pt idx="1">
                  <c:v>682.85355080093973</c:v>
                </c:pt>
                <c:pt idx="2">
                  <c:v>572.94076800039227</c:v>
                </c:pt>
                <c:pt idx="3">
                  <c:v>485.00269700657338</c:v>
                </c:pt>
                <c:pt idx="4">
                  <c:v>393.0654651393919</c:v>
                </c:pt>
                <c:pt idx="5">
                  <c:v>325.10414960108631</c:v>
                </c:pt>
                <c:pt idx="6">
                  <c:v>216.29313503035644</c:v>
                </c:pt>
                <c:pt idx="7">
                  <c:v>36.507210353908818</c:v>
                </c:pt>
                <c:pt idx="8">
                  <c:v>-44.926610974704545</c:v>
                </c:pt>
                <c:pt idx="9">
                  <c:v>-33.226573810171885</c:v>
                </c:pt>
                <c:pt idx="10">
                  <c:v>-78.653003852086954</c:v>
                </c:pt>
                <c:pt idx="11">
                  <c:v>-72.50451614429403</c:v>
                </c:pt>
                <c:pt idx="12">
                  <c:v>15.386335242050222</c:v>
                </c:pt>
                <c:pt idx="13">
                  <c:v>60.907902964980394</c:v>
                </c:pt>
                <c:pt idx="14">
                  <c:v>73.674716998694635</c:v>
                </c:pt>
                <c:pt idx="15">
                  <c:v>94.033103238383205</c:v>
                </c:pt>
                <c:pt idx="16">
                  <c:v>83.31706822623471</c:v>
                </c:pt>
                <c:pt idx="17">
                  <c:v>49.104364211602729</c:v>
                </c:pt>
                <c:pt idx="18">
                  <c:v>47.472646118573493</c:v>
                </c:pt>
                <c:pt idx="19">
                  <c:v>19.755630643666791</c:v>
                </c:pt>
                <c:pt idx="20">
                  <c:v>-0.95083233502703024</c:v>
                </c:pt>
                <c:pt idx="21">
                  <c:v>48.21713541243389</c:v>
                </c:pt>
                <c:pt idx="22">
                  <c:v>55.147073408872075</c:v>
                </c:pt>
                <c:pt idx="23">
                  <c:v>-11.994528994429743</c:v>
                </c:pt>
                <c:pt idx="24">
                  <c:v>-65.507365650770566</c:v>
                </c:pt>
                <c:pt idx="25">
                  <c:v>-27.652939243972924</c:v>
                </c:pt>
                <c:pt idx="26">
                  <c:v>45.599256643846843</c:v>
                </c:pt>
                <c:pt idx="27">
                  <c:v>57.824943281051446</c:v>
                </c:pt>
                <c:pt idx="28">
                  <c:v>57.897603531299637</c:v>
                </c:pt>
                <c:pt idx="29">
                  <c:v>117.24033237884589</c:v>
                </c:pt>
                <c:pt idx="30">
                  <c:v>143.57696416753583</c:v>
                </c:pt>
                <c:pt idx="31">
                  <c:v>105.18246003137585</c:v>
                </c:pt>
                <c:pt idx="32">
                  <c:v>104.38254978137513</c:v>
                </c:pt>
                <c:pt idx="33">
                  <c:v>106.05263338506472</c:v>
                </c:pt>
                <c:pt idx="34">
                  <c:v>122.36595797315374</c:v>
                </c:pt>
                <c:pt idx="35">
                  <c:v>157.04109687471237</c:v>
                </c:pt>
                <c:pt idx="36">
                  <c:v>97.588767363939724</c:v>
                </c:pt>
                <c:pt idx="37">
                  <c:v>63.058033449468439</c:v>
                </c:pt>
                <c:pt idx="38">
                  <c:v>123.78194901051143</c:v>
                </c:pt>
                <c:pt idx="39">
                  <c:v>140.62270475202956</c:v>
                </c:pt>
                <c:pt idx="40">
                  <c:v>161.96634969430261</c:v>
                </c:pt>
                <c:pt idx="41">
                  <c:v>265.4671641250593</c:v>
                </c:pt>
                <c:pt idx="42">
                  <c:v>378.04176603395854</c:v>
                </c:pt>
                <c:pt idx="43">
                  <c:v>509.86303694534138</c:v>
                </c:pt>
                <c:pt idx="44">
                  <c:v>699.60395570881599</c:v>
                </c:pt>
                <c:pt idx="45">
                  <c:v>892.68143015970963</c:v>
                </c:pt>
                <c:pt idx="46">
                  <c:v>1068.5002166028512</c:v>
                </c:pt>
                <c:pt idx="47">
                  <c:v>1190.6970158027777</c:v>
                </c:pt>
                <c:pt idx="48">
                  <c:v>1128.8848315996615</c:v>
                </c:pt>
                <c:pt idx="49">
                  <c:v>868.14767445027553</c:v>
                </c:pt>
                <c:pt idx="50">
                  <c:v>602.53568717270741</c:v>
                </c:pt>
                <c:pt idx="51">
                  <c:v>405.99697405575057</c:v>
                </c:pt>
                <c:pt idx="52">
                  <c:v>169.48874825655582</c:v>
                </c:pt>
                <c:pt idx="53">
                  <c:v>-36.444671619612222</c:v>
                </c:pt>
                <c:pt idx="54">
                  <c:v>-91.404245014537423</c:v>
                </c:pt>
                <c:pt idx="55">
                  <c:v>-58.609069589109481</c:v>
                </c:pt>
                <c:pt idx="56">
                  <c:v>-20.282792166799254</c:v>
                </c:pt>
                <c:pt idx="57">
                  <c:v>20.799449010457806</c:v>
                </c:pt>
                <c:pt idx="58">
                  <c:v>76.311384927255631</c:v>
                </c:pt>
                <c:pt idx="59">
                  <c:v>76.376722127955532</c:v>
                </c:pt>
                <c:pt idx="60">
                  <c:v>64.320978690509719</c:v>
                </c:pt>
                <c:pt idx="61">
                  <c:v>184.42402315091147</c:v>
                </c:pt>
                <c:pt idx="62">
                  <c:v>358.6732794339905</c:v>
                </c:pt>
                <c:pt idx="63">
                  <c:v>432.26755112955027</c:v>
                </c:pt>
                <c:pt idx="64">
                  <c:v>433.37140941545545</c:v>
                </c:pt>
                <c:pt idx="65">
                  <c:v>432.87008070309332</c:v>
                </c:pt>
                <c:pt idx="66">
                  <c:v>362.62476278573286</c:v>
                </c:pt>
                <c:pt idx="67">
                  <c:v>212.72829201316802</c:v>
                </c:pt>
                <c:pt idx="68">
                  <c:v>121.76107888801528</c:v>
                </c:pt>
                <c:pt idx="69">
                  <c:v>120.79722555506044</c:v>
                </c:pt>
                <c:pt idx="70">
                  <c:v>128.16073599249648</c:v>
                </c:pt>
                <c:pt idx="71">
                  <c:v>86.931728351710603</c:v>
                </c:pt>
                <c:pt idx="72">
                  <c:v>39.20255885048573</c:v>
                </c:pt>
                <c:pt idx="73">
                  <c:v>46.083767903856483</c:v>
                </c:pt>
                <c:pt idx="74">
                  <c:v>85.959761758881541</c:v>
                </c:pt>
                <c:pt idx="75">
                  <c:v>166.74414674676666</c:v>
                </c:pt>
                <c:pt idx="76">
                  <c:v>255.13463832213381</c:v>
                </c:pt>
                <c:pt idx="77">
                  <c:v>252.36747325118836</c:v>
                </c:pt>
                <c:pt idx="78">
                  <c:v>220.97126054791852</c:v>
                </c:pt>
                <c:pt idx="79">
                  <c:v>279.7702149348421</c:v>
                </c:pt>
                <c:pt idx="80">
                  <c:v>349.63672560306054</c:v>
                </c:pt>
                <c:pt idx="81">
                  <c:v>305.74322273435394</c:v>
                </c:pt>
                <c:pt idx="82">
                  <c:v>210.06331448455194</c:v>
                </c:pt>
                <c:pt idx="83">
                  <c:v>196.62217776323121</c:v>
                </c:pt>
                <c:pt idx="84">
                  <c:v>230.99619702486223</c:v>
                </c:pt>
                <c:pt idx="85">
                  <c:v>205.31185625221065</c:v>
                </c:pt>
                <c:pt idx="86">
                  <c:v>136.49390020419617</c:v>
                </c:pt>
                <c:pt idx="87">
                  <c:v>56.012791658691413</c:v>
                </c:pt>
                <c:pt idx="88">
                  <c:v>17.88150165042407</c:v>
                </c:pt>
                <c:pt idx="89">
                  <c:v>110.15167943543804</c:v>
                </c:pt>
                <c:pt idx="90">
                  <c:v>254.40925796449631</c:v>
                </c:pt>
                <c:pt idx="91">
                  <c:v>326.51955888628822</c:v>
                </c:pt>
                <c:pt idx="92">
                  <c:v>338.62196840711852</c:v>
                </c:pt>
                <c:pt idx="93">
                  <c:v>324.12426160023631</c:v>
                </c:pt>
                <c:pt idx="94">
                  <c:v>260.94665789361477</c:v>
                </c:pt>
                <c:pt idx="95">
                  <c:v>163.01569439479624</c:v>
                </c:pt>
                <c:pt idx="96">
                  <c:v>96.258006377914057</c:v>
                </c:pt>
                <c:pt idx="97">
                  <c:v>124.59410562216908</c:v>
                </c:pt>
                <c:pt idx="98">
                  <c:v>209.18224733282295</c:v>
                </c:pt>
                <c:pt idx="99">
                  <c:v>287.66247509441587</c:v>
                </c:pt>
                <c:pt idx="100">
                  <c:v>457.65093071996478</c:v>
                </c:pt>
                <c:pt idx="101">
                  <c:v>724.73451200689101</c:v>
                </c:pt>
                <c:pt idx="102">
                  <c:v>887.46595634642097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EB1-9C43-B5DA-0E4B24BB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45871"/>
        <c:axId val="1219877727"/>
      </c:lineChart>
      <c:lineChart>
        <c:grouping val="standard"/>
        <c:varyColors val="0"/>
        <c:ser>
          <c:idx val="2"/>
          <c:order val="1"/>
          <c:tx>
            <c:v> vaxx %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verzamel!$B$2:$B$104</c:f>
              <c:numCache>
                <c:formatCode>[$-413]d\ mmm\ yy;@</c:formatCode>
                <c:ptCount val="103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</c:numCache>
            </c:numRef>
          </c:cat>
          <c:val>
            <c:numRef>
              <c:f>verzamel!$I$2:$I$103</c:f>
              <c:numCache>
                <c:formatCode>0.0%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2.0182992465016146E-3</c:v>
                </c:pt>
                <c:pt idx="3">
                  <c:v>2.244108672507767E-2</c:v>
                </c:pt>
                <c:pt idx="4">
                  <c:v>7.8897698245861764E-2</c:v>
                </c:pt>
                <c:pt idx="5">
                  <c:v>0.15339227207800715</c:v>
                </c:pt>
                <c:pt idx="6">
                  <c:v>0.20706083890756</c:v>
                </c:pt>
                <c:pt idx="7">
                  <c:v>0.23200040289159685</c:v>
                </c:pt>
                <c:pt idx="8">
                  <c:v>0.2534496692412237</c:v>
                </c:pt>
                <c:pt idx="9">
                  <c:v>0.27684002090684884</c:v>
                </c:pt>
                <c:pt idx="10">
                  <c:v>0.29315602036363159</c:v>
                </c:pt>
                <c:pt idx="11">
                  <c:v>0.30823504057276691</c:v>
                </c:pt>
                <c:pt idx="12">
                  <c:v>0.32664061735545868</c:v>
                </c:pt>
                <c:pt idx="13">
                  <c:v>0.35011475175326284</c:v>
                </c:pt>
                <c:pt idx="14">
                  <c:v>0.3830277948282787</c:v>
                </c:pt>
                <c:pt idx="15">
                  <c:v>0.42465058312930515</c:v>
                </c:pt>
                <c:pt idx="16">
                  <c:v>0.46707099444407779</c:v>
                </c:pt>
                <c:pt idx="17">
                  <c:v>0.50655324721254436</c:v>
                </c:pt>
                <c:pt idx="18">
                  <c:v>0.54506395732182455</c:v>
                </c:pt>
                <c:pt idx="19">
                  <c:v>0.58439344018770367</c:v>
                </c:pt>
                <c:pt idx="20">
                  <c:v>0.61923285110076653</c:v>
                </c:pt>
                <c:pt idx="21">
                  <c:v>0.64960975478291738</c:v>
                </c:pt>
                <c:pt idx="22">
                  <c:v>0.68006822864043615</c:v>
                </c:pt>
                <c:pt idx="23">
                  <c:v>0.69705083860391104</c:v>
                </c:pt>
                <c:pt idx="24">
                  <c:v>0.70275534297848585</c:v>
                </c:pt>
                <c:pt idx="25">
                  <c:v>0.71795628552726254</c:v>
                </c:pt>
                <c:pt idx="26">
                  <c:v>0.73978885477813849</c:v>
                </c:pt>
                <c:pt idx="27">
                  <c:v>0.75245167489447651</c:v>
                </c:pt>
                <c:pt idx="28">
                  <c:v>0.75650776900918448</c:v>
                </c:pt>
                <c:pt idx="29">
                  <c:v>0.76389978313263884</c:v>
                </c:pt>
                <c:pt idx="30">
                  <c:v>0.76659625893409811</c:v>
                </c:pt>
                <c:pt idx="31">
                  <c:v>0.76545809866463554</c:v>
                </c:pt>
                <c:pt idx="32">
                  <c:v>0.76505114801980301</c:v>
                </c:pt>
                <c:pt idx="33">
                  <c:v>0.76105245827597012</c:v>
                </c:pt>
                <c:pt idx="34">
                  <c:v>0.76679342493332214</c:v>
                </c:pt>
                <c:pt idx="35">
                  <c:v>0.77555318961221953</c:v>
                </c:pt>
                <c:pt idx="36">
                  <c:v>0.78262474881854038</c:v>
                </c:pt>
                <c:pt idx="37">
                  <c:v>0.79041085905454622</c:v>
                </c:pt>
                <c:pt idx="38">
                  <c:v>0.79393813462789342</c:v>
                </c:pt>
                <c:pt idx="39">
                  <c:v>0.7982809661881034</c:v>
                </c:pt>
                <c:pt idx="40">
                  <c:v>0.79906666044971331</c:v>
                </c:pt>
                <c:pt idx="41">
                  <c:v>0.8001225740690161</c:v>
                </c:pt>
                <c:pt idx="42">
                  <c:v>0.80512940774956521</c:v>
                </c:pt>
                <c:pt idx="43">
                  <c:v>0.80071581995813079</c:v>
                </c:pt>
                <c:pt idx="44">
                  <c:v>0.79421359049570539</c:v>
                </c:pt>
                <c:pt idx="45">
                  <c:v>0.798085514376774</c:v>
                </c:pt>
                <c:pt idx="46">
                  <c:v>0.80196573364042001</c:v>
                </c:pt>
                <c:pt idx="47">
                  <c:v>0.80065667868072343</c:v>
                </c:pt>
                <c:pt idx="48">
                  <c:v>0.8019524433823475</c:v>
                </c:pt>
                <c:pt idx="49">
                  <c:v>0.80906068654969499</c:v>
                </c:pt>
                <c:pt idx="50">
                  <c:v>0.81921754608101716</c:v>
                </c:pt>
                <c:pt idx="51">
                  <c:v>0.82742385787674033</c:v>
                </c:pt>
                <c:pt idx="52">
                  <c:v>0.83192105785344261</c:v>
                </c:pt>
                <c:pt idx="53">
                  <c:v>0.83797600715669573</c:v>
                </c:pt>
                <c:pt idx="54">
                  <c:v>0.84753366873809588</c:v>
                </c:pt>
                <c:pt idx="55">
                  <c:v>0.85166784698133835</c:v>
                </c:pt>
                <c:pt idx="56">
                  <c:v>0.84843972038208704</c:v>
                </c:pt>
                <c:pt idx="57">
                  <c:v>0.84516028098435458</c:v>
                </c:pt>
                <c:pt idx="58">
                  <c:v>0.84627877023525344</c:v>
                </c:pt>
                <c:pt idx="59">
                  <c:v>0.8529732658443645</c:v>
                </c:pt>
                <c:pt idx="60">
                  <c:v>0.85672492930217503</c:v>
                </c:pt>
                <c:pt idx="61">
                  <c:v>0.85600160168482686</c:v>
                </c:pt>
                <c:pt idx="62">
                  <c:v>0.85691944173368051</c:v>
                </c:pt>
                <c:pt idx="63">
                  <c:v>0.85835569827583424</c:v>
                </c:pt>
                <c:pt idx="64">
                  <c:v>0.8629368010381715</c:v>
                </c:pt>
                <c:pt idx="65">
                  <c:v>0.87117037417298371</c:v>
                </c:pt>
                <c:pt idx="66">
                  <c:v>0.87760186080314162</c:v>
                </c:pt>
                <c:pt idx="67">
                  <c:v>0.88270993790537067</c:v>
                </c:pt>
                <c:pt idx="68">
                  <c:v>0.88904590723266019</c:v>
                </c:pt>
                <c:pt idx="69">
                  <c:v>0.88960791594531918</c:v>
                </c:pt>
                <c:pt idx="70">
                  <c:v>0.88371709120035624</c:v>
                </c:pt>
                <c:pt idx="71">
                  <c:v>0.88388245769338769</c:v>
                </c:pt>
                <c:pt idx="72">
                  <c:v>0.88848598696016134</c:v>
                </c:pt>
                <c:pt idx="73">
                  <c:v>0.89039973645885118</c:v>
                </c:pt>
                <c:pt idx="74">
                  <c:v>0.89061348959605902</c:v>
                </c:pt>
                <c:pt idx="75">
                  <c:v>0.8908711071629174</c:v>
                </c:pt>
                <c:pt idx="76">
                  <c:v>0.89021257009966615</c:v>
                </c:pt>
                <c:pt idx="77">
                  <c:v>0.88863011195701658</c:v>
                </c:pt>
                <c:pt idx="78">
                  <c:v>0.89001521657242011</c:v>
                </c:pt>
                <c:pt idx="79">
                  <c:v>0.89084684608785347</c:v>
                </c:pt>
                <c:pt idx="80">
                  <c:v>0.88896554126894367</c:v>
                </c:pt>
                <c:pt idx="81">
                  <c:v>0.88810028955441556</c:v>
                </c:pt>
                <c:pt idx="82">
                  <c:v>0.88826201598922028</c:v>
                </c:pt>
                <c:pt idx="83">
                  <c:v>0.88889399365243671</c:v>
                </c:pt>
                <c:pt idx="84">
                  <c:v>0.8876886535929438</c:v>
                </c:pt>
                <c:pt idx="85">
                  <c:v>0.88789638960814077</c:v>
                </c:pt>
                <c:pt idx="86">
                  <c:v>0.89260724002299074</c:v>
                </c:pt>
                <c:pt idx="87">
                  <c:v>0.89265320535784609</c:v>
                </c:pt>
                <c:pt idx="88">
                  <c:v>0.88924702299307223</c:v>
                </c:pt>
                <c:pt idx="89">
                  <c:v>0.89031629813800373</c:v>
                </c:pt>
                <c:pt idx="90">
                  <c:v>0.89216833484897617</c:v>
                </c:pt>
                <c:pt idx="91">
                  <c:v>0.89442108729626302</c:v>
                </c:pt>
                <c:pt idx="92">
                  <c:v>0.89567032122676604</c:v>
                </c:pt>
                <c:pt idx="93">
                  <c:v>0.89170199858492971</c:v>
                </c:pt>
                <c:pt idx="94">
                  <c:v>0.88783022025852221</c:v>
                </c:pt>
                <c:pt idx="95">
                  <c:v>0.88804094566448555</c:v>
                </c:pt>
                <c:pt idx="96">
                  <c:v>0.89295500723437915</c:v>
                </c:pt>
                <c:pt idx="97">
                  <c:v>0.89949352480880906</c:v>
                </c:pt>
                <c:pt idx="98">
                  <c:v>0.90250678623855518</c:v>
                </c:pt>
                <c:pt idx="99">
                  <c:v>0.9002893869009585</c:v>
                </c:pt>
                <c:pt idx="100">
                  <c:v>0.89566386988332536</c:v>
                </c:pt>
                <c:pt idx="101">
                  <c:v>0.89491053787425645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B1-9C43-B5DA-0E4B24BB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474864"/>
        <c:axId val="416031024"/>
      </c:lineChart>
      <c:dateAx>
        <c:axId val="1783545871"/>
        <c:scaling>
          <c:orientation val="minMax"/>
          <c:max val="44926"/>
          <c:min val="4428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2"/>
        <c:majorTimeUnit val="months"/>
      </c:dateAx>
      <c:valAx>
        <c:axId val="1219877727"/>
        <c:scaling>
          <c:orientation val="minMax"/>
          <c:max val="11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Sterfte/week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  <c:majorUnit val="250"/>
      </c:valAx>
      <c:valAx>
        <c:axId val="416031024"/>
        <c:scaling>
          <c:orientation val="minMax"/>
          <c:max val="1.7"/>
          <c:min val="0.7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474864"/>
        <c:crosses val="max"/>
        <c:crossBetween val="between"/>
        <c:majorUnit val="0.05"/>
      </c:valAx>
      <c:dateAx>
        <c:axId val="415474864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416031024"/>
        <c:crosses val="autoZero"/>
        <c:auto val="1"/>
        <c:lblOffset val="100"/>
        <c:baseTimeUnit val="days"/>
      </c:date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legend>
      <c:legendPos val="l"/>
      <c:layout>
        <c:manualLayout>
          <c:xMode val="edge"/>
          <c:yMode val="edge"/>
          <c:x val="0.66022827041264265"/>
          <c:y val="6.2838273264622407E-2"/>
          <c:w val="0.27107173719176236"/>
          <c:h val="0.15687536009218359"/>
        </c:manualLayout>
      </c:layout>
      <c:overlay val="0"/>
      <c:spPr>
        <a:solidFill>
          <a:schemeClr val="bg1">
            <a:lumMod val="85000"/>
            <a:alpha val="3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na 1 prik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9727624038215594E-2"/>
          <c:y val="9.8991971416204846E-2"/>
          <c:w val="0.89676650569525562"/>
          <c:h val="0.83893990443778699"/>
        </c:manualLayout>
      </c:layout>
      <c:lineChart>
        <c:grouping val="standard"/>
        <c:varyColors val="0"/>
        <c:ser>
          <c:idx val="4"/>
          <c:order val="0"/>
          <c:tx>
            <c:v> % corona overlijdens 1 prik</c:v>
          </c:tx>
          <c:spPr>
            <a:ln w="412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Corona!$H$2:$H$53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1.0464903330455485E-2</c:v>
                </c:pt>
                <c:pt idx="4">
                  <c:v>4.8277375466315553E-2</c:v>
                </c:pt>
                <c:pt idx="5">
                  <c:v>0.19451317243203708</c:v>
                </c:pt>
                <c:pt idx="6">
                  <c:v>0.28201068672075991</c:v>
                </c:pt>
                <c:pt idx="7">
                  <c:v>0.27203015893415583</c:v>
                </c:pt>
                <c:pt idx="8">
                  <c:v>0.26182668598591724</c:v>
                </c:pt>
                <c:pt idx="9">
                  <c:v>0.21226085742214776</c:v>
                </c:pt>
                <c:pt idx="10">
                  <c:v>0.17106549364613879</c:v>
                </c:pt>
                <c:pt idx="11">
                  <c:v>0.17332691381800672</c:v>
                </c:pt>
                <c:pt idx="12">
                  <c:v>0.14101886127269522</c:v>
                </c:pt>
                <c:pt idx="13">
                  <c:v>0.14662756598240467</c:v>
                </c:pt>
                <c:pt idx="14">
                  <c:v>0.16830294530154277</c:v>
                </c:pt>
                <c:pt idx="15">
                  <c:v>0.17861608259207659</c:v>
                </c:pt>
                <c:pt idx="16">
                  <c:v>0.19949956042469735</c:v>
                </c:pt>
                <c:pt idx="17">
                  <c:v>0.25547166933577364</c:v>
                </c:pt>
                <c:pt idx="18">
                  <c:v>0.27877339705296694</c:v>
                </c:pt>
                <c:pt idx="19">
                  <c:v>0.28296547821165813</c:v>
                </c:pt>
                <c:pt idx="20">
                  <c:v>0.26180458158017766</c:v>
                </c:pt>
                <c:pt idx="21">
                  <c:v>0.31516499814608823</c:v>
                </c:pt>
                <c:pt idx="22">
                  <c:v>0.31922043010752688</c:v>
                </c:pt>
                <c:pt idx="23">
                  <c:v>0.1265022137887413</c:v>
                </c:pt>
                <c:pt idx="24">
                  <c:v>0.1991238550378335</c:v>
                </c:pt>
                <c:pt idx="25">
                  <c:v>0.23375409069658717</c:v>
                </c:pt>
                <c:pt idx="26">
                  <c:v>0.10240655401945724</c:v>
                </c:pt>
                <c:pt idx="27">
                  <c:v>0.11318619128466326</c:v>
                </c:pt>
                <c:pt idx="28">
                  <c:v>0.14231499051233396</c:v>
                </c:pt>
                <c:pt idx="29">
                  <c:v>5.8918839298865808E-2</c:v>
                </c:pt>
                <c:pt idx="30">
                  <c:v>6.9053960737890899E-2</c:v>
                </c:pt>
                <c:pt idx="31">
                  <c:v>6.3251106894370648E-2</c:v>
                </c:pt>
                <c:pt idx="32">
                  <c:v>4.6248121170077469E-2</c:v>
                </c:pt>
                <c:pt idx="33">
                  <c:v>4.0576181781294379E-2</c:v>
                </c:pt>
                <c:pt idx="34">
                  <c:v>4.9437646768013842E-2</c:v>
                </c:pt>
                <c:pt idx="35">
                  <c:v>1.1562030292519367E-2</c:v>
                </c:pt>
                <c:pt idx="36">
                  <c:v>7.9230333899264274E-2</c:v>
                </c:pt>
                <c:pt idx="37">
                  <c:v>1.7627357659086903E-2</c:v>
                </c:pt>
                <c:pt idx="38">
                  <c:v>5.3763440860215055E-2</c:v>
                </c:pt>
                <c:pt idx="39">
                  <c:v>1.4148273910582907E-2</c:v>
                </c:pt>
                <c:pt idx="40">
                  <c:v>2.0879006159306813E-2</c:v>
                </c:pt>
                <c:pt idx="41">
                  <c:v>1.2576243476073695E-2</c:v>
                </c:pt>
                <c:pt idx="42">
                  <c:v>3.2365951019527453E-2</c:v>
                </c:pt>
                <c:pt idx="43">
                  <c:v>3.1548229355627413E-2</c:v>
                </c:pt>
                <c:pt idx="44">
                  <c:v>1.5388462500240443E-2</c:v>
                </c:pt>
                <c:pt idx="45">
                  <c:v>3.1204899169169558E-2</c:v>
                </c:pt>
                <c:pt idx="46">
                  <c:v>2.7248527531493007E-2</c:v>
                </c:pt>
                <c:pt idx="47">
                  <c:v>2.2899243329350855E-2</c:v>
                </c:pt>
                <c:pt idx="48">
                  <c:v>3.2614788768282117E-2</c:v>
                </c:pt>
                <c:pt idx="49">
                  <c:v>3.7125649698869723E-2</c:v>
                </c:pt>
                <c:pt idx="50">
                  <c:v>2.1649707728945658E-2</c:v>
                </c:pt>
                <c:pt idx="51">
                  <c:v>2.3375409069658716E-2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939-1F4F-A75A-50CF9EFDE904}"/>
            </c:ext>
          </c:extLst>
        </c:ser>
        <c:ser>
          <c:idx val="1"/>
          <c:order val="1"/>
          <c:tx>
            <c:v> % alle overlijdens 1 prik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verzamel!$B$2:$B$41</c:f>
              <c:numCache>
                <c:formatCode>[$-413]d\ mmm\ yy;@</c:formatCode>
                <c:ptCount val="40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</c:numCache>
            </c:numRef>
          </c:cat>
          <c:val>
            <c:numRef>
              <c:f>Corona!$F$2:$F$53</c:f>
              <c:numCache>
                <c:formatCode>0.00%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7.8040904198062432E-3</c:v>
                </c:pt>
                <c:pt idx="4">
                  <c:v>7.170224411603722E-2</c:v>
                </c:pt>
                <c:pt idx="5">
                  <c:v>0.15774647887323945</c:v>
                </c:pt>
                <c:pt idx="6">
                  <c:v>0.20691609977324263</c:v>
                </c:pt>
                <c:pt idx="7">
                  <c:v>0.21359526036794513</c:v>
                </c:pt>
                <c:pt idx="8">
                  <c:v>0.1784219001610306</c:v>
                </c:pt>
                <c:pt idx="9">
                  <c:v>0.16548536209553158</c:v>
                </c:pt>
                <c:pt idx="10">
                  <c:v>0.15149523496549458</c:v>
                </c:pt>
                <c:pt idx="11">
                  <c:v>0.13797634691195795</c:v>
                </c:pt>
                <c:pt idx="12">
                  <c:v>0.13593455003146634</c:v>
                </c:pt>
                <c:pt idx="13">
                  <c:v>0.12618595825426945</c:v>
                </c:pt>
                <c:pt idx="14">
                  <c:v>0.1357985336308575</c:v>
                </c:pt>
                <c:pt idx="15">
                  <c:v>0.15458015267175573</c:v>
                </c:pt>
                <c:pt idx="16">
                  <c:v>0.17162984309958373</c:v>
                </c:pt>
                <c:pt idx="17">
                  <c:v>0.19500000000000001</c:v>
                </c:pt>
                <c:pt idx="18">
                  <c:v>0.19601990049751244</c:v>
                </c:pt>
                <c:pt idx="19">
                  <c:v>0.22356091030789826</c:v>
                </c:pt>
                <c:pt idx="20">
                  <c:v>0.19244476122594439</c:v>
                </c:pt>
                <c:pt idx="21">
                  <c:v>0.1814556331006979</c:v>
                </c:pt>
                <c:pt idx="22">
                  <c:v>0.186264308012487</c:v>
                </c:pt>
                <c:pt idx="23">
                  <c:v>0.16312303938654585</c:v>
                </c:pt>
                <c:pt idx="24">
                  <c:v>0.14440703329592219</c:v>
                </c:pt>
                <c:pt idx="25">
                  <c:v>0.13457408732999285</c:v>
                </c:pt>
                <c:pt idx="26">
                  <c:v>0.11866197183098591</c:v>
                </c:pt>
                <c:pt idx="27">
                  <c:v>0.10337626174730247</c:v>
                </c:pt>
                <c:pt idx="28">
                  <c:v>8.8976945244956779E-2</c:v>
                </c:pt>
                <c:pt idx="29">
                  <c:v>7.5419952005485083E-2</c:v>
                </c:pt>
                <c:pt idx="30">
                  <c:v>7.1549105636179541E-2</c:v>
                </c:pt>
                <c:pt idx="31">
                  <c:v>5.9092507914175169E-2</c:v>
                </c:pt>
                <c:pt idx="32">
                  <c:v>6.2306368330464719E-2</c:v>
                </c:pt>
                <c:pt idx="33">
                  <c:v>6.137061029662462E-2</c:v>
                </c:pt>
                <c:pt idx="34">
                  <c:v>4.7386759581881537E-2</c:v>
                </c:pt>
                <c:pt idx="35">
                  <c:v>4.9773755656108594E-2</c:v>
                </c:pt>
                <c:pt idx="36">
                  <c:v>4.3150684931506852E-2</c:v>
                </c:pt>
                <c:pt idx="37">
                  <c:v>4.7075112495673241E-2</c:v>
                </c:pt>
                <c:pt idx="38">
                  <c:v>3.9623254303345241E-2</c:v>
                </c:pt>
                <c:pt idx="39">
                  <c:v>4.0676863000325414E-2</c:v>
                </c:pt>
                <c:pt idx="40">
                  <c:v>4.2684913652655587E-2</c:v>
                </c:pt>
                <c:pt idx="41">
                  <c:v>3.8109756097560975E-2</c:v>
                </c:pt>
                <c:pt idx="42">
                  <c:v>3.6862282512533179E-2</c:v>
                </c:pt>
                <c:pt idx="43">
                  <c:v>3.4042553191489362E-2</c:v>
                </c:pt>
                <c:pt idx="44">
                  <c:v>3.245382585751979E-2</c:v>
                </c:pt>
                <c:pt idx="45">
                  <c:v>3.4250000000000003E-2</c:v>
                </c:pt>
                <c:pt idx="46">
                  <c:v>3.2626815908549656E-2</c:v>
                </c:pt>
                <c:pt idx="47">
                  <c:v>2.7266530334014997E-2</c:v>
                </c:pt>
                <c:pt idx="48">
                  <c:v>2.8493275586961478E-2</c:v>
                </c:pt>
                <c:pt idx="49">
                  <c:v>2.4396254312469196E-2</c:v>
                </c:pt>
                <c:pt idx="50">
                  <c:v>2.5198938992042442E-2</c:v>
                </c:pt>
                <c:pt idx="51">
                  <c:v>1.7639077340569877E-2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939-1F4F-A75A-50CF9EFDE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545871"/>
        <c:axId val="1219877727"/>
      </c:lineChart>
      <c:dateAx>
        <c:axId val="1783545871"/>
        <c:scaling>
          <c:orientation val="minMax"/>
          <c:max val="44317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9877727"/>
        <c:crosses val="autoZero"/>
        <c:auto val="1"/>
        <c:lblOffset val="100"/>
        <c:baseTimeUnit val="days"/>
        <c:majorUnit val="1"/>
        <c:majorTimeUnit val="months"/>
      </c:dateAx>
      <c:valAx>
        <c:axId val="1219877727"/>
        <c:scaling>
          <c:orientation val="minMax"/>
          <c:max val="0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% overlijdens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83545871"/>
        <c:crosses val="autoZero"/>
        <c:crossBetween val="between"/>
        <c:majorUnit val="0.05"/>
      </c:valAx>
      <c:spPr>
        <a:solidFill>
          <a:schemeClr val="bg1"/>
        </a:solidFill>
        <a:ln w="1270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70C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Deltagolf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67663109154974E-2"/>
          <c:y val="8.56806009004972E-2"/>
          <c:w val="0.88992494879981687"/>
          <c:h val="0.84872628726287269"/>
        </c:manualLayout>
      </c:layout>
      <c:lineChart>
        <c:grouping val="standard"/>
        <c:varyColors val="0"/>
        <c:ser>
          <c:idx val="0"/>
          <c:order val="0"/>
          <c:tx>
            <c:v> Gevaccineerd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Delta!$F$2:$F$105</c:f>
              <c:numCache>
                <c:formatCode>General</c:formatCode>
                <c:ptCount val="104"/>
                <c:pt idx="4" formatCode="0.0">
                  <c:v>7.8496751598161625</c:v>
                </c:pt>
                <c:pt idx="5" formatCode="0.0">
                  <c:v>6.4696428315180752</c:v>
                </c:pt>
                <c:pt idx="6" formatCode="0.0">
                  <c:v>5.8041153377555164</c:v>
                </c:pt>
                <c:pt idx="7" formatCode="0.0">
                  <c:v>4.1072093712147204</c:v>
                </c:pt>
                <c:pt idx="8" formatCode="0.0">
                  <c:v>3.0019923828627957</c:v>
                </c:pt>
                <c:pt idx="9" formatCode="0.0">
                  <c:v>2.2075564478261995</c:v>
                </c:pt>
                <c:pt idx="10" formatCode="0.0">
                  <c:v>1.505279438055392</c:v>
                </c:pt>
                <c:pt idx="11" formatCode="0.0">
                  <c:v>1.5942090527430282</c:v>
                </c:pt>
                <c:pt idx="12" formatCode="0.0">
                  <c:v>1.3399210460426374</c:v>
                </c:pt>
                <c:pt idx="13" formatCode="0.0">
                  <c:v>1.2142842794703066</c:v>
                </c:pt>
                <c:pt idx="14" formatCode="0.0">
                  <c:v>1.2217695463544171</c:v>
                </c:pt>
                <c:pt idx="15" formatCode="0.0">
                  <c:v>0.97978887963419414</c:v>
                </c:pt>
                <c:pt idx="16" formatCode="0.0">
                  <c:v>1.0823113741897501</c:v>
                </c:pt>
                <c:pt idx="17" formatCode="0.0">
                  <c:v>1.0518419464783679</c:v>
                </c:pt>
                <c:pt idx="18" formatCode="0.0">
                  <c:v>1.0270764374244172</c:v>
                </c:pt>
                <c:pt idx="19" formatCode="0.0">
                  <c:v>0.77511683962998346</c:v>
                </c:pt>
                <c:pt idx="20" formatCode="0.0">
                  <c:v>0.33358905090551294</c:v>
                </c:pt>
                <c:pt idx="21" formatCode="0.0">
                  <c:v>0.48121973346160929</c:v>
                </c:pt>
                <c:pt idx="22" formatCode="0.0">
                  <c:v>0.23885571661471172</c:v>
                </c:pt>
                <c:pt idx="23" formatCode="0.0">
                  <c:v>8.5800098629740432E-2</c:v>
                </c:pt>
                <c:pt idx="24" formatCode="0.0">
                  <c:v>8.728952790178901E-2</c:v>
                </c:pt>
                <c:pt idx="25" formatCode="0.0">
                  <c:v>0.10916181446278336</c:v>
                </c:pt>
                <c:pt idx="26" formatCode="0.0">
                  <c:v>6.5122678284797064E-2</c:v>
                </c:pt>
                <c:pt idx="27" formatCode="0.0">
                  <c:v>7.1230561180680232E-2</c:v>
                </c:pt>
                <c:pt idx="28" formatCode="0.0">
                  <c:v>0.28892455858747995</c:v>
                </c:pt>
                <c:pt idx="29" formatCode="0.0">
                  <c:v>0.31376666011417476</c:v>
                </c:pt>
                <c:pt idx="30" formatCode="0.0">
                  <c:v>0.45832325059061058</c:v>
                </c:pt>
                <c:pt idx="31" formatCode="0.0">
                  <c:v>0.43105837322508728</c:v>
                </c:pt>
                <c:pt idx="32" formatCode="0.0">
                  <c:v>0.3842313059235109</c:v>
                </c:pt>
                <c:pt idx="33" formatCode="0.0">
                  <c:v>0.38840147730724428</c:v>
                </c:pt>
                <c:pt idx="34" formatCode="0.0">
                  <c:v>0.35666525282925077</c:v>
                </c:pt>
                <c:pt idx="35" formatCode="0.0">
                  <c:v>0.38811285830192721</c:v>
                </c:pt>
                <c:pt idx="36" formatCode="0.0">
                  <c:v>0.43088728207938948</c:v>
                </c:pt>
                <c:pt idx="37" formatCode="0.0">
                  <c:v>0.27846443250103747</c:v>
                </c:pt>
                <c:pt idx="38" formatCode="0.0">
                  <c:v>0.2205909419145024</c:v>
                </c:pt>
                <c:pt idx="39" formatCode="0.0">
                  <c:v>0.27636215325301161</c:v>
                </c:pt>
                <c:pt idx="40" formatCode="0.0">
                  <c:v>0.46425811734376571</c:v>
                </c:pt>
                <c:pt idx="41" formatCode="0.0">
                  <c:v>0.9217260711932963</c:v>
                </c:pt>
                <c:pt idx="42" formatCode="0.0">
                  <c:v>1.5093490380642434</c:v>
                </c:pt>
                <c:pt idx="43" formatCode="0.0">
                  <c:v>2.1099652637376987</c:v>
                </c:pt>
                <c:pt idx="44" formatCode="0.0">
                  <c:v>2.8770069584601021</c:v>
                </c:pt>
                <c:pt idx="45" formatCode="0.0">
                  <c:v>4.3684973642899703</c:v>
                </c:pt>
                <c:pt idx="46" formatCode="0.0">
                  <c:v>5.478663101992959</c:v>
                </c:pt>
                <c:pt idx="47" formatCode="0.0">
                  <c:v>5.7404240162550426</c:v>
                </c:pt>
                <c:pt idx="48" formatCode="0.0">
                  <c:v>5.5540011912811602</c:v>
                </c:pt>
                <c:pt idx="49" formatCode="0.0">
                  <c:v>3.8983186429336136</c:v>
                </c:pt>
                <c:pt idx="50" formatCode="0.0">
                  <c:v>2.8322429119382271</c:v>
                </c:pt>
                <c:pt idx="51" formatCode="0.0">
                  <c:v>1.9457337887296264</c:v>
                </c:pt>
                <c:pt idx="52" formatCode="0.0">
                  <c:v>1.2014247619813339</c:v>
                </c:pt>
                <c:pt idx="53" formatCode="0.0">
                  <c:v>0.91455090343305012</c:v>
                </c:pt>
                <c:pt idx="54" formatCode="0.0">
                  <c:v>0.71067465313365841</c:v>
                </c:pt>
                <c:pt idx="55" formatCode="0.0">
                  <c:v>0.82145466029041747</c:v>
                </c:pt>
                <c:pt idx="56" formatCode="0.0">
                  <c:v>1.0468700269875535</c:v>
                </c:pt>
                <c:pt idx="57" formatCode="0.0">
                  <c:v>1.0767530891095274</c:v>
                </c:pt>
                <c:pt idx="58" formatCode="0.0">
                  <c:v>1.266069487650388</c:v>
                </c:pt>
                <c:pt idx="59" formatCode="0.0">
                  <c:v>1.0370885950084519</c:v>
                </c:pt>
                <c:pt idx="60" formatCode="0.0">
                  <c:v>1.0571595825625273</c:v>
                </c:pt>
                <c:pt idx="61" formatCode="0.0">
                  <c:v>1.5787226946669255</c:v>
                </c:pt>
                <c:pt idx="62" formatCode="0.0">
                  <c:v>2.0308208342098419</c:v>
                </c:pt>
                <c:pt idx="63" formatCode="0.0">
                  <c:v>2.009673006493677</c:v>
                </c:pt>
                <c:pt idx="64" formatCode="0.0">
                  <c:v>1.8244117610462005</c:v>
                </c:pt>
                <c:pt idx="65" formatCode="0.0">
                  <c:v>1.5065332526111557</c:v>
                </c:pt>
                <c:pt idx="66" formatCode="0.0">
                  <c:v>1.2234208306302141</c:v>
                </c:pt>
                <c:pt idx="67" formatCode="0.0">
                  <c:v>0.95076752797524577</c:v>
                </c:pt>
                <c:pt idx="68" formatCode="0.0">
                  <c:v>0.6100890162127377</c:v>
                </c:pt>
                <c:pt idx="69" formatCode="0.0">
                  <c:v>0.41118877383727231</c:v>
                </c:pt>
                <c:pt idx="70" formatCode="0.0">
                  <c:v>0.30596089021664191</c:v>
                </c:pt>
                <c:pt idx="71" formatCode="0.0">
                  <c:v>0.28923312990041572</c:v>
                </c:pt>
                <c:pt idx="72" formatCode="0.0">
                  <c:v>0.21432108247544335</c:v>
                </c:pt>
                <c:pt idx="73" formatCode="0.0">
                  <c:v>0.17366254662130909</c:v>
                </c:pt>
                <c:pt idx="74" formatCode="0.0">
                  <c:v>0.14703461124712813</c:v>
                </c:pt>
                <c:pt idx="75" formatCode="0.0">
                  <c:v>0.41457182194807141</c:v>
                </c:pt>
                <c:pt idx="76" formatCode="0.0">
                  <c:v>0.40674310393364743</c:v>
                </c:pt>
                <c:pt idx="77" formatCode="0.0">
                  <c:v>0.82696949887904792</c:v>
                </c:pt>
                <c:pt idx="78" formatCode="0.0">
                  <c:v>0.56794964251683244</c:v>
                </c:pt>
                <c:pt idx="79" formatCode="0.0">
                  <c:v>0.87314306914782325</c:v>
                </c:pt>
                <c:pt idx="80" formatCode="0.0">
                  <c:v>0.99357915360996363</c:v>
                </c:pt>
                <c:pt idx="81" formatCode="0.0">
                  <c:v>0.99733646481091032</c:v>
                </c:pt>
                <c:pt idx="82" formatCode="0.0">
                  <c:v>0.83906624471895164</c:v>
                </c:pt>
                <c:pt idx="83" formatCode="0.0">
                  <c:v>0.72912442051624982</c:v>
                </c:pt>
                <c:pt idx="84" formatCode="0.0">
                  <c:v>0.562517657790231</c:v>
                </c:pt>
                <c:pt idx="85" formatCode="0.0">
                  <c:v>0.47207139825120015</c:v>
                </c:pt>
                <c:pt idx="86" formatCode="0.0">
                  <c:v>0.37162811788138345</c:v>
                </c:pt>
                <c:pt idx="87" formatCode="0.0">
                  <c:v>0.39926229469249952</c:v>
                </c:pt>
                <c:pt idx="88" formatCode="0.0">
                  <c:v>0.30929254797760913</c:v>
                </c:pt>
                <c:pt idx="89" formatCode="0.0">
                  <c:v>0.30704798404380262</c:v>
                </c:pt>
                <c:pt idx="90" formatCode="0.0">
                  <c:v>0.60019501191219604</c:v>
                </c:pt>
                <c:pt idx="91" formatCode="0.0">
                  <c:v>0.94725010330534798</c:v>
                </c:pt>
                <c:pt idx="92" formatCode="0.0">
                  <c:v>1.1157963605319376</c:v>
                </c:pt>
                <c:pt idx="93" formatCode="0.0">
                  <c:v>1.2459222913546315</c:v>
                </c:pt>
                <c:pt idx="94" formatCode="0.0">
                  <c:v>0.93128275298104002</c:v>
                </c:pt>
                <c:pt idx="95" formatCode="0.0">
                  <c:v>0.59165579716321548</c:v>
                </c:pt>
                <c:pt idx="96" formatCode="0.0">
                  <c:v>0.52681275434100194</c:v>
                </c:pt>
                <c:pt idx="97" formatCode="0.0">
                  <c:v>0.42895221616094836</c:v>
                </c:pt>
                <c:pt idx="98" formatCode="0.0">
                  <c:v>0.37545220801559054</c:v>
                </c:pt>
                <c:pt idx="99" formatCode="0.0">
                  <c:v>0.48083588899621499</c:v>
                </c:pt>
                <c:pt idx="100" formatCode="0.0">
                  <c:v>0.48682499249387157</c:v>
                </c:pt>
                <c:pt idx="101" formatCode="0.0">
                  <c:v>0.65828279782669041</c:v>
                </c:pt>
                <c:pt idx="102" formatCode="0.0">
                  <c:v>0.80216117564016931</c:v>
                </c:pt>
                <c:pt idx="103" formatCode="0.0">
                  <c:v>0.85348510498958619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BBB-5444-9E4E-CB944B28BFF1}"/>
            </c:ext>
          </c:extLst>
        </c:ser>
        <c:ser>
          <c:idx val="1"/>
          <c:order val="1"/>
          <c:tx>
            <c:v> Ongevaccineerd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Delta!$G$2:$G$105</c:f>
              <c:numCache>
                <c:formatCode>General</c:formatCode>
                <c:ptCount val="104"/>
                <c:pt idx="4" formatCode="0.0">
                  <c:v>4.0392182922116753</c:v>
                </c:pt>
                <c:pt idx="5" formatCode="0.0">
                  <c:v>3.5612837127565529</c:v>
                </c:pt>
                <c:pt idx="6" formatCode="0.0">
                  <c:v>3.2262650801976647</c:v>
                </c:pt>
                <c:pt idx="7" formatCode="0.0">
                  <c:v>2.5392720607019448</c:v>
                </c:pt>
                <c:pt idx="8" formatCode="0.0">
                  <c:v>2.2197713444120555</c:v>
                </c:pt>
                <c:pt idx="9" formatCode="0.0">
                  <c:v>2.149276235406878</c:v>
                </c:pt>
                <c:pt idx="10" formatCode="0.0">
                  <c:v>2.1257283068788846</c:v>
                </c:pt>
                <c:pt idx="11" formatCode="0.0">
                  <c:v>1.983554021165659</c:v>
                </c:pt>
                <c:pt idx="12" formatCode="0.0">
                  <c:v>2.3245095842662606</c:v>
                </c:pt>
                <c:pt idx="13" formatCode="0.0">
                  <c:v>2.1290180951166207</c:v>
                </c:pt>
                <c:pt idx="14" formatCode="0.0">
                  <c:v>2.2854746756936488</c:v>
                </c:pt>
                <c:pt idx="15" formatCode="0.0">
                  <c:v>2.1240336285200758</c:v>
                </c:pt>
                <c:pt idx="16" formatCode="0.0">
                  <c:v>2.2866120686764413</c:v>
                </c:pt>
                <c:pt idx="17" formatCode="0.0">
                  <c:v>2.0366034442150767</c:v>
                </c:pt>
                <c:pt idx="18" formatCode="0.0">
                  <c:v>1.6929903274997387</c:v>
                </c:pt>
                <c:pt idx="19" formatCode="0.0">
                  <c:v>1.4055406056418216</c:v>
                </c:pt>
                <c:pt idx="20" formatCode="0.0">
                  <c:v>1.0646941052692722</c:v>
                </c:pt>
                <c:pt idx="21" formatCode="0.0">
                  <c:v>0.90253573849559376</c:v>
                </c:pt>
                <c:pt idx="22" formatCode="0.0">
                  <c:v>0.56957209608789283</c:v>
                </c:pt>
                <c:pt idx="23" formatCode="0.0">
                  <c:v>0.66720892387468855</c:v>
                </c:pt>
                <c:pt idx="24" formatCode="0.0">
                  <c:v>0.26797513971965836</c:v>
                </c:pt>
                <c:pt idx="25" formatCode="0.0">
                  <c:v>0.16974834231083749</c:v>
                </c:pt>
                <c:pt idx="26" formatCode="0.0">
                  <c:v>0.23569969356486209</c:v>
                </c:pt>
                <c:pt idx="27" formatCode="0.0">
                  <c:v>0.19361182076653566</c:v>
                </c:pt>
                <c:pt idx="28" formatCode="0.0">
                  <c:v>0.59925093632958792</c:v>
                </c:pt>
                <c:pt idx="29" formatCode="0.0">
                  <c:v>0.65324893982177989</c:v>
                </c:pt>
                <c:pt idx="30" formatCode="0.0">
                  <c:v>1.014818473189681</c:v>
                </c:pt>
                <c:pt idx="31" formatCode="0.0">
                  <c:v>0.91035051403343625</c:v>
                </c:pt>
                <c:pt idx="32" formatCode="0.0">
                  <c:v>0.8982651685393257</c:v>
                </c:pt>
                <c:pt idx="33" formatCode="0.0">
                  <c:v>1.0658524833697463</c:v>
                </c:pt>
                <c:pt idx="34" formatCode="0.0">
                  <c:v>0.83626491553489835</c:v>
                </c:pt>
                <c:pt idx="35" formatCode="0.0">
                  <c:v>0.87449042505222274</c:v>
                </c:pt>
                <c:pt idx="36" formatCode="0.0">
                  <c:v>0.81189756459248263</c:v>
                </c:pt>
                <c:pt idx="37" formatCode="0.0">
                  <c:v>0.53181526368713283</c:v>
                </c:pt>
                <c:pt idx="38" formatCode="0.0">
                  <c:v>0.66616601910510176</c:v>
                </c:pt>
                <c:pt idx="39" formatCode="0.0">
                  <c:v>0.88399888768986878</c:v>
                </c:pt>
                <c:pt idx="40" formatCode="0.0">
                  <c:v>0.92230999332248986</c:v>
                </c:pt>
                <c:pt idx="41" formatCode="0.0">
                  <c:v>1.0736282381862148</c:v>
                </c:pt>
                <c:pt idx="42" formatCode="0.0">
                  <c:v>2.228551812567686</c:v>
                </c:pt>
                <c:pt idx="43" formatCode="0.0">
                  <c:v>2.863681286521651</c:v>
                </c:pt>
                <c:pt idx="44" formatCode="0.0">
                  <c:v>3.8829988962160025</c:v>
                </c:pt>
                <c:pt idx="45" formatCode="0.0">
                  <c:v>5.4776683990167117</c:v>
                </c:pt>
                <c:pt idx="46" formatCode="0.0">
                  <c:v>6.6421354587410439</c:v>
                </c:pt>
                <c:pt idx="47" formatCode="0.0">
                  <c:v>7.0415320436272584</c:v>
                </c:pt>
                <c:pt idx="48" formatCode="0.0">
                  <c:v>7.0491333678654851</c:v>
                </c:pt>
                <c:pt idx="49" formatCode="0.0">
                  <c:v>5.9438076373369224</c:v>
                </c:pt>
                <c:pt idx="50" formatCode="0.0">
                  <c:v>5.0724159567380127</c:v>
                </c:pt>
                <c:pt idx="51" formatCode="0.0">
                  <c:v>3.6702044881571152</c:v>
                </c:pt>
                <c:pt idx="52" formatCode="0.0">
                  <c:v>3.307830541260194</c:v>
                </c:pt>
                <c:pt idx="53" formatCode="0.0">
                  <c:v>2.5761952249272047</c:v>
                </c:pt>
                <c:pt idx="54" formatCode="0.0">
                  <c:v>2.1738208269725763</c:v>
                </c:pt>
                <c:pt idx="55" formatCode="0.0">
                  <c:v>1.9794839076730399</c:v>
                </c:pt>
                <c:pt idx="56" formatCode="0.0">
                  <c:v>2.4845606332071593</c:v>
                </c:pt>
                <c:pt idx="57" formatCode="0.0">
                  <c:v>3.3698969467215916</c:v>
                </c:pt>
                <c:pt idx="58" formatCode="0.0">
                  <c:v>3.0207926104483778</c:v>
                </c:pt>
                <c:pt idx="59" formatCode="0.0">
                  <c:v>3.0004161464835608</c:v>
                </c:pt>
                <c:pt idx="60" formatCode="0.0">
                  <c:v>2.4255891330946491</c:v>
                </c:pt>
                <c:pt idx="61" formatCode="0.0">
                  <c:v>2.5253759501956479</c:v>
                </c:pt>
                <c:pt idx="62" formatCode="0.0">
                  <c:v>3.4487016706869342</c:v>
                </c:pt>
                <c:pt idx="63" formatCode="0.0">
                  <c:v>2.9243604622599633</c:v>
                </c:pt>
                <c:pt idx="64" formatCode="0.0">
                  <c:v>2.36379054483782</c:v>
                </c:pt>
                <c:pt idx="65" formatCode="0.0">
                  <c:v>2.267965242254339</c:v>
                </c:pt>
                <c:pt idx="66" formatCode="0.0">
                  <c:v>1.5224369013970314</c:v>
                </c:pt>
                <c:pt idx="67" formatCode="0.0">
                  <c:v>0.94280019359774325</c:v>
                </c:pt>
                <c:pt idx="68" formatCode="0.0">
                  <c:v>0.83213602325319613</c:v>
                </c:pt>
                <c:pt idx="69" formatCode="0.0">
                  <c:v>0.33066749956848007</c:v>
                </c:pt>
                <c:pt idx="70" formatCode="0.0">
                  <c:v>0.51742462150504709</c:v>
                </c:pt>
                <c:pt idx="71" formatCode="0.0">
                  <c:v>0.34093620323276186</c:v>
                </c:pt>
                <c:pt idx="72" formatCode="0.0">
                  <c:v>0.34853758494336695</c:v>
                </c:pt>
                <c:pt idx="73" formatCode="0.0">
                  <c:v>0.10606569922542711</c:v>
                </c:pt>
                <c:pt idx="74" formatCode="0.0">
                  <c:v>0.24669285954637052</c:v>
                </c:pt>
                <c:pt idx="75" formatCode="0.0">
                  <c:v>0.38666893702780175</c:v>
                </c:pt>
                <c:pt idx="76" formatCode="0.0">
                  <c:v>0.28542693443645012</c:v>
                </c:pt>
                <c:pt idx="77" formatCode="0.0">
                  <c:v>0.99097313303974244</c:v>
                </c:pt>
                <c:pt idx="78" formatCode="0.0">
                  <c:v>0.70574508753041354</c:v>
                </c:pt>
                <c:pt idx="79" formatCode="0.0">
                  <c:v>0.89390064684849369</c:v>
                </c:pt>
                <c:pt idx="80" formatCode="0.0">
                  <c:v>1.2395168863128576</c:v>
                </c:pt>
                <c:pt idx="81" formatCode="0.0">
                  <c:v>1.1887250118493322</c:v>
                </c:pt>
                <c:pt idx="82" formatCode="0.0">
                  <c:v>0.72351736671910782</c:v>
                </c:pt>
                <c:pt idx="83" formatCode="0.0">
                  <c:v>0.77177751705006514</c:v>
                </c:pt>
                <c:pt idx="84" formatCode="0.0">
                  <c:v>0.59292629852365941</c:v>
                </c:pt>
                <c:pt idx="85" formatCode="0.0">
                  <c:v>0.47110533320952097</c:v>
                </c:pt>
                <c:pt idx="86" formatCode="0.0">
                  <c:v>0.2563001781370125</c:v>
                </c:pt>
                <c:pt idx="87" formatCode="0.0">
                  <c:v>0.43285593913622572</c:v>
                </c:pt>
                <c:pt idx="88" formatCode="0.0">
                  <c:v>0.34160595958348761</c:v>
                </c:pt>
                <c:pt idx="89" formatCode="0.0">
                  <c:v>0.42573901267483433</c:v>
                </c:pt>
                <c:pt idx="90" formatCode="0.0">
                  <c:v>0.49913120620595569</c:v>
                </c:pt>
                <c:pt idx="91" formatCode="0.0">
                  <c:v>0.99671124423338842</c:v>
                </c:pt>
                <c:pt idx="92" formatCode="0.0">
                  <c:v>1.0173832860899557</c:v>
                </c:pt>
                <c:pt idx="93" formatCode="0.0">
                  <c:v>1.3930971601534512</c:v>
                </c:pt>
                <c:pt idx="94" formatCode="0.0">
                  <c:v>1.3220378175549965</c:v>
                </c:pt>
                <c:pt idx="95" formatCode="0.0">
                  <c:v>0.78592515421173959</c:v>
                </c:pt>
                <c:pt idx="96" formatCode="0.0">
                  <c:v>0.67756486455787734</c:v>
                </c:pt>
                <c:pt idx="97" formatCode="0.0">
                  <c:v>0.45337817396382263</c:v>
                </c:pt>
                <c:pt idx="98" formatCode="0.0">
                  <c:v>0.34373350989994178</c:v>
                </c:pt>
                <c:pt idx="99" formatCode="0.0">
                  <c:v>0.38195565750938182</c:v>
                </c:pt>
                <c:pt idx="100" formatCode="0.0">
                  <c:v>0.64173906870536046</c:v>
                </c:pt>
                <c:pt idx="101" formatCode="0.0">
                  <c:v>0.65196819561221264</c:v>
                </c:pt>
                <c:pt idx="102" formatCode="0.0">
                  <c:v>1.0678451187302715</c:v>
                </c:pt>
                <c:pt idx="103" formatCode="0.0">
                  <c:v>1.1171101058741502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BBB-5444-9E4E-CB944B28B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353711"/>
        <c:axId val="1111458160"/>
      </c:lineChart>
      <c:lineChart>
        <c:grouping val="standard"/>
        <c:varyColors val="0"/>
        <c:ser>
          <c:idx val="2"/>
          <c:order val="2"/>
          <c:tx>
            <c:v> Vaccinaties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Corona!$K$2:$K$105</c:f>
              <c:numCache>
                <c:formatCode>0.0%</c:formatCode>
                <c:ptCount val="1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  <c:pt idx="103">
                  <c:v>3.1242420954355229E-3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BBB-5444-9E4E-CB944B28B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73504"/>
        <c:axId val="666444848"/>
      </c:lineChart>
      <c:dateAx>
        <c:axId val="2111353711"/>
        <c:scaling>
          <c:orientation val="minMax"/>
          <c:max val="44722"/>
          <c:min val="441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 val="autoZero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</c:valAx>
      <c:valAx>
        <c:axId val="666444848"/>
        <c:scaling>
          <c:orientation val="minMax"/>
          <c:max val="0.8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773504"/>
        <c:crosses val="max"/>
        <c:crossBetween val="between"/>
      </c:valAx>
      <c:dateAx>
        <c:axId val="206773504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666444848"/>
        <c:crosses val="autoZero"/>
        <c:auto val="1"/>
        <c:lblOffset val="100"/>
        <c:baseTimeUnit val="days"/>
      </c:dateAx>
      <c:spPr>
        <a:solidFill>
          <a:schemeClr val="bg1"/>
        </a:solidFill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512116316639742"/>
          <c:y val="0.10512109766766958"/>
          <c:w val="0.17996018470227571"/>
          <c:h val="0.25087917539696758"/>
        </c:manualLayout>
      </c:layout>
      <c:overlay val="0"/>
      <c:spPr>
        <a:solidFill>
          <a:schemeClr val="bg1">
            <a:lumMod val="75000"/>
            <a:alpha val="4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1"/>
              <a:t>Deltagolf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67663109154974E-2"/>
          <c:y val="8.56806009004972E-2"/>
          <c:w val="0.91092656430870211"/>
          <c:h val="0.84872628726287269"/>
        </c:manualLayout>
      </c:layout>
      <c:lineChart>
        <c:grouping val="standard"/>
        <c:varyColors val="0"/>
        <c:ser>
          <c:idx val="0"/>
          <c:order val="0"/>
          <c:tx>
            <c:v> Gevaccineerd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Delta!$F$24:$F$105</c:f>
              <c:numCache>
                <c:formatCode>0.0</c:formatCode>
                <c:ptCount val="82"/>
                <c:pt idx="0">
                  <c:v>0.23885571661471172</c:v>
                </c:pt>
                <c:pt idx="1">
                  <c:v>8.5800098629740432E-2</c:v>
                </c:pt>
                <c:pt idx="2">
                  <c:v>8.728952790178901E-2</c:v>
                </c:pt>
                <c:pt idx="3">
                  <c:v>0.10916181446278336</c:v>
                </c:pt>
                <c:pt idx="4">
                  <c:v>6.5122678284797064E-2</c:v>
                </c:pt>
                <c:pt idx="5">
                  <c:v>7.1230561180680232E-2</c:v>
                </c:pt>
                <c:pt idx="6">
                  <c:v>0.28892455858747995</c:v>
                </c:pt>
                <c:pt idx="7">
                  <c:v>0.31376666011417476</c:v>
                </c:pt>
                <c:pt idx="8">
                  <c:v>0.45832325059061058</c:v>
                </c:pt>
                <c:pt idx="9">
                  <c:v>0.43105837322508728</c:v>
                </c:pt>
                <c:pt idx="10">
                  <c:v>0.3842313059235109</c:v>
                </c:pt>
                <c:pt idx="11">
                  <c:v>0.38840147730724428</c:v>
                </c:pt>
                <c:pt idx="12">
                  <c:v>0.35666525282925077</c:v>
                </c:pt>
                <c:pt idx="13">
                  <c:v>0.38811285830192721</c:v>
                </c:pt>
                <c:pt idx="14">
                  <c:v>0.43088728207938948</c:v>
                </c:pt>
                <c:pt idx="15">
                  <c:v>0.27846443250103747</c:v>
                </c:pt>
                <c:pt idx="16">
                  <c:v>0.2205909419145024</c:v>
                </c:pt>
                <c:pt idx="17">
                  <c:v>0.27636215325301161</c:v>
                </c:pt>
                <c:pt idx="18">
                  <c:v>0.46425811734376571</c:v>
                </c:pt>
                <c:pt idx="19">
                  <c:v>0.9217260711932963</c:v>
                </c:pt>
                <c:pt idx="20">
                  <c:v>1.5093490380642434</c:v>
                </c:pt>
                <c:pt idx="21">
                  <c:v>2.1099652637376987</c:v>
                </c:pt>
                <c:pt idx="22">
                  <c:v>2.8770069584601021</c:v>
                </c:pt>
                <c:pt idx="23">
                  <c:v>4.3684973642899703</c:v>
                </c:pt>
                <c:pt idx="24">
                  <c:v>5.478663101992959</c:v>
                </c:pt>
                <c:pt idx="25">
                  <c:v>5.7404240162550426</c:v>
                </c:pt>
                <c:pt idx="26">
                  <c:v>5.5540011912811602</c:v>
                </c:pt>
                <c:pt idx="27">
                  <c:v>3.8983186429336136</c:v>
                </c:pt>
                <c:pt idx="28">
                  <c:v>2.8322429119382271</c:v>
                </c:pt>
                <c:pt idx="29">
                  <c:v>1.9457337887296264</c:v>
                </c:pt>
                <c:pt idx="30">
                  <c:v>1.2014247619813339</c:v>
                </c:pt>
                <c:pt idx="31">
                  <c:v>0.91455090343305012</c:v>
                </c:pt>
                <c:pt idx="32">
                  <c:v>0.71067465313365841</c:v>
                </c:pt>
                <c:pt idx="33">
                  <c:v>0.82145466029041747</c:v>
                </c:pt>
                <c:pt idx="34">
                  <c:v>1.0468700269875535</c:v>
                </c:pt>
                <c:pt idx="35">
                  <c:v>1.0767530891095274</c:v>
                </c:pt>
                <c:pt idx="36">
                  <c:v>1.266069487650388</c:v>
                </c:pt>
                <c:pt idx="37">
                  <c:v>1.0370885950084519</c:v>
                </c:pt>
                <c:pt idx="38">
                  <c:v>1.0571595825625273</c:v>
                </c:pt>
                <c:pt idx="39">
                  <c:v>1.5787226946669255</c:v>
                </c:pt>
                <c:pt idx="40">
                  <c:v>2.0308208342098419</c:v>
                </c:pt>
                <c:pt idx="41">
                  <c:v>2.009673006493677</c:v>
                </c:pt>
                <c:pt idx="42">
                  <c:v>1.8244117610462005</c:v>
                </c:pt>
                <c:pt idx="43">
                  <c:v>1.5065332526111557</c:v>
                </c:pt>
                <c:pt idx="44">
                  <c:v>1.2234208306302141</c:v>
                </c:pt>
                <c:pt idx="45">
                  <c:v>0.95076752797524577</c:v>
                </c:pt>
                <c:pt idx="46">
                  <c:v>0.6100890162127377</c:v>
                </c:pt>
                <c:pt idx="47">
                  <c:v>0.41118877383727231</c:v>
                </c:pt>
                <c:pt idx="48">
                  <c:v>0.30596089021664191</c:v>
                </c:pt>
                <c:pt idx="49">
                  <c:v>0.28923312990041572</c:v>
                </c:pt>
                <c:pt idx="50">
                  <c:v>0.21432108247544335</c:v>
                </c:pt>
                <c:pt idx="51">
                  <c:v>0.17366254662130909</c:v>
                </c:pt>
                <c:pt idx="52">
                  <c:v>0.14703461124712813</c:v>
                </c:pt>
                <c:pt idx="53">
                  <c:v>0.41457182194807141</c:v>
                </c:pt>
                <c:pt idx="54">
                  <c:v>0.40674310393364743</c:v>
                </c:pt>
                <c:pt idx="55">
                  <c:v>0.82696949887904792</c:v>
                </c:pt>
                <c:pt idx="56">
                  <c:v>0.56794964251683244</c:v>
                </c:pt>
                <c:pt idx="57">
                  <c:v>0.87314306914782325</c:v>
                </c:pt>
                <c:pt idx="58">
                  <c:v>0.99357915360996363</c:v>
                </c:pt>
                <c:pt idx="59">
                  <c:v>0.99733646481091032</c:v>
                </c:pt>
                <c:pt idx="60">
                  <c:v>0.83906624471895164</c:v>
                </c:pt>
                <c:pt idx="61">
                  <c:v>0.72912442051624982</c:v>
                </c:pt>
                <c:pt idx="62">
                  <c:v>0.562517657790231</c:v>
                </c:pt>
                <c:pt idx="63">
                  <c:v>0.47207139825120015</c:v>
                </c:pt>
                <c:pt idx="64">
                  <c:v>0.37162811788138345</c:v>
                </c:pt>
                <c:pt idx="65">
                  <c:v>0.39926229469249952</c:v>
                </c:pt>
                <c:pt idx="66">
                  <c:v>0.30929254797760913</c:v>
                </c:pt>
                <c:pt idx="67">
                  <c:v>0.30704798404380262</c:v>
                </c:pt>
                <c:pt idx="68">
                  <c:v>0.60019501191219604</c:v>
                </c:pt>
                <c:pt idx="69">
                  <c:v>0.94725010330534798</c:v>
                </c:pt>
                <c:pt idx="70">
                  <c:v>1.1157963605319376</c:v>
                </c:pt>
                <c:pt idx="71">
                  <c:v>1.2459222913546315</c:v>
                </c:pt>
                <c:pt idx="72">
                  <c:v>0.93128275298104002</c:v>
                </c:pt>
                <c:pt idx="73">
                  <c:v>0.59165579716321548</c:v>
                </c:pt>
                <c:pt idx="74">
                  <c:v>0.52681275434100194</c:v>
                </c:pt>
                <c:pt idx="75">
                  <c:v>0.42895221616094836</c:v>
                </c:pt>
                <c:pt idx="76">
                  <c:v>0.37545220801559054</c:v>
                </c:pt>
                <c:pt idx="77">
                  <c:v>0.48083588899621499</c:v>
                </c:pt>
                <c:pt idx="78">
                  <c:v>0.48682499249387157</c:v>
                </c:pt>
                <c:pt idx="79">
                  <c:v>0.65828279782669041</c:v>
                </c:pt>
                <c:pt idx="80">
                  <c:v>0.80216117564016931</c:v>
                </c:pt>
                <c:pt idx="81">
                  <c:v>0.85348510498958619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D17-5D46-8B13-88D1F2115E20}"/>
            </c:ext>
          </c:extLst>
        </c:ser>
        <c:ser>
          <c:idx val="1"/>
          <c:order val="1"/>
          <c:tx>
            <c:v> Ongevaccineerd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Delta!$G$24:$G$105</c:f>
              <c:numCache>
                <c:formatCode>0.0</c:formatCode>
                <c:ptCount val="82"/>
                <c:pt idx="0">
                  <c:v>0.56957209608789283</c:v>
                </c:pt>
                <c:pt idx="1">
                  <c:v>0.66720892387468855</c:v>
                </c:pt>
                <c:pt idx="2">
                  <c:v>0.26797513971965836</c:v>
                </c:pt>
                <c:pt idx="3">
                  <c:v>0.16974834231083749</c:v>
                </c:pt>
                <c:pt idx="4">
                  <c:v>0.23569969356486209</c:v>
                </c:pt>
                <c:pt idx="5">
                  <c:v>0.19361182076653566</c:v>
                </c:pt>
                <c:pt idx="6">
                  <c:v>0.59925093632958792</c:v>
                </c:pt>
                <c:pt idx="7">
                  <c:v>0.65324893982177989</c:v>
                </c:pt>
                <c:pt idx="8">
                  <c:v>1.014818473189681</c:v>
                </c:pt>
                <c:pt idx="9">
                  <c:v>0.91035051403343625</c:v>
                </c:pt>
                <c:pt idx="10">
                  <c:v>0.8982651685393257</c:v>
                </c:pt>
                <c:pt idx="11">
                  <c:v>1.0658524833697463</c:v>
                </c:pt>
                <c:pt idx="12">
                  <c:v>0.83626491553489835</c:v>
                </c:pt>
                <c:pt idx="13">
                  <c:v>0.87449042505222274</c:v>
                </c:pt>
                <c:pt idx="14">
                  <c:v>0.81189756459248263</c:v>
                </c:pt>
                <c:pt idx="15">
                  <c:v>0.53181526368713283</c:v>
                </c:pt>
                <c:pt idx="16">
                  <c:v>0.66616601910510176</c:v>
                </c:pt>
                <c:pt idx="17">
                  <c:v>0.88399888768986878</c:v>
                </c:pt>
                <c:pt idx="18">
                  <c:v>0.92230999332248986</c:v>
                </c:pt>
                <c:pt idx="19">
                  <c:v>1.0736282381862148</c:v>
                </c:pt>
                <c:pt idx="20">
                  <c:v>2.228551812567686</c:v>
                </c:pt>
                <c:pt idx="21">
                  <c:v>2.863681286521651</c:v>
                </c:pt>
                <c:pt idx="22">
                  <c:v>3.8829988962160025</c:v>
                </c:pt>
                <c:pt idx="23">
                  <c:v>5.4776683990167117</c:v>
                </c:pt>
                <c:pt idx="24">
                  <c:v>6.6421354587410439</c:v>
                </c:pt>
                <c:pt idx="25">
                  <c:v>7.0415320436272584</c:v>
                </c:pt>
                <c:pt idx="26">
                  <c:v>7.0491333678654851</c:v>
                </c:pt>
                <c:pt idx="27">
                  <c:v>5.9438076373369224</c:v>
                </c:pt>
                <c:pt idx="28">
                  <c:v>5.0724159567380127</c:v>
                </c:pt>
                <c:pt idx="29">
                  <c:v>3.6702044881571152</c:v>
                </c:pt>
                <c:pt idx="30">
                  <c:v>3.307830541260194</c:v>
                </c:pt>
                <c:pt idx="31">
                  <c:v>2.5761952249272047</c:v>
                </c:pt>
                <c:pt idx="32">
                  <c:v>2.1738208269725763</c:v>
                </c:pt>
                <c:pt idx="33">
                  <c:v>1.9794839076730399</c:v>
                </c:pt>
                <c:pt idx="34">
                  <c:v>2.4845606332071593</c:v>
                </c:pt>
                <c:pt idx="35">
                  <c:v>3.3698969467215916</c:v>
                </c:pt>
                <c:pt idx="36">
                  <c:v>3.0207926104483778</c:v>
                </c:pt>
                <c:pt idx="37">
                  <c:v>3.0004161464835608</c:v>
                </c:pt>
                <c:pt idx="38">
                  <c:v>2.4255891330946491</c:v>
                </c:pt>
                <c:pt idx="39">
                  <c:v>2.5253759501956479</c:v>
                </c:pt>
                <c:pt idx="40">
                  <c:v>3.4487016706869342</c:v>
                </c:pt>
                <c:pt idx="41">
                  <c:v>2.9243604622599633</c:v>
                </c:pt>
                <c:pt idx="42">
                  <c:v>2.36379054483782</c:v>
                </c:pt>
                <c:pt idx="43">
                  <c:v>2.267965242254339</c:v>
                </c:pt>
                <c:pt idx="44">
                  <c:v>1.5224369013970314</c:v>
                </c:pt>
                <c:pt idx="45">
                  <c:v>0.94280019359774325</c:v>
                </c:pt>
                <c:pt idx="46">
                  <c:v>0.83213602325319613</c:v>
                </c:pt>
                <c:pt idx="47">
                  <c:v>0.33066749956848007</c:v>
                </c:pt>
                <c:pt idx="48">
                  <c:v>0.51742462150504709</c:v>
                </c:pt>
                <c:pt idx="49">
                  <c:v>0.34093620323276186</c:v>
                </c:pt>
                <c:pt idx="50">
                  <c:v>0.34853758494336695</c:v>
                </c:pt>
                <c:pt idx="51">
                  <c:v>0.10606569922542711</c:v>
                </c:pt>
                <c:pt idx="52">
                  <c:v>0.24669285954637052</c:v>
                </c:pt>
                <c:pt idx="53">
                  <c:v>0.38666893702780175</c:v>
                </c:pt>
                <c:pt idx="54">
                  <c:v>0.28542693443645012</c:v>
                </c:pt>
                <c:pt idx="55">
                  <c:v>0.99097313303974244</c:v>
                </c:pt>
                <c:pt idx="56">
                  <c:v>0.70574508753041354</c:v>
                </c:pt>
                <c:pt idx="57">
                  <c:v>0.89390064684849369</c:v>
                </c:pt>
                <c:pt idx="58">
                  <c:v>1.2395168863128576</c:v>
                </c:pt>
                <c:pt idx="59">
                  <c:v>1.1887250118493322</c:v>
                </c:pt>
                <c:pt idx="60">
                  <c:v>0.72351736671910782</c:v>
                </c:pt>
                <c:pt idx="61">
                  <c:v>0.77177751705006514</c:v>
                </c:pt>
                <c:pt idx="62">
                  <c:v>0.59292629852365941</c:v>
                </c:pt>
                <c:pt idx="63">
                  <c:v>0.47110533320952097</c:v>
                </c:pt>
                <c:pt idx="64">
                  <c:v>0.2563001781370125</c:v>
                </c:pt>
                <c:pt idx="65">
                  <c:v>0.43285593913622572</c:v>
                </c:pt>
                <c:pt idx="66">
                  <c:v>0.34160595958348761</c:v>
                </c:pt>
                <c:pt idx="67">
                  <c:v>0.42573901267483433</c:v>
                </c:pt>
                <c:pt idx="68">
                  <c:v>0.49913120620595569</c:v>
                </c:pt>
                <c:pt idx="69">
                  <c:v>0.99671124423338842</c:v>
                </c:pt>
                <c:pt idx="70">
                  <c:v>1.0173832860899557</c:v>
                </c:pt>
                <c:pt idx="71">
                  <c:v>1.3930971601534512</c:v>
                </c:pt>
                <c:pt idx="72">
                  <c:v>1.3220378175549965</c:v>
                </c:pt>
                <c:pt idx="73">
                  <c:v>0.78592515421173959</c:v>
                </c:pt>
                <c:pt idx="74">
                  <c:v>0.67756486455787734</c:v>
                </c:pt>
                <c:pt idx="75">
                  <c:v>0.45337817396382263</c:v>
                </c:pt>
                <c:pt idx="76">
                  <c:v>0.34373350989994178</c:v>
                </c:pt>
                <c:pt idx="77">
                  <c:v>0.38195565750938182</c:v>
                </c:pt>
                <c:pt idx="78">
                  <c:v>0.64173906870536046</c:v>
                </c:pt>
                <c:pt idx="79">
                  <c:v>0.65196819561221264</c:v>
                </c:pt>
                <c:pt idx="80">
                  <c:v>1.0678451187302715</c:v>
                </c:pt>
                <c:pt idx="81">
                  <c:v>1.1171101058741502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D17-5D46-8B13-88D1F211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353711"/>
        <c:axId val="1111458160"/>
      </c:lineChart>
      <c:dateAx>
        <c:axId val="2111353711"/>
        <c:scaling>
          <c:orientation val="minMax"/>
          <c:max val="44722"/>
          <c:min val="444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 val="autoZero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1"/>
              <a:t>Oversterfte</a:t>
            </a:r>
            <a:r>
              <a:rPr lang="nl-NL" sz="1800" b="1" baseline="0"/>
              <a:t> overige oorzaken tijdens Deltagolf</a:t>
            </a:r>
            <a:endParaRPr lang="nl-NL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7773913204756508E-2"/>
          <c:y val="8.56806009004972E-2"/>
          <c:w val="0.8875703142290492"/>
          <c:h val="0.84872628726287269"/>
        </c:manualLayout>
      </c:layout>
      <c:lineChart>
        <c:grouping val="standard"/>
        <c:varyColors val="0"/>
        <c:ser>
          <c:idx val="0"/>
          <c:order val="0"/>
          <c:tx>
            <c:v> Gevaccineerd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Delta!$AF$24:$AF$105</c:f>
              <c:numCache>
                <c:formatCode>General</c:formatCode>
                <c:ptCount val="82"/>
                <c:pt idx="11" formatCode="0.00">
                  <c:v>0.20739983384480476</c:v>
                </c:pt>
                <c:pt idx="12" formatCode="0.00">
                  <c:v>0.33078394926711863</c:v>
                </c:pt>
                <c:pt idx="13" formatCode="0.00">
                  <c:v>0.49414049492679379</c:v>
                </c:pt>
                <c:pt idx="14" formatCode="0.00">
                  <c:v>0.11736421996521568</c:v>
                </c:pt>
                <c:pt idx="15" formatCode="0.00">
                  <c:v>7.5794182383616737E-2</c:v>
                </c:pt>
                <c:pt idx="16" formatCode="0.00">
                  <c:v>0.47481326600971913</c:v>
                </c:pt>
                <c:pt idx="17" formatCode="0.00">
                  <c:v>0.51365304198310957</c:v>
                </c:pt>
                <c:pt idx="18" formatCode="0.00">
                  <c:v>0.44566519554557477</c:v>
                </c:pt>
                <c:pt idx="19" formatCode="0.00">
                  <c:v>0.56966249130703683</c:v>
                </c:pt>
                <c:pt idx="20" formatCode="0.00">
                  <c:v>0.61448110819395052</c:v>
                </c:pt>
                <c:pt idx="21" formatCode="0.00">
                  <c:v>0.75443382022489347</c:v>
                </c:pt>
                <c:pt idx="22" formatCode="0.00">
                  <c:v>1.0533523432748186</c:v>
                </c:pt>
                <c:pt idx="23" formatCode="0.00">
                  <c:v>0.64656685009042025</c:v>
                </c:pt>
                <c:pt idx="24" formatCode="0.00">
                  <c:v>0.52414710364103634</c:v>
                </c:pt>
                <c:pt idx="25" formatCode="0.00">
                  <c:v>0.94888506128865213</c:v>
                </c:pt>
                <c:pt idx="26" formatCode="0.00">
                  <c:v>0.78804842444727541</c:v>
                </c:pt>
                <c:pt idx="27" formatCode="0.00">
                  <c:v>0.9789154831915301</c:v>
                </c:pt>
                <c:pt idx="28" formatCode="0.00">
                  <c:v>0.55278903847024141</c:v>
                </c:pt>
                <c:pt idx="29" formatCode="0.00">
                  <c:v>0.33514808798807327</c:v>
                </c:pt>
                <c:pt idx="30" formatCode="0.00">
                  <c:v>-0.24924078301191932</c:v>
                </c:pt>
                <c:pt idx="31" formatCode="0.00">
                  <c:v>-1.1192962496106469</c:v>
                </c:pt>
                <c:pt idx="32" formatCode="0.00">
                  <c:v>-1.2241816475973519</c:v>
                </c:pt>
                <c:pt idx="33" formatCode="0.00">
                  <c:v>-1.150719096184291</c:v>
                </c:pt>
                <c:pt idx="34" formatCode="0.00">
                  <c:v>-1.1608182975875494</c:v>
                </c:pt>
                <c:pt idx="35" formatCode="0.00">
                  <c:v>-0.95990225197212398</c:v>
                </c:pt>
                <c:pt idx="36" formatCode="0.00">
                  <c:v>-0.83735384199164842</c:v>
                </c:pt>
                <c:pt idx="37" formatCode="0.00">
                  <c:v>-0.6080058864244321</c:v>
                </c:pt>
                <c:pt idx="38" formatCode="0.00">
                  <c:v>-0.69580576969449515</c:v>
                </c:pt>
                <c:pt idx="39" formatCode="0.00">
                  <c:v>-0.5426326769651757</c:v>
                </c:pt>
                <c:pt idx="40" formatCode="0.00">
                  <c:v>-1.5802410423378266E-2</c:v>
                </c:pt>
                <c:pt idx="41" formatCode="0.00">
                  <c:v>0.41879638187458301</c:v>
                </c:pt>
                <c:pt idx="42" formatCode="0.00">
                  <c:v>0.61025907836647053</c:v>
                </c:pt>
                <c:pt idx="43" formatCode="0.00">
                  <c:v>0.92532113336127875</c:v>
                </c:pt>
                <c:pt idx="44" formatCode="0.00">
                  <c:v>0.81379693782895957</c:v>
                </c:pt>
                <c:pt idx="45" formatCode="0.00">
                  <c:v>0.2443352361436758</c:v>
                </c:pt>
                <c:pt idx="46" formatCode="0.00">
                  <c:v>7.3961988776112153E-2</c:v>
                </c:pt>
                <c:pt idx="47" formatCode="0.00">
                  <c:v>0.26744732478666272</c:v>
                </c:pt>
                <c:pt idx="48" formatCode="0.00">
                  <c:v>0.41404324457266423</c:v>
                </c:pt>
                <c:pt idx="49" formatCode="0.00">
                  <c:v>0.19914736645750902</c:v>
                </c:pt>
                <c:pt idx="50" formatCode="0.00">
                  <c:v>5.9180121902068228E-3</c:v>
                </c:pt>
                <c:pt idx="51" formatCode="0.00">
                  <c:v>8.5235025872266668E-2</c:v>
                </c:pt>
                <c:pt idx="52" formatCode="0.00">
                  <c:v>0.33588539863422884</c:v>
                </c:pt>
                <c:pt idx="53" formatCode="0.00">
                  <c:v>0.52219304741578609</c:v>
                </c:pt>
                <c:pt idx="54" formatCode="0.00">
                  <c:v>1.0265975607974416</c:v>
                </c:pt>
                <c:pt idx="55" formatCode="0.00">
                  <c:v>0.5908252946669541</c:v>
                </c:pt>
                <c:pt idx="56" formatCode="0.00">
                  <c:v>0.67346193359506934</c:v>
                </c:pt>
                <c:pt idx="57" formatCode="0.00">
                  <c:v>0.69859971138499755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A60-7A4E-BB52-F261A943C204}"/>
            </c:ext>
          </c:extLst>
        </c:ser>
        <c:ser>
          <c:idx val="1"/>
          <c:order val="1"/>
          <c:tx>
            <c:v> Ongevaccineerd</c:v>
          </c:tx>
          <c:spPr>
            <a:ln w="412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Delta!$AG$24:$AG$105</c:f>
              <c:numCache>
                <c:formatCode>General</c:formatCode>
                <c:ptCount val="82"/>
                <c:pt idx="11" formatCode="0.00">
                  <c:v>-0.47005117221769721</c:v>
                </c:pt>
                <c:pt idx="12" formatCode="0.00">
                  <c:v>-0.14881571343852895</c:v>
                </c:pt>
                <c:pt idx="13" formatCode="0.00">
                  <c:v>7.7629281764982627E-3</c:v>
                </c:pt>
                <c:pt idx="14" formatCode="0.00">
                  <c:v>-0.26364606254787748</c:v>
                </c:pt>
                <c:pt idx="15" formatCode="0.00">
                  <c:v>-0.17755664880247862</c:v>
                </c:pt>
                <c:pt idx="16" formatCode="0.00">
                  <c:v>2.923818881911977E-2</c:v>
                </c:pt>
                <c:pt idx="17" formatCode="0.00">
                  <c:v>-9.3983692453747603E-2</c:v>
                </c:pt>
                <c:pt idx="18" formatCode="0.00">
                  <c:v>-1.2386680433149388E-2</c:v>
                </c:pt>
                <c:pt idx="19" formatCode="0.00">
                  <c:v>0.41776032431411836</c:v>
                </c:pt>
                <c:pt idx="20" formatCode="0.00">
                  <c:v>-0.10472166630949209</c:v>
                </c:pt>
                <c:pt idx="21" formatCode="0.00">
                  <c:v>7.1779744094113695E-4</c:v>
                </c:pt>
                <c:pt idx="22" formatCode="0.00">
                  <c:v>4.7360405518918292E-2</c:v>
                </c:pt>
                <c:pt idx="23" formatCode="0.00">
                  <c:v>-0.46260418463632114</c:v>
                </c:pt>
                <c:pt idx="24" formatCode="0.00">
                  <c:v>-0.63932525310704857</c:v>
                </c:pt>
                <c:pt idx="25" formatCode="0.00">
                  <c:v>-0.35222296608356363</c:v>
                </c:pt>
                <c:pt idx="26" formatCode="0.00">
                  <c:v>-0.70708375213704944</c:v>
                </c:pt>
                <c:pt idx="27" formatCode="0.00">
                  <c:v>-1.0665735112117787</c:v>
                </c:pt>
                <c:pt idx="28" formatCode="0.00">
                  <c:v>-1.6873840063295442</c:v>
                </c:pt>
                <c:pt idx="29" formatCode="0.00">
                  <c:v>-1.3893226114394155</c:v>
                </c:pt>
                <c:pt idx="30" formatCode="0.00">
                  <c:v>-2.3556465622907794</c:v>
                </c:pt>
                <c:pt idx="31" formatCode="0.00">
                  <c:v>-2.7809405711048014</c:v>
                </c:pt>
                <c:pt idx="32" formatCode="0.00">
                  <c:v>-2.6873278214362699</c:v>
                </c:pt>
                <c:pt idx="33" formatCode="0.00">
                  <c:v>-2.3087483435669136</c:v>
                </c:pt>
                <c:pt idx="34" formatCode="0.00">
                  <c:v>-2.5985089038071552</c:v>
                </c:pt>
                <c:pt idx="35" formatCode="0.00">
                  <c:v>-3.2530461095841883</c:v>
                </c:pt>
                <c:pt idx="36" formatCode="0.00">
                  <c:v>-2.5920769647896384</c:v>
                </c:pt>
                <c:pt idx="37" formatCode="0.00">
                  <c:v>-2.5713334378995412</c:v>
                </c:pt>
                <c:pt idx="38" formatCode="0.00">
                  <c:v>-2.0642353202266168</c:v>
                </c:pt>
                <c:pt idx="39" formatCode="0.00">
                  <c:v>-1.4892859324938981</c:v>
                </c:pt>
                <c:pt idx="40" formatCode="0.00">
                  <c:v>-1.4336832469004706</c:v>
                </c:pt>
                <c:pt idx="41" formatCode="0.00">
                  <c:v>-0.49589107389170328</c:v>
                </c:pt>
                <c:pt idx="42" formatCode="0.00">
                  <c:v>7.088029457485101E-2</c:v>
                </c:pt>
                <c:pt idx="43" formatCode="0.00">
                  <c:v>0.16388914371809538</c:v>
                </c:pt>
                <c:pt idx="44" formatCode="0.00">
                  <c:v>0.51478086706214232</c:v>
                </c:pt>
                <c:pt idx="45" formatCode="0.00">
                  <c:v>0.25230257052117833</c:v>
                </c:pt>
                <c:pt idx="46" formatCode="0.00">
                  <c:v>-0.14808501826434628</c:v>
                </c:pt>
                <c:pt idx="47" formatCode="0.00">
                  <c:v>0.34796859905545496</c:v>
                </c:pt>
                <c:pt idx="48" formatCode="0.00">
                  <c:v>0.20257951328425905</c:v>
                </c:pt>
                <c:pt idx="49" formatCode="0.00">
                  <c:v>0.14744429312516288</c:v>
                </c:pt>
                <c:pt idx="50" formatCode="0.00">
                  <c:v>-0.12829849027771678</c:v>
                </c:pt>
                <c:pt idx="51" formatCode="0.00">
                  <c:v>0.15283187326814865</c:v>
                </c:pt>
                <c:pt idx="52" formatCode="0.00">
                  <c:v>0.23622715033498645</c:v>
                </c:pt>
                <c:pt idx="53" formatCode="0.00">
                  <c:v>0.55009593233605569</c:v>
                </c:pt>
                <c:pt idx="54" formatCode="0.00">
                  <c:v>1.1479137302946387</c:v>
                </c:pt>
                <c:pt idx="55" formatCode="0.00">
                  <c:v>0.42682166050625958</c:v>
                </c:pt>
                <c:pt idx="56" formatCode="0.00">
                  <c:v>0.53566648858148824</c:v>
                </c:pt>
                <c:pt idx="57" formatCode="0.00">
                  <c:v>0.67784213368432711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60-7A4E-BB52-F261A943C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353711"/>
        <c:axId val="1111458160"/>
      </c:lineChart>
      <c:lineChart>
        <c:grouping val="standard"/>
        <c:varyColors val="0"/>
        <c:ser>
          <c:idx val="2"/>
          <c:order val="2"/>
          <c:tx>
            <c:v> Vaccinaties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Corona!$K$25:$K$105</c:f>
              <c:numCache>
                <c:formatCode>0.0%</c:formatCode>
                <c:ptCount val="81"/>
                <c:pt idx="0">
                  <c:v>6.9259450481183923E-3</c:v>
                </c:pt>
                <c:pt idx="1">
                  <c:v>9.9999999999999829E-3</c:v>
                </c:pt>
                <c:pt idx="2">
                  <c:v>4.6447611132506318E-3</c:v>
                </c:pt>
                <c:pt idx="3">
                  <c:v>9.3620754600705097E-2</c:v>
                </c:pt>
                <c:pt idx="4">
                  <c:v>8.1940599707354997E-2</c:v>
                </c:pt>
                <c:pt idx="5">
                  <c:v>6.1906973415267304E-2</c:v>
                </c:pt>
                <c:pt idx="6">
                  <c:v>5.705089213390916E-2</c:v>
                </c:pt>
                <c:pt idx="7">
                  <c:v>5.801531706552971E-2</c:v>
                </c:pt>
                <c:pt idx="8">
                  <c:v>5.0459684235371255E-2</c:v>
                </c:pt>
                <c:pt idx="9">
                  <c:v>2.0909891873373762E-2</c:v>
                </c:pt>
                <c:pt idx="10">
                  <c:v>1.8353483830555739E-2</c:v>
                </c:pt>
                <c:pt idx="11">
                  <c:v>1.3403844237843415E-2</c:v>
                </c:pt>
                <c:pt idx="12">
                  <c:v>8.5165058137397515E-3</c:v>
                </c:pt>
                <c:pt idx="13">
                  <c:v>1.0179954119487177E-2</c:v>
                </c:pt>
                <c:pt idx="14">
                  <c:v>9.1157904869241264E-3</c:v>
                </c:pt>
                <c:pt idx="15">
                  <c:v>7.9351939976340467E-3</c:v>
                </c:pt>
                <c:pt idx="16">
                  <c:v>7.1162568577016801E-3</c:v>
                </c:pt>
                <c:pt idx="17">
                  <c:v>7.1949680262517381E-3</c:v>
                </c:pt>
                <c:pt idx="18">
                  <c:v>7.4164675059801488E-3</c:v>
                </c:pt>
                <c:pt idx="19">
                  <c:v>7.7342958165333604E-3</c:v>
                </c:pt>
                <c:pt idx="20">
                  <c:v>8.5291507487595258E-3</c:v>
                </c:pt>
                <c:pt idx="21">
                  <c:v>8.323919191050938E-3</c:v>
                </c:pt>
                <c:pt idx="22">
                  <c:v>7.8218868551815732E-3</c:v>
                </c:pt>
                <c:pt idx="23">
                  <c:v>0.11740496134360724</c:v>
                </c:pt>
                <c:pt idx="24">
                  <c:v>0.2297231956539838</c:v>
                </c:pt>
                <c:pt idx="25">
                  <c:v>0.27135892813137624</c:v>
                </c:pt>
                <c:pt idx="26">
                  <c:v>0.16180250261146281</c:v>
                </c:pt>
                <c:pt idx="27">
                  <c:v>6.1951551799175192E-2</c:v>
                </c:pt>
                <c:pt idx="28">
                  <c:v>3.8653141954946846E-2</c:v>
                </c:pt>
                <c:pt idx="29">
                  <c:v>2.2506718703435014E-2</c:v>
                </c:pt>
                <c:pt idx="30">
                  <c:v>1.170242088381776E-2</c:v>
                </c:pt>
                <c:pt idx="31">
                  <c:v>7.3032261675242717E-3</c:v>
                </c:pt>
                <c:pt idx="32">
                  <c:v>6.240370823366306E-3</c:v>
                </c:pt>
                <c:pt idx="33">
                  <c:v>5.9770564497414764E-3</c:v>
                </c:pt>
                <c:pt idx="34">
                  <c:v>4.9147498289106601E-3</c:v>
                </c:pt>
                <c:pt idx="35">
                  <c:v>3.7111490078342679E-3</c:v>
                </c:pt>
                <c:pt idx="36">
                  <c:v>4.3011339906340144E-3</c:v>
                </c:pt>
                <c:pt idx="37">
                  <c:v>8.4412958318982965E-3</c:v>
                </c:pt>
                <c:pt idx="38">
                  <c:v>1.8109330727318407E-2</c:v>
                </c:pt>
                <c:pt idx="39">
                  <c:v>2.6127355788406845E-2</c:v>
                </c:pt>
                <c:pt idx="40">
                  <c:v>3.2559038754379578E-2</c:v>
                </c:pt>
                <c:pt idx="41">
                  <c:v>3.0180338072744072E-2</c:v>
                </c:pt>
                <c:pt idx="42">
                  <c:v>1.7144397315259928E-2</c:v>
                </c:pt>
                <c:pt idx="43">
                  <c:v>8.9348701799616039E-3</c:v>
                </c:pt>
                <c:pt idx="44">
                  <c:v>4.7377206536795844E-3</c:v>
                </c:pt>
                <c:pt idx="45">
                  <c:v>2.6956978411191226E-3</c:v>
                </c:pt>
                <c:pt idx="46">
                  <c:v>1.6185680654199998E-3</c:v>
                </c:pt>
                <c:pt idx="47">
                  <c:v>1.6920255353441206E-3</c:v>
                </c:pt>
                <c:pt idx="48">
                  <c:v>1.3909694879124313E-3</c:v>
                </c:pt>
                <c:pt idx="49">
                  <c:v>9.6014470565724565E-4</c:v>
                </c:pt>
                <c:pt idx="50">
                  <c:v>9.4345694415380241E-4</c:v>
                </c:pt>
                <c:pt idx="51">
                  <c:v>5.9185065682325203E-4</c:v>
                </c:pt>
                <c:pt idx="52">
                  <c:v>1.2097215360396731E-3</c:v>
                </c:pt>
                <c:pt idx="53">
                  <c:v>1.416657982511349E-3</c:v>
                </c:pt>
                <c:pt idx="54">
                  <c:v>1.3675093628318067E-3</c:v>
                </c:pt>
                <c:pt idx="55">
                  <c:v>1.2724045271484987E-3</c:v>
                </c:pt>
                <c:pt idx="56">
                  <c:v>3.3990915418406218E-3</c:v>
                </c:pt>
                <c:pt idx="57">
                  <c:v>1.7144302918458666E-3</c:v>
                </c:pt>
                <c:pt idx="58">
                  <c:v>1.879286585695123E-3</c:v>
                </c:pt>
                <c:pt idx="59">
                  <c:v>1.4188761709609001E-3</c:v>
                </c:pt>
                <c:pt idx="60">
                  <c:v>7.0398347283245997E-4</c:v>
                </c:pt>
                <c:pt idx="61">
                  <c:v>4.7161262664748732E-4</c:v>
                </c:pt>
                <c:pt idx="62">
                  <c:v>2.2987743010879826E-4</c:v>
                </c:pt>
                <c:pt idx="63">
                  <c:v>1.4770508456590385E-4</c:v>
                </c:pt>
                <c:pt idx="64">
                  <c:v>0</c:v>
                </c:pt>
                <c:pt idx="65">
                  <c:v>0</c:v>
                </c:pt>
                <c:pt idx="66">
                  <c:v>0.17581685567827762</c:v>
                </c:pt>
                <c:pt idx="67">
                  <c:v>0.14382884145083652</c:v>
                </c:pt>
                <c:pt idx="68">
                  <c:v>0.10172250766400251</c:v>
                </c:pt>
                <c:pt idx="69">
                  <c:v>7.7514812301990865E-2</c:v>
                </c:pt>
                <c:pt idx="70">
                  <c:v>6.2625912019278321E-2</c:v>
                </c:pt>
                <c:pt idx="71">
                  <c:v>4.228141048647787E-2</c:v>
                </c:pt>
                <c:pt idx="72">
                  <c:v>2.6653558469989649E-2</c:v>
                </c:pt>
                <c:pt idx="73">
                  <c:v>2.0344501532800655E-2</c:v>
                </c:pt>
                <c:pt idx="74">
                  <c:v>1.0172250766400189E-2</c:v>
                </c:pt>
                <c:pt idx="75">
                  <c:v>1.0172250766400189E-2</c:v>
                </c:pt>
                <c:pt idx="76">
                  <c:v>7.0480086709648043E-3</c:v>
                </c:pt>
                <c:pt idx="77">
                  <c:v>3.1242420954353842E-3</c:v>
                </c:pt>
                <c:pt idx="78">
                  <c:v>7.0480086709648043E-3</c:v>
                </c:pt>
                <c:pt idx="79">
                  <c:v>0</c:v>
                </c:pt>
                <c:pt idx="80">
                  <c:v>3.1242420954355229E-3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19E-0F47-B047-6C80A5B5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373168"/>
        <c:axId val="985784848"/>
      </c:lineChart>
      <c:dateAx>
        <c:axId val="2111353711"/>
        <c:scaling>
          <c:orientation val="minMax"/>
          <c:max val="44562"/>
          <c:min val="444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At val="-2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  <c:majorUnit val="0.5"/>
      </c:valAx>
      <c:valAx>
        <c:axId val="985784848"/>
        <c:scaling>
          <c:orientation val="minMax"/>
          <c:max val="0.7"/>
          <c:min val="0"/>
        </c:scaling>
        <c:delete val="0"/>
        <c:axPos val="r"/>
        <c:numFmt formatCode="#,##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10373168"/>
        <c:crosses val="max"/>
        <c:crossBetween val="between"/>
      </c:valAx>
      <c:catAx>
        <c:axId val="910373168"/>
        <c:scaling>
          <c:orientation val="minMax"/>
        </c:scaling>
        <c:delete val="1"/>
        <c:axPos val="b"/>
        <c:majorTickMark val="out"/>
        <c:minorTickMark val="none"/>
        <c:tickLblPos val="nextTo"/>
        <c:crossAx val="985784848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Deltagolf, oversterfte en corona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7577888516854219E-2"/>
          <c:y val="8.56806009004972E-2"/>
          <c:w val="0.88340083701169014"/>
          <c:h val="0.84872628726287269"/>
        </c:manualLayout>
      </c:layout>
      <c:lineChart>
        <c:grouping val="standard"/>
        <c:varyColors val="0"/>
        <c:ser>
          <c:idx val="0"/>
          <c:order val="0"/>
          <c:tx>
            <c:v> Oversterfte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Delta!$O$2:$O$105</c:f>
              <c:numCache>
                <c:formatCode>General</c:formatCode>
                <c:ptCount val="104"/>
                <c:pt idx="4">
                  <c:v>209</c:v>
                </c:pt>
                <c:pt idx="5">
                  <c:v>112</c:v>
                </c:pt>
                <c:pt idx="6">
                  <c:v>83</c:v>
                </c:pt>
                <c:pt idx="7">
                  <c:v>-216</c:v>
                </c:pt>
                <c:pt idx="8">
                  <c:v>-282</c:v>
                </c:pt>
                <c:pt idx="9">
                  <c:v>-106</c:v>
                </c:pt>
                <c:pt idx="10">
                  <c:v>-244</c:v>
                </c:pt>
                <c:pt idx="11">
                  <c:v>-162</c:v>
                </c:pt>
                <c:pt idx="12">
                  <c:v>44</c:v>
                </c:pt>
                <c:pt idx="13">
                  <c:v>108</c:v>
                </c:pt>
                <c:pt idx="14">
                  <c:v>150</c:v>
                </c:pt>
                <c:pt idx="15">
                  <c:v>199</c:v>
                </c:pt>
                <c:pt idx="16">
                  <c:v>225</c:v>
                </c:pt>
                <c:pt idx="17">
                  <c:v>131</c:v>
                </c:pt>
                <c:pt idx="18">
                  <c:v>166</c:v>
                </c:pt>
                <c:pt idx="19">
                  <c:v>168</c:v>
                </c:pt>
                <c:pt idx="20">
                  <c:v>9</c:v>
                </c:pt>
                <c:pt idx="21">
                  <c:v>230</c:v>
                </c:pt>
                <c:pt idx="22">
                  <c:v>122</c:v>
                </c:pt>
                <c:pt idx="23">
                  <c:v>107</c:v>
                </c:pt>
                <c:pt idx="24">
                  <c:v>-76</c:v>
                </c:pt>
                <c:pt idx="25">
                  <c:v>52</c:v>
                </c:pt>
                <c:pt idx="26">
                  <c:v>92</c:v>
                </c:pt>
                <c:pt idx="27">
                  <c:v>130</c:v>
                </c:pt>
                <c:pt idx="28">
                  <c:v>30</c:v>
                </c:pt>
                <c:pt idx="29">
                  <c:v>185</c:v>
                </c:pt>
                <c:pt idx="30">
                  <c:v>252</c:v>
                </c:pt>
                <c:pt idx="31">
                  <c:v>137</c:v>
                </c:pt>
                <c:pt idx="32">
                  <c:v>212</c:v>
                </c:pt>
                <c:pt idx="33">
                  <c:v>246</c:v>
                </c:pt>
                <c:pt idx="34">
                  <c:v>179</c:v>
                </c:pt>
                <c:pt idx="35">
                  <c:v>395</c:v>
                </c:pt>
                <c:pt idx="36">
                  <c:v>198</c:v>
                </c:pt>
                <c:pt idx="37">
                  <c:v>136</c:v>
                </c:pt>
                <c:pt idx="38">
                  <c:v>303</c:v>
                </c:pt>
                <c:pt idx="39">
                  <c:v>263</c:v>
                </c:pt>
                <c:pt idx="40">
                  <c:v>237</c:v>
                </c:pt>
                <c:pt idx="41">
                  <c:v>416</c:v>
                </c:pt>
                <c:pt idx="42">
                  <c:v>504</c:v>
                </c:pt>
                <c:pt idx="43">
                  <c:v>610</c:v>
                </c:pt>
                <c:pt idx="44">
                  <c:v>862</c:v>
                </c:pt>
                <c:pt idx="45">
                  <c:v>1040</c:v>
                </c:pt>
                <c:pt idx="46">
                  <c:v>1199</c:v>
                </c:pt>
                <c:pt idx="47">
                  <c:v>1360</c:v>
                </c:pt>
                <c:pt idx="48">
                  <c:v>1321</c:v>
                </c:pt>
                <c:pt idx="49">
                  <c:v>928</c:v>
                </c:pt>
                <c:pt idx="50">
                  <c:v>573</c:v>
                </c:pt>
                <c:pt idx="51">
                  <c:v>430</c:v>
                </c:pt>
                <c:pt idx="52">
                  <c:v>111</c:v>
                </c:pt>
                <c:pt idx="53">
                  <c:v>-202</c:v>
                </c:pt>
                <c:pt idx="54">
                  <c:v>-201</c:v>
                </c:pt>
                <c:pt idx="55">
                  <c:v>-239</c:v>
                </c:pt>
                <c:pt idx="56">
                  <c:v>-171</c:v>
                </c:pt>
                <c:pt idx="57">
                  <c:v>-196</c:v>
                </c:pt>
                <c:pt idx="58">
                  <c:v>-81</c:v>
                </c:pt>
                <c:pt idx="59">
                  <c:v>-84</c:v>
                </c:pt>
                <c:pt idx="60">
                  <c:v>-167</c:v>
                </c:pt>
                <c:pt idx="61">
                  <c:v>25</c:v>
                </c:pt>
                <c:pt idx="62">
                  <c:v>307</c:v>
                </c:pt>
                <c:pt idx="63">
                  <c:v>412</c:v>
                </c:pt>
                <c:pt idx="64">
                  <c:v>421</c:v>
                </c:pt>
                <c:pt idx="65">
                  <c:v>509</c:v>
                </c:pt>
                <c:pt idx="66">
                  <c:v>517</c:v>
                </c:pt>
                <c:pt idx="67">
                  <c:v>279</c:v>
                </c:pt>
                <c:pt idx="68">
                  <c:v>234</c:v>
                </c:pt>
                <c:pt idx="69">
                  <c:v>248</c:v>
                </c:pt>
                <c:pt idx="70">
                  <c:v>268</c:v>
                </c:pt>
                <c:pt idx="71">
                  <c:v>226</c:v>
                </c:pt>
                <c:pt idx="72">
                  <c:v>116</c:v>
                </c:pt>
                <c:pt idx="73">
                  <c:v>176</c:v>
                </c:pt>
                <c:pt idx="74">
                  <c:v>171</c:v>
                </c:pt>
                <c:pt idx="75">
                  <c:v>241</c:v>
                </c:pt>
                <c:pt idx="76">
                  <c:v>376</c:v>
                </c:pt>
                <c:pt idx="77">
                  <c:v>351</c:v>
                </c:pt>
                <c:pt idx="78">
                  <c:v>217</c:v>
                </c:pt>
                <c:pt idx="79">
                  <c:v>337</c:v>
                </c:pt>
                <c:pt idx="80">
                  <c:v>434</c:v>
                </c:pt>
                <c:pt idx="81">
                  <c:v>393</c:v>
                </c:pt>
                <c:pt idx="82">
                  <c:v>242</c:v>
                </c:pt>
                <c:pt idx="83">
                  <c:v>271</c:v>
                </c:pt>
                <c:pt idx="84">
                  <c:v>376</c:v>
                </c:pt>
                <c:pt idx="85">
                  <c:v>348</c:v>
                </c:pt>
                <c:pt idx="86">
                  <c:v>268</c:v>
                </c:pt>
                <c:pt idx="87">
                  <c:v>231</c:v>
                </c:pt>
                <c:pt idx="88">
                  <c:v>91</c:v>
                </c:pt>
                <c:pt idx="89">
                  <c:v>255</c:v>
                </c:pt>
                <c:pt idx="90">
                  <c:v>421</c:v>
                </c:pt>
                <c:pt idx="91">
                  <c:v>490</c:v>
                </c:pt>
                <c:pt idx="92">
                  <c:v>467</c:v>
                </c:pt>
                <c:pt idx="93">
                  <c:v>494</c:v>
                </c:pt>
                <c:pt idx="94">
                  <c:v>411</c:v>
                </c:pt>
                <c:pt idx="95">
                  <c:v>307</c:v>
                </c:pt>
                <c:pt idx="96">
                  <c:v>231</c:v>
                </c:pt>
                <c:pt idx="97">
                  <c:v>251</c:v>
                </c:pt>
                <c:pt idx="98">
                  <c:v>397</c:v>
                </c:pt>
                <c:pt idx="99">
                  <c:v>377</c:v>
                </c:pt>
                <c:pt idx="100">
                  <c:v>538</c:v>
                </c:pt>
                <c:pt idx="101">
                  <c:v>853</c:v>
                </c:pt>
                <c:pt idx="102">
                  <c:v>992</c:v>
                </c:pt>
                <c:pt idx="103">
                  <c:v>865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445-4B4D-98E6-B7C0BDA083C8}"/>
            </c:ext>
          </c:extLst>
        </c:ser>
        <c:ser>
          <c:idx val="1"/>
          <c:order val="1"/>
          <c:tx>
            <c:v> Corona CBS</c:v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Delta!$N$2:$N$105</c:f>
              <c:numCache>
                <c:formatCode>General</c:formatCode>
                <c:ptCount val="104"/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  <c:pt idx="52">
                  <c:v>296</c:v>
                </c:pt>
                <c:pt idx="53">
                  <c:v>226</c:v>
                </c:pt>
                <c:pt idx="54">
                  <c:v>179</c:v>
                </c:pt>
                <c:pt idx="55">
                  <c:v>186</c:v>
                </c:pt>
                <c:pt idx="56">
                  <c:v>239</c:v>
                </c:pt>
                <c:pt idx="57">
                  <c:v>274</c:v>
                </c:pt>
                <c:pt idx="58">
                  <c:v>291</c:v>
                </c:pt>
                <c:pt idx="59">
                  <c:v>252</c:v>
                </c:pt>
                <c:pt idx="60">
                  <c:v>235</c:v>
                </c:pt>
                <c:pt idx="61">
                  <c:v>314</c:v>
                </c:pt>
                <c:pt idx="62">
                  <c:v>410</c:v>
                </c:pt>
                <c:pt idx="63">
                  <c:v>389</c:v>
                </c:pt>
                <c:pt idx="64">
                  <c:v>343</c:v>
                </c:pt>
                <c:pt idx="65">
                  <c:v>292</c:v>
                </c:pt>
                <c:pt idx="66">
                  <c:v>227</c:v>
                </c:pt>
                <c:pt idx="67">
                  <c:v>169</c:v>
                </c:pt>
                <c:pt idx="68">
                  <c:v>115</c:v>
                </c:pt>
                <c:pt idx="69">
                  <c:v>71</c:v>
                </c:pt>
                <c:pt idx="70">
                  <c:v>61</c:v>
                </c:pt>
                <c:pt idx="71">
                  <c:v>53</c:v>
                </c:pt>
                <c:pt idx="72">
                  <c:v>42</c:v>
                </c:pt>
                <c:pt idx="73">
                  <c:v>29</c:v>
                </c:pt>
                <c:pt idx="74">
                  <c:v>29</c:v>
                </c:pt>
                <c:pt idx="75">
                  <c:v>73</c:v>
                </c:pt>
                <c:pt idx="76">
                  <c:v>69</c:v>
                </c:pt>
                <c:pt idx="77">
                  <c:v>152</c:v>
                </c:pt>
                <c:pt idx="78">
                  <c:v>105</c:v>
                </c:pt>
                <c:pt idx="79">
                  <c:v>156</c:v>
                </c:pt>
                <c:pt idx="80">
                  <c:v>184</c:v>
                </c:pt>
                <c:pt idx="81">
                  <c:v>183</c:v>
                </c:pt>
                <c:pt idx="82">
                  <c:v>146</c:v>
                </c:pt>
                <c:pt idx="83">
                  <c:v>131</c:v>
                </c:pt>
                <c:pt idx="84">
                  <c:v>101</c:v>
                </c:pt>
                <c:pt idx="85">
                  <c:v>84</c:v>
                </c:pt>
                <c:pt idx="86">
                  <c:v>63</c:v>
                </c:pt>
                <c:pt idx="87">
                  <c:v>72</c:v>
                </c:pt>
                <c:pt idx="88">
                  <c:v>56</c:v>
                </c:pt>
                <c:pt idx="89">
                  <c:v>58</c:v>
                </c:pt>
                <c:pt idx="90">
                  <c:v>104</c:v>
                </c:pt>
                <c:pt idx="91">
                  <c:v>170</c:v>
                </c:pt>
                <c:pt idx="92">
                  <c:v>196</c:v>
                </c:pt>
                <c:pt idx="93">
                  <c:v>226</c:v>
                </c:pt>
                <c:pt idx="94">
                  <c:v>177</c:v>
                </c:pt>
                <c:pt idx="95">
                  <c:v>111</c:v>
                </c:pt>
                <c:pt idx="96">
                  <c:v>98</c:v>
                </c:pt>
                <c:pt idx="97">
                  <c:v>77</c:v>
                </c:pt>
                <c:pt idx="98">
                  <c:v>66</c:v>
                </c:pt>
                <c:pt idx="99">
                  <c:v>83</c:v>
                </c:pt>
                <c:pt idx="100">
                  <c:v>91</c:v>
                </c:pt>
                <c:pt idx="101">
                  <c:v>117</c:v>
                </c:pt>
                <c:pt idx="102">
                  <c:v>150</c:v>
                </c:pt>
                <c:pt idx="103">
                  <c:v>159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445-4B4D-98E6-B7C0BDA083C8}"/>
            </c:ext>
          </c:extLst>
        </c:ser>
        <c:ser>
          <c:idx val="2"/>
          <c:order val="2"/>
          <c:tx>
            <c:v> Corona GGD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Delta!$M$2:$M$105</c:f>
              <c:numCache>
                <c:formatCode>General</c:formatCode>
                <c:ptCount val="104"/>
                <c:pt idx="4" formatCode="0">
                  <c:v>405</c:v>
                </c:pt>
                <c:pt idx="5" formatCode="0">
                  <c:v>413</c:v>
                </c:pt>
                <c:pt idx="6" formatCode="0">
                  <c:v>401</c:v>
                </c:pt>
                <c:pt idx="7" formatCode="0">
                  <c:v>346</c:v>
                </c:pt>
                <c:pt idx="8" formatCode="0">
                  <c:v>270</c:v>
                </c:pt>
                <c:pt idx="9" formatCode="0">
                  <c:v>236</c:v>
                </c:pt>
                <c:pt idx="10" formatCode="0">
                  <c:v>206</c:v>
                </c:pt>
                <c:pt idx="11" formatCode="0">
                  <c:v>190</c:v>
                </c:pt>
                <c:pt idx="12" formatCode="0">
                  <c:v>157</c:v>
                </c:pt>
                <c:pt idx="13" formatCode="0">
                  <c:v>149</c:v>
                </c:pt>
                <c:pt idx="14" formatCode="0">
                  <c:v>145</c:v>
                </c:pt>
                <c:pt idx="15" formatCode="0">
                  <c:v>133</c:v>
                </c:pt>
                <c:pt idx="16" formatCode="0">
                  <c:v>123.00000000000001</c:v>
                </c:pt>
                <c:pt idx="17" formatCode="0">
                  <c:v>151</c:v>
                </c:pt>
                <c:pt idx="18" formatCode="0">
                  <c:v>126</c:v>
                </c:pt>
                <c:pt idx="19" formatCode="0">
                  <c:v>95</c:v>
                </c:pt>
                <c:pt idx="20" formatCode="0">
                  <c:v>77</c:v>
                </c:pt>
                <c:pt idx="21" formatCode="0">
                  <c:v>57</c:v>
                </c:pt>
                <c:pt idx="22" formatCode="0">
                  <c:v>33</c:v>
                </c:pt>
                <c:pt idx="23" formatCode="0">
                  <c:v>15</c:v>
                </c:pt>
                <c:pt idx="24" formatCode="0">
                  <c:v>15</c:v>
                </c:pt>
                <c:pt idx="25" formatCode="0">
                  <c:v>15</c:v>
                </c:pt>
                <c:pt idx="26" formatCode="0">
                  <c:v>9</c:v>
                </c:pt>
                <c:pt idx="27" formatCode="0">
                  <c:v>11</c:v>
                </c:pt>
                <c:pt idx="28" formatCode="0">
                  <c:v>24</c:v>
                </c:pt>
                <c:pt idx="29" formatCode="0">
                  <c:v>29.000000000000004</c:v>
                </c:pt>
                <c:pt idx="30" formatCode="0">
                  <c:v>40</c:v>
                </c:pt>
                <c:pt idx="31" formatCode="0">
                  <c:v>40</c:v>
                </c:pt>
                <c:pt idx="32" formatCode="0">
                  <c:v>44</c:v>
                </c:pt>
                <c:pt idx="33" formatCode="0">
                  <c:v>43</c:v>
                </c:pt>
                <c:pt idx="34" formatCode="0">
                  <c:v>41</c:v>
                </c:pt>
                <c:pt idx="35" formatCode="0">
                  <c:v>32</c:v>
                </c:pt>
                <c:pt idx="36" formatCode="0">
                  <c:v>45</c:v>
                </c:pt>
                <c:pt idx="37" formatCode="0">
                  <c:v>36</c:v>
                </c:pt>
                <c:pt idx="38" formatCode="0">
                  <c:v>32</c:v>
                </c:pt>
                <c:pt idx="39" formatCode="0">
                  <c:v>22</c:v>
                </c:pt>
                <c:pt idx="40" formatCode="0">
                  <c:v>44</c:v>
                </c:pt>
                <c:pt idx="41" formatCode="0">
                  <c:v>66</c:v>
                </c:pt>
                <c:pt idx="42" formatCode="0">
                  <c:v>97</c:v>
                </c:pt>
                <c:pt idx="43" formatCode="0">
                  <c:v>150</c:v>
                </c:pt>
                <c:pt idx="44" formatCode="0">
                  <c:v>173</c:v>
                </c:pt>
                <c:pt idx="45" formatCode="0">
                  <c:v>232.00000000000003</c:v>
                </c:pt>
                <c:pt idx="46" formatCode="0">
                  <c:v>351</c:v>
                </c:pt>
                <c:pt idx="47" formatCode="0">
                  <c:v>351</c:v>
                </c:pt>
                <c:pt idx="48" formatCode="0">
                  <c:v>444</c:v>
                </c:pt>
                <c:pt idx="49" formatCode="0">
                  <c:v>356</c:v>
                </c:pt>
                <c:pt idx="50" formatCode="0">
                  <c:v>248</c:v>
                </c:pt>
                <c:pt idx="51" formatCode="0">
                  <c:v>241</c:v>
                </c:pt>
                <c:pt idx="52" formatCode="0">
                  <c:v>123.00000000000001</c:v>
                </c:pt>
                <c:pt idx="53" formatCode="0">
                  <c:v>75</c:v>
                </c:pt>
                <c:pt idx="54" formatCode="0">
                  <c:v>56</c:v>
                </c:pt>
                <c:pt idx="55" formatCode="0">
                  <c:v>60.999999999999993</c:v>
                </c:pt>
                <c:pt idx="56" formatCode="0">
                  <c:v>60</c:v>
                </c:pt>
                <c:pt idx="57" formatCode="0">
                  <c:v>64</c:v>
                </c:pt>
                <c:pt idx="58" formatCode="0">
                  <c:v>87</c:v>
                </c:pt>
                <c:pt idx="59" formatCode="0">
                  <c:v>65</c:v>
                </c:pt>
                <c:pt idx="60" formatCode="0">
                  <c:v>64</c:v>
                </c:pt>
                <c:pt idx="61" formatCode="0">
                  <c:v>95</c:v>
                </c:pt>
                <c:pt idx="62" formatCode="0">
                  <c:v>86</c:v>
                </c:pt>
                <c:pt idx="63" formatCode="0">
                  <c:v>105</c:v>
                </c:pt>
                <c:pt idx="64" formatCode="0">
                  <c:v>114.99999999999999</c:v>
                </c:pt>
                <c:pt idx="65" formatCode="0">
                  <c:v>85</c:v>
                </c:pt>
                <c:pt idx="66" formatCode="0">
                  <c:v>63</c:v>
                </c:pt>
                <c:pt idx="67" formatCode="0">
                  <c:v>60</c:v>
                </c:pt>
                <c:pt idx="68" formatCode="0">
                  <c:v>32</c:v>
                </c:pt>
                <c:pt idx="69" formatCode="0">
                  <c:v>23</c:v>
                </c:pt>
                <c:pt idx="70" formatCode="0">
                  <c:v>18</c:v>
                </c:pt>
                <c:pt idx="71" formatCode="0">
                  <c:v>13</c:v>
                </c:pt>
                <c:pt idx="72" formatCode="0">
                  <c:v>6</c:v>
                </c:pt>
                <c:pt idx="73" formatCode="0">
                  <c:v>8</c:v>
                </c:pt>
                <c:pt idx="74" formatCode="0">
                  <c:v>10</c:v>
                </c:pt>
                <c:pt idx="75" formatCode="0">
                  <c:v>9</c:v>
                </c:pt>
                <c:pt idx="76" formatCode="0">
                  <c:v>13</c:v>
                </c:pt>
                <c:pt idx="77" formatCode="0">
                  <c:v>25</c:v>
                </c:pt>
                <c:pt idx="78" formatCode="0">
                  <c:v>23</c:v>
                </c:pt>
                <c:pt idx="79" formatCode="0">
                  <c:v>26</c:v>
                </c:pt>
                <c:pt idx="80" formatCode="0">
                  <c:v>33</c:v>
                </c:pt>
                <c:pt idx="81" formatCode="0">
                  <c:v>32</c:v>
                </c:pt>
                <c:pt idx="82" formatCode="0">
                  <c:v>31</c:v>
                </c:pt>
                <c:pt idx="83" formatCode="0">
                  <c:v>19</c:v>
                </c:pt>
                <c:pt idx="84" formatCode="0">
                  <c:v>36</c:v>
                </c:pt>
                <c:pt idx="85" formatCode="0">
                  <c:v>15</c:v>
                </c:pt>
                <c:pt idx="86" formatCode="0">
                  <c:v>7</c:v>
                </c:pt>
                <c:pt idx="87" formatCode="0">
                  <c:v>12</c:v>
                </c:pt>
                <c:pt idx="88" formatCode="0">
                  <c:v>10</c:v>
                </c:pt>
                <c:pt idx="89" formatCode="0">
                  <c:v>13</c:v>
                </c:pt>
                <c:pt idx="90" formatCode="0">
                  <c:v>16</c:v>
                </c:pt>
                <c:pt idx="91" formatCode="0">
                  <c:v>40</c:v>
                </c:pt>
                <c:pt idx="92" formatCode="0">
                  <c:v>30</c:v>
                </c:pt>
                <c:pt idx="93" formatCode="0">
                  <c:v>47</c:v>
                </c:pt>
                <c:pt idx="94" formatCode="0">
                  <c:v>44</c:v>
                </c:pt>
                <c:pt idx="95" formatCode="0">
                  <c:v>37</c:v>
                </c:pt>
                <c:pt idx="96" formatCode="0">
                  <c:v>22</c:v>
                </c:pt>
                <c:pt idx="97" formatCode="0">
                  <c:v>20</c:v>
                </c:pt>
                <c:pt idx="98" formatCode="0">
                  <c:v>11</c:v>
                </c:pt>
                <c:pt idx="99" formatCode="0">
                  <c:v>15</c:v>
                </c:pt>
                <c:pt idx="100" formatCode="0">
                  <c:v>15</c:v>
                </c:pt>
                <c:pt idx="101" formatCode="0">
                  <c:v>12</c:v>
                </c:pt>
                <c:pt idx="102" formatCode="0">
                  <c:v>21</c:v>
                </c:pt>
                <c:pt idx="103" formatCode="0">
                  <c:v>29.223809523809528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445-4B4D-98E6-B7C0BDA08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353711"/>
        <c:axId val="1111458160"/>
      </c:lineChart>
      <c:dateAx>
        <c:axId val="2111353711"/>
        <c:scaling>
          <c:orientation val="minMax"/>
          <c:max val="44593"/>
          <c:min val="444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 val="autoZero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Deltagolf, oversterfte en corona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nl-NL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7577888516854219E-2"/>
          <c:y val="8.56806009004972E-2"/>
          <c:w val="0.88501634589698897"/>
          <c:h val="0.84872628726287269"/>
        </c:manualLayout>
      </c:layout>
      <c:areaChart>
        <c:grouping val="stacked"/>
        <c:varyColors val="0"/>
        <c:ser>
          <c:idx val="3"/>
          <c:order val="3"/>
          <c:tx>
            <c:v> CBS alleen corona</c:v>
          </c:tx>
          <c:spPr>
            <a:solidFill>
              <a:srgbClr val="FF0000">
                <a:alpha val="33000"/>
              </a:srgbClr>
            </a:solidFill>
            <a:ln w="19050">
              <a:solidFill>
                <a:srgbClr val="FF0000"/>
              </a:solidFill>
              <a:prstDash val="solid"/>
            </a:ln>
            <a:effectLst/>
          </c:spPr>
          <c:val>
            <c:numRef>
              <c:f>Delta!$P$2:$P$105</c:f>
              <c:numCache>
                <c:formatCode>General</c:formatCode>
                <c:ptCount val="104"/>
                <c:pt idx="4" formatCode="0">
                  <c:v>716.84944237918228</c:v>
                </c:pt>
                <c:pt idx="5" formatCode="0">
                  <c:v>-253.38752196836546</c:v>
                </c:pt>
                <c:pt idx="6" formatCode="0">
                  <c:v>-364.18604651162809</c:v>
                </c:pt>
                <c:pt idx="7" formatCode="0">
                  <c:v>-173.96938775510182</c:v>
                </c:pt>
                <c:pt idx="8" formatCode="0">
                  <c:v>-11.467181467181224</c:v>
                </c:pt>
                <c:pt idx="9" formatCode="0">
                  <c:v>153.00976138828631</c:v>
                </c:pt>
                <c:pt idx="10" formatCode="0">
                  <c:v>326.09783845278719</c:v>
                </c:pt>
                <c:pt idx="11" formatCode="0">
                  <c:v>242.21458773784352</c:v>
                </c:pt>
                <c:pt idx="12" formatCode="0">
                  <c:v>411.17073170731697</c:v>
                </c:pt>
                <c:pt idx="13" formatCode="0">
                  <c:v>361.67718665464383</c:v>
                </c:pt>
                <c:pt idx="14" formatCode="0">
                  <c:v>391.02032176121935</c:v>
                </c:pt>
                <c:pt idx="15" formatCode="0">
                  <c:v>367.37750556792872</c:v>
                </c:pt>
                <c:pt idx="16" formatCode="0">
                  <c:v>365.13076393668268</c:v>
                </c:pt>
                <c:pt idx="17" formatCode="0">
                  <c:v>282.87958115183244</c:v>
                </c:pt>
                <c:pt idx="18" formatCode="0">
                  <c:v>192.59174311926606</c:v>
                </c:pt>
                <c:pt idx="19" formatCode="0">
                  <c:v>159.48630136986301</c:v>
                </c:pt>
                <c:pt idx="20" formatCode="0">
                  <c:v>150.97452776187751</c:v>
                </c:pt>
                <c:pt idx="21" formatCode="0">
                  <c:v>92.447219361483036</c:v>
                </c:pt>
                <c:pt idx="22" formatCode="0">
                  <c:v>61.467088607594938</c:v>
                </c:pt>
                <c:pt idx="23" formatCode="0">
                  <c:v>92.027695351137481</c:v>
                </c:pt>
                <c:pt idx="24" formatCode="0">
                  <c:v>31.456310679611647</c:v>
                </c:pt>
                <c:pt idx="25" formatCode="0">
                  <c:v>12.300895968143355</c:v>
                </c:pt>
                <c:pt idx="26" formatCode="0">
                  <c:v>25.478116079923883</c:v>
                </c:pt>
                <c:pt idx="27" formatCode="0">
                  <c:v>17.88822721026111</c:v>
                </c:pt>
                <c:pt idx="28" formatCode="0">
                  <c:v>49.999999999999986</c:v>
                </c:pt>
                <c:pt idx="29" formatCode="0">
                  <c:v>51.985458612975378</c:v>
                </c:pt>
                <c:pt idx="30" formatCode="0">
                  <c:v>81.735050196420801</c:v>
                </c:pt>
                <c:pt idx="31" formatCode="0">
                  <c:v>75.902939804013059</c:v>
                </c:pt>
                <c:pt idx="32" formatCode="0">
                  <c:v>72.462538563243726</c:v>
                </c:pt>
                <c:pt idx="33" formatCode="0">
                  <c:v>103.77233165368757</c:v>
                </c:pt>
                <c:pt idx="34" formatCode="0">
                  <c:v>69.029464687359422</c:v>
                </c:pt>
                <c:pt idx="35" formatCode="0">
                  <c:v>70.950292397660832</c:v>
                </c:pt>
                <c:pt idx="36" formatCode="0">
                  <c:v>58.044337137840202</c:v>
                </c:pt>
                <c:pt idx="37" formatCode="0">
                  <c:v>36.362451108213811</c:v>
                </c:pt>
                <c:pt idx="38" formatCode="0">
                  <c:v>58.061161449752888</c:v>
                </c:pt>
                <c:pt idx="39" formatCode="0">
                  <c:v>74.684584178498966</c:v>
                </c:pt>
                <c:pt idx="40" formatCode="0">
                  <c:v>63.813110749185675</c:v>
                </c:pt>
                <c:pt idx="41" formatCode="0">
                  <c:v>43.174222051479077</c:v>
                </c:pt>
                <c:pt idx="42" formatCode="0">
                  <c:v>117.14544795067107</c:v>
                </c:pt>
                <c:pt idx="43" formatCode="0">
                  <c:v>142.18650371944736</c:v>
                </c:pt>
                <c:pt idx="44" formatCode="0">
                  <c:v>198.45413458319385</c:v>
                </c:pt>
                <c:pt idx="45" formatCode="0">
                  <c:v>245.05548608940282</c:v>
                </c:pt>
                <c:pt idx="46" formatCode="0">
                  <c:v>278.47736016572969</c:v>
                </c:pt>
                <c:pt idx="47" formatCode="0">
                  <c:v>305.430298719772</c:v>
                </c:pt>
                <c:pt idx="48" formatCode="0">
                  <c:v>320.33456719817735</c:v>
                </c:pt>
                <c:pt idx="49" formatCode="0">
                  <c:v>327.59225373589521</c:v>
                </c:pt>
                <c:pt idx="50" formatCode="0">
                  <c:v>306.53721682847896</c:v>
                </c:pt>
                <c:pt idx="51" formatCode="0">
                  <c:v>221.33464180569183</c:v>
                </c:pt>
                <c:pt idx="52" formatCode="0">
                  <c:v>237.53765323993002</c:v>
                </c:pt>
                <c:pt idx="53" formatCode="0">
                  <c:v>182.35706171904582</c:v>
                </c:pt>
                <c:pt idx="54" formatCode="0">
                  <c:v>149.88741232927276</c:v>
                </c:pt>
                <c:pt idx="55" formatCode="0">
                  <c:v>120.77959927140256</c:v>
                </c:pt>
                <c:pt idx="56" formatCode="0">
                  <c:v>159.23333333333332</c:v>
                </c:pt>
                <c:pt idx="57" formatCode="0">
                  <c:v>234.08761766835627</c:v>
                </c:pt>
                <c:pt idx="58" formatCode="0">
                  <c:v>197.64099400775467</c:v>
                </c:pt>
                <c:pt idx="59" formatCode="0">
                  <c:v>195.41666666666663</c:v>
                </c:pt>
                <c:pt idx="60" formatCode="0">
                  <c:v>144.48630136986293</c:v>
                </c:pt>
                <c:pt idx="61" formatCode="0">
                  <c:v>123.58894645941277</c:v>
                </c:pt>
                <c:pt idx="62" formatCode="0">
                  <c:v>173.96250808015512</c:v>
                </c:pt>
                <c:pt idx="63" formatCode="0">
                  <c:v>130.31781701444621</c:v>
                </c:pt>
                <c:pt idx="64" formatCode="0">
                  <c:v>92.845501955671381</c:v>
                </c:pt>
                <c:pt idx="65" formatCode="0">
                  <c:v>97.94</c:v>
                </c:pt>
                <c:pt idx="66" formatCode="0">
                  <c:v>54.132057105775516</c:v>
                </c:pt>
                <c:pt idx="67" formatCode="0">
                  <c:v>23.361918095904784</c:v>
                </c:pt>
                <c:pt idx="68" formatCode="0">
                  <c:v>31.297491039426525</c:v>
                </c:pt>
                <c:pt idx="69" formatCode="0">
                  <c:v>4.7194513715710773</c:v>
                </c:pt>
                <c:pt idx="70" formatCode="0">
                  <c:v>24.116198467712493</c:v>
                </c:pt>
                <c:pt idx="71" formatCode="0">
                  <c:v>11.06113779091244</c:v>
                </c:pt>
                <c:pt idx="72" formatCode="0">
                  <c:v>14.992301770592759</c:v>
                </c:pt>
                <c:pt idx="73" formatCode="0">
                  <c:v>-0.4436246689368234</c:v>
                </c:pt>
                <c:pt idx="74" formatCode="0">
                  <c:v>10.743037008775275</c:v>
                </c:pt>
                <c:pt idx="75" formatCode="0">
                  <c:v>8.3777487886694022</c:v>
                </c:pt>
                <c:pt idx="76" formatCode="0">
                  <c:v>1.6389782065023111</c:v>
                </c:pt>
                <c:pt idx="77" formatCode="0">
                  <c:v>32.775655021834048</c:v>
                </c:pt>
                <c:pt idx="78" formatCode="0">
                  <c:v>23.948509996227827</c:v>
                </c:pt>
                <c:pt idx="79" formatCode="0">
                  <c:v>23.209496194273278</c:v>
                </c:pt>
                <c:pt idx="80" formatCode="0">
                  <c:v>42.785436550017664</c:v>
                </c:pt>
                <c:pt idx="81" formatCode="0">
                  <c:v>38.637912482065978</c:v>
                </c:pt>
                <c:pt idx="82" formatCode="0">
                  <c:v>12.66457382039575</c:v>
                </c:pt>
                <c:pt idx="83" formatCode="0">
                  <c:v>21.270692249811844</c:v>
                </c:pt>
                <c:pt idx="84" formatCode="0">
                  <c:v>16.259590792838868</c:v>
                </c:pt>
                <c:pt idx="85" formatCode="0">
                  <c:v>11.822916666666661</c:v>
                </c:pt>
                <c:pt idx="86" formatCode="0">
                  <c:v>1.3481773769259902</c:v>
                </c:pt>
                <c:pt idx="87" formatCode="0">
                  <c:v>12.262357414448651</c:v>
                </c:pt>
                <c:pt idx="88" formatCode="0">
                  <c:v>10.136054421768723</c:v>
                </c:pt>
                <c:pt idx="89" formatCode="0">
                  <c:v>16.025641025641026</c:v>
                </c:pt>
                <c:pt idx="90" formatCode="0">
                  <c:v>7.8773584905660305</c:v>
                </c:pt>
                <c:pt idx="91" formatCode="0">
                  <c:v>27.097156398104254</c:v>
                </c:pt>
                <c:pt idx="92" formatCode="0">
                  <c:v>21.027833668678745</c:v>
                </c:pt>
                <c:pt idx="93" formatCode="0">
                  <c:v>41.758517034068156</c:v>
                </c:pt>
                <c:pt idx="94" formatCode="0">
                  <c:v>51.400034002040108</c:v>
                </c:pt>
                <c:pt idx="95" formatCode="0">
                  <c:v>29.078212290502805</c:v>
                </c:pt>
                <c:pt idx="96" formatCode="0">
                  <c:v>23.702296819787989</c:v>
                </c:pt>
                <c:pt idx="97" formatCode="0">
                  <c:v>12.205578512396704</c:v>
                </c:pt>
                <c:pt idx="98" formatCode="0">
                  <c:v>7.1759259259259345</c:v>
                </c:pt>
                <c:pt idx="99" formatCode="0">
                  <c:v>5.3769777203745761</c:v>
                </c:pt>
                <c:pt idx="100" formatCode="0">
                  <c:v>23.000464828013623</c:v>
                </c:pt>
                <c:pt idx="101" formatCode="0">
                  <c:v>15.931208053691281</c:v>
                </c:pt>
                <c:pt idx="102" formatCode="0">
                  <c:v>37.926279501458474</c:v>
                </c:pt>
                <c:pt idx="103" formatCode="0">
                  <c:v>38.81961259079899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5-C64D-8B49-1C0D1D91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53711"/>
        <c:axId val="1111458160"/>
      </c:areaChart>
      <c:lineChart>
        <c:grouping val="standard"/>
        <c:varyColors val="0"/>
        <c:ser>
          <c:idx val="0"/>
          <c:order val="0"/>
          <c:tx>
            <c:v> Oversterfte</c:v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Delta!$O$2:$O$105</c:f>
              <c:numCache>
                <c:formatCode>General</c:formatCode>
                <c:ptCount val="104"/>
                <c:pt idx="4">
                  <c:v>209</c:v>
                </c:pt>
                <c:pt idx="5">
                  <c:v>112</c:v>
                </c:pt>
                <c:pt idx="6">
                  <c:v>83</c:v>
                </c:pt>
                <c:pt idx="7">
                  <c:v>-216</c:v>
                </c:pt>
                <c:pt idx="8">
                  <c:v>-282</c:v>
                </c:pt>
                <c:pt idx="9">
                  <c:v>-106</c:v>
                </c:pt>
                <c:pt idx="10">
                  <c:v>-244</c:v>
                </c:pt>
                <c:pt idx="11">
                  <c:v>-162</c:v>
                </c:pt>
                <c:pt idx="12">
                  <c:v>44</c:v>
                </c:pt>
                <c:pt idx="13">
                  <c:v>108</c:v>
                </c:pt>
                <c:pt idx="14">
                  <c:v>150</c:v>
                </c:pt>
                <c:pt idx="15">
                  <c:v>199</c:v>
                </c:pt>
                <c:pt idx="16">
                  <c:v>225</c:v>
                </c:pt>
                <c:pt idx="17">
                  <c:v>131</c:v>
                </c:pt>
                <c:pt idx="18">
                  <c:v>166</c:v>
                </c:pt>
                <c:pt idx="19">
                  <c:v>168</c:v>
                </c:pt>
                <c:pt idx="20">
                  <c:v>9</c:v>
                </c:pt>
                <c:pt idx="21">
                  <c:v>230</c:v>
                </c:pt>
                <c:pt idx="22">
                  <c:v>122</c:v>
                </c:pt>
                <c:pt idx="23">
                  <c:v>107</c:v>
                </c:pt>
                <c:pt idx="24">
                  <c:v>-76</c:v>
                </c:pt>
                <c:pt idx="25">
                  <c:v>52</c:v>
                </c:pt>
                <c:pt idx="26">
                  <c:v>92</c:v>
                </c:pt>
                <c:pt idx="27">
                  <c:v>130</c:v>
                </c:pt>
                <c:pt idx="28">
                  <c:v>30</c:v>
                </c:pt>
                <c:pt idx="29">
                  <c:v>185</c:v>
                </c:pt>
                <c:pt idx="30">
                  <c:v>252</c:v>
                </c:pt>
                <c:pt idx="31">
                  <c:v>137</c:v>
                </c:pt>
                <c:pt idx="32">
                  <c:v>212</c:v>
                </c:pt>
                <c:pt idx="33">
                  <c:v>246</c:v>
                </c:pt>
                <c:pt idx="34">
                  <c:v>179</c:v>
                </c:pt>
                <c:pt idx="35">
                  <c:v>395</c:v>
                </c:pt>
                <c:pt idx="36">
                  <c:v>198</c:v>
                </c:pt>
                <c:pt idx="37">
                  <c:v>136</c:v>
                </c:pt>
                <c:pt idx="38">
                  <c:v>303</c:v>
                </c:pt>
                <c:pt idx="39">
                  <c:v>263</c:v>
                </c:pt>
                <c:pt idx="40">
                  <c:v>237</c:v>
                </c:pt>
                <c:pt idx="41">
                  <c:v>416</c:v>
                </c:pt>
                <c:pt idx="42">
                  <c:v>504</c:v>
                </c:pt>
                <c:pt idx="43">
                  <c:v>610</c:v>
                </c:pt>
                <c:pt idx="44">
                  <c:v>862</c:v>
                </c:pt>
                <c:pt idx="45">
                  <c:v>1040</c:v>
                </c:pt>
                <c:pt idx="46">
                  <c:v>1199</c:v>
                </c:pt>
                <c:pt idx="47">
                  <c:v>1360</c:v>
                </c:pt>
                <c:pt idx="48">
                  <c:v>1321</c:v>
                </c:pt>
                <c:pt idx="49">
                  <c:v>928</c:v>
                </c:pt>
                <c:pt idx="50">
                  <c:v>573</c:v>
                </c:pt>
                <c:pt idx="51">
                  <c:v>430</c:v>
                </c:pt>
                <c:pt idx="52">
                  <c:v>111</c:v>
                </c:pt>
                <c:pt idx="53">
                  <c:v>-202</c:v>
                </c:pt>
                <c:pt idx="54">
                  <c:v>-201</c:v>
                </c:pt>
                <c:pt idx="55">
                  <c:v>-239</c:v>
                </c:pt>
                <c:pt idx="56">
                  <c:v>-171</c:v>
                </c:pt>
                <c:pt idx="57">
                  <c:v>-196</c:v>
                </c:pt>
                <c:pt idx="58">
                  <c:v>-81</c:v>
                </c:pt>
                <c:pt idx="59">
                  <c:v>-84</c:v>
                </c:pt>
                <c:pt idx="60">
                  <c:v>-167</c:v>
                </c:pt>
                <c:pt idx="61">
                  <c:v>25</c:v>
                </c:pt>
                <c:pt idx="62">
                  <c:v>307</c:v>
                </c:pt>
                <c:pt idx="63">
                  <c:v>412</c:v>
                </c:pt>
                <c:pt idx="64">
                  <c:v>421</c:v>
                </c:pt>
                <c:pt idx="65">
                  <c:v>509</c:v>
                </c:pt>
                <c:pt idx="66">
                  <c:v>517</c:v>
                </c:pt>
                <c:pt idx="67">
                  <c:v>279</c:v>
                </c:pt>
                <c:pt idx="68">
                  <c:v>234</c:v>
                </c:pt>
                <c:pt idx="69">
                  <c:v>248</c:v>
                </c:pt>
                <c:pt idx="70">
                  <c:v>268</c:v>
                </c:pt>
                <c:pt idx="71">
                  <c:v>226</c:v>
                </c:pt>
                <c:pt idx="72">
                  <c:v>116</c:v>
                </c:pt>
                <c:pt idx="73">
                  <c:v>176</c:v>
                </c:pt>
                <c:pt idx="74">
                  <c:v>171</c:v>
                </c:pt>
                <c:pt idx="75">
                  <c:v>241</c:v>
                </c:pt>
                <c:pt idx="76">
                  <c:v>376</c:v>
                </c:pt>
                <c:pt idx="77">
                  <c:v>351</c:v>
                </c:pt>
                <c:pt idx="78">
                  <c:v>217</c:v>
                </c:pt>
                <c:pt idx="79">
                  <c:v>337</c:v>
                </c:pt>
                <c:pt idx="80">
                  <c:v>434</c:v>
                </c:pt>
                <c:pt idx="81">
                  <c:v>393</c:v>
                </c:pt>
                <c:pt idx="82">
                  <c:v>242</c:v>
                </c:pt>
                <c:pt idx="83">
                  <c:v>271</c:v>
                </c:pt>
                <c:pt idx="84">
                  <c:v>376</c:v>
                </c:pt>
                <c:pt idx="85">
                  <c:v>348</c:v>
                </c:pt>
                <c:pt idx="86">
                  <c:v>268</c:v>
                </c:pt>
                <c:pt idx="87">
                  <c:v>231</c:v>
                </c:pt>
                <c:pt idx="88">
                  <c:v>91</c:v>
                </c:pt>
                <c:pt idx="89">
                  <c:v>255</c:v>
                </c:pt>
                <c:pt idx="90">
                  <c:v>421</c:v>
                </c:pt>
                <c:pt idx="91">
                  <c:v>490</c:v>
                </c:pt>
                <c:pt idx="92">
                  <c:v>467</c:v>
                </c:pt>
                <c:pt idx="93">
                  <c:v>494</c:v>
                </c:pt>
                <c:pt idx="94">
                  <c:v>411</c:v>
                </c:pt>
                <c:pt idx="95">
                  <c:v>307</c:v>
                </c:pt>
                <c:pt idx="96">
                  <c:v>231</c:v>
                </c:pt>
                <c:pt idx="97">
                  <c:v>251</c:v>
                </c:pt>
                <c:pt idx="98">
                  <c:v>397</c:v>
                </c:pt>
                <c:pt idx="99">
                  <c:v>377</c:v>
                </c:pt>
                <c:pt idx="100">
                  <c:v>538</c:v>
                </c:pt>
                <c:pt idx="101">
                  <c:v>853</c:v>
                </c:pt>
                <c:pt idx="102">
                  <c:v>992</c:v>
                </c:pt>
                <c:pt idx="103">
                  <c:v>865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405-C64D-8B49-1C0D1D914422}"/>
            </c:ext>
          </c:extLst>
        </c:ser>
        <c:ser>
          <c:idx val="1"/>
          <c:order val="1"/>
          <c:tx>
            <c:v> CBS</c:v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Delta!$N$2:$N$105</c:f>
              <c:numCache>
                <c:formatCode>General</c:formatCode>
                <c:ptCount val="104"/>
                <c:pt idx="4">
                  <c:v>735</c:v>
                </c:pt>
                <c:pt idx="5">
                  <c:v>691</c:v>
                </c:pt>
                <c:pt idx="6">
                  <c:v>652</c:v>
                </c:pt>
                <c:pt idx="7">
                  <c:v>502</c:v>
                </c:pt>
                <c:pt idx="8">
                  <c:v>423</c:v>
                </c:pt>
                <c:pt idx="9">
                  <c:v>385</c:v>
                </c:pt>
                <c:pt idx="10">
                  <c:v>352</c:v>
                </c:pt>
                <c:pt idx="11">
                  <c:v>335</c:v>
                </c:pt>
                <c:pt idx="12">
                  <c:v>366</c:v>
                </c:pt>
                <c:pt idx="13">
                  <c:v>330</c:v>
                </c:pt>
                <c:pt idx="14">
                  <c:v>345</c:v>
                </c:pt>
                <c:pt idx="15">
                  <c:v>301</c:v>
                </c:pt>
                <c:pt idx="16">
                  <c:v>318</c:v>
                </c:pt>
                <c:pt idx="17">
                  <c:v>282</c:v>
                </c:pt>
                <c:pt idx="18">
                  <c:v>243</c:v>
                </c:pt>
                <c:pt idx="19">
                  <c:v>190</c:v>
                </c:pt>
                <c:pt idx="20">
                  <c:v>115</c:v>
                </c:pt>
                <c:pt idx="21">
                  <c:v>116</c:v>
                </c:pt>
                <c:pt idx="22">
                  <c:v>64</c:v>
                </c:pt>
                <c:pt idx="23">
                  <c:v>51</c:v>
                </c:pt>
                <c:pt idx="24">
                  <c:v>27</c:v>
                </c:pt>
                <c:pt idx="25">
                  <c:v>23</c:v>
                </c:pt>
                <c:pt idx="26">
                  <c:v>21</c:v>
                </c:pt>
                <c:pt idx="27">
                  <c:v>19</c:v>
                </c:pt>
                <c:pt idx="28">
                  <c:v>68</c:v>
                </c:pt>
                <c:pt idx="29">
                  <c:v>73</c:v>
                </c:pt>
                <c:pt idx="30">
                  <c:v>109</c:v>
                </c:pt>
                <c:pt idx="31">
                  <c:v>102</c:v>
                </c:pt>
                <c:pt idx="32">
                  <c:v>93</c:v>
                </c:pt>
                <c:pt idx="33">
                  <c:v>106</c:v>
                </c:pt>
                <c:pt idx="34">
                  <c:v>87</c:v>
                </c:pt>
                <c:pt idx="35">
                  <c:v>93</c:v>
                </c:pt>
                <c:pt idx="36">
                  <c:v>95</c:v>
                </c:pt>
                <c:pt idx="37">
                  <c:v>61</c:v>
                </c:pt>
                <c:pt idx="38">
                  <c:v>60</c:v>
                </c:pt>
                <c:pt idx="39">
                  <c:v>76</c:v>
                </c:pt>
                <c:pt idx="40">
                  <c:v>103</c:v>
                </c:pt>
                <c:pt idx="41">
                  <c:v>171</c:v>
                </c:pt>
                <c:pt idx="42">
                  <c:v>299</c:v>
                </c:pt>
                <c:pt idx="43">
                  <c:v>409</c:v>
                </c:pt>
                <c:pt idx="44">
                  <c:v>559</c:v>
                </c:pt>
                <c:pt idx="45">
                  <c:v>827</c:v>
                </c:pt>
                <c:pt idx="46">
                  <c:v>1026</c:v>
                </c:pt>
                <c:pt idx="47">
                  <c:v>1080</c:v>
                </c:pt>
                <c:pt idx="48">
                  <c:v>1055</c:v>
                </c:pt>
                <c:pt idx="49">
                  <c:v>782</c:v>
                </c:pt>
                <c:pt idx="50">
                  <c:v>596</c:v>
                </c:pt>
                <c:pt idx="51">
                  <c:v>414</c:v>
                </c:pt>
                <c:pt idx="52">
                  <c:v>296</c:v>
                </c:pt>
                <c:pt idx="53">
                  <c:v>226</c:v>
                </c:pt>
                <c:pt idx="54">
                  <c:v>179</c:v>
                </c:pt>
                <c:pt idx="55">
                  <c:v>186</c:v>
                </c:pt>
                <c:pt idx="56">
                  <c:v>239</c:v>
                </c:pt>
                <c:pt idx="57">
                  <c:v>274</c:v>
                </c:pt>
                <c:pt idx="58">
                  <c:v>291</c:v>
                </c:pt>
                <c:pt idx="59">
                  <c:v>252</c:v>
                </c:pt>
                <c:pt idx="60">
                  <c:v>235</c:v>
                </c:pt>
                <c:pt idx="61">
                  <c:v>314</c:v>
                </c:pt>
                <c:pt idx="62">
                  <c:v>410</c:v>
                </c:pt>
                <c:pt idx="63">
                  <c:v>389</c:v>
                </c:pt>
                <c:pt idx="64">
                  <c:v>343</c:v>
                </c:pt>
                <c:pt idx="65">
                  <c:v>292</c:v>
                </c:pt>
                <c:pt idx="66">
                  <c:v>227</c:v>
                </c:pt>
                <c:pt idx="67">
                  <c:v>169</c:v>
                </c:pt>
                <c:pt idx="68">
                  <c:v>115</c:v>
                </c:pt>
                <c:pt idx="69">
                  <c:v>71</c:v>
                </c:pt>
                <c:pt idx="70">
                  <c:v>61</c:v>
                </c:pt>
                <c:pt idx="71">
                  <c:v>53</c:v>
                </c:pt>
                <c:pt idx="72">
                  <c:v>42</c:v>
                </c:pt>
                <c:pt idx="73">
                  <c:v>29</c:v>
                </c:pt>
                <c:pt idx="74">
                  <c:v>29</c:v>
                </c:pt>
                <c:pt idx="75">
                  <c:v>73</c:v>
                </c:pt>
                <c:pt idx="76">
                  <c:v>69</c:v>
                </c:pt>
                <c:pt idx="77">
                  <c:v>152</c:v>
                </c:pt>
                <c:pt idx="78">
                  <c:v>105</c:v>
                </c:pt>
                <c:pt idx="79">
                  <c:v>156</c:v>
                </c:pt>
                <c:pt idx="80">
                  <c:v>184</c:v>
                </c:pt>
                <c:pt idx="81">
                  <c:v>183</c:v>
                </c:pt>
                <c:pt idx="82">
                  <c:v>146</c:v>
                </c:pt>
                <c:pt idx="83">
                  <c:v>131</c:v>
                </c:pt>
                <c:pt idx="84">
                  <c:v>101</c:v>
                </c:pt>
                <c:pt idx="85">
                  <c:v>84</c:v>
                </c:pt>
                <c:pt idx="86">
                  <c:v>63</c:v>
                </c:pt>
                <c:pt idx="87">
                  <c:v>72</c:v>
                </c:pt>
                <c:pt idx="88">
                  <c:v>56</c:v>
                </c:pt>
                <c:pt idx="89">
                  <c:v>58</c:v>
                </c:pt>
                <c:pt idx="90">
                  <c:v>104</c:v>
                </c:pt>
                <c:pt idx="91">
                  <c:v>170</c:v>
                </c:pt>
                <c:pt idx="92">
                  <c:v>196</c:v>
                </c:pt>
                <c:pt idx="93">
                  <c:v>226</c:v>
                </c:pt>
                <c:pt idx="94">
                  <c:v>177</c:v>
                </c:pt>
                <c:pt idx="95">
                  <c:v>111</c:v>
                </c:pt>
                <c:pt idx="96">
                  <c:v>98</c:v>
                </c:pt>
                <c:pt idx="97">
                  <c:v>77</c:v>
                </c:pt>
                <c:pt idx="98">
                  <c:v>66</c:v>
                </c:pt>
                <c:pt idx="99">
                  <c:v>83</c:v>
                </c:pt>
                <c:pt idx="100">
                  <c:v>91</c:v>
                </c:pt>
                <c:pt idx="101">
                  <c:v>117</c:v>
                </c:pt>
                <c:pt idx="102">
                  <c:v>150</c:v>
                </c:pt>
                <c:pt idx="103">
                  <c:v>159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405-C64D-8B49-1C0D1D914422}"/>
            </c:ext>
          </c:extLst>
        </c:ser>
        <c:ser>
          <c:idx val="2"/>
          <c:order val="2"/>
          <c:tx>
            <c:v> GGD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Delta!$M$2:$M$105</c:f>
              <c:numCache>
                <c:formatCode>General</c:formatCode>
                <c:ptCount val="104"/>
                <c:pt idx="4" formatCode="0">
                  <c:v>405</c:v>
                </c:pt>
                <c:pt idx="5" formatCode="0">
                  <c:v>413</c:v>
                </c:pt>
                <c:pt idx="6" formatCode="0">
                  <c:v>401</c:v>
                </c:pt>
                <c:pt idx="7" formatCode="0">
                  <c:v>346</c:v>
                </c:pt>
                <c:pt idx="8" formatCode="0">
                  <c:v>270</c:v>
                </c:pt>
                <c:pt idx="9" formatCode="0">
                  <c:v>236</c:v>
                </c:pt>
                <c:pt idx="10" formatCode="0">
                  <c:v>206</c:v>
                </c:pt>
                <c:pt idx="11" formatCode="0">
                  <c:v>190</c:v>
                </c:pt>
                <c:pt idx="12" formatCode="0">
                  <c:v>157</c:v>
                </c:pt>
                <c:pt idx="13" formatCode="0">
                  <c:v>149</c:v>
                </c:pt>
                <c:pt idx="14" formatCode="0">
                  <c:v>145</c:v>
                </c:pt>
                <c:pt idx="15" formatCode="0">
                  <c:v>133</c:v>
                </c:pt>
                <c:pt idx="16" formatCode="0">
                  <c:v>123.00000000000001</c:v>
                </c:pt>
                <c:pt idx="17" formatCode="0">
                  <c:v>151</c:v>
                </c:pt>
                <c:pt idx="18" formatCode="0">
                  <c:v>126</c:v>
                </c:pt>
                <c:pt idx="19" formatCode="0">
                  <c:v>95</c:v>
                </c:pt>
                <c:pt idx="20" formatCode="0">
                  <c:v>77</c:v>
                </c:pt>
                <c:pt idx="21" formatCode="0">
                  <c:v>57</c:v>
                </c:pt>
                <c:pt idx="22" formatCode="0">
                  <c:v>33</c:v>
                </c:pt>
                <c:pt idx="23" formatCode="0">
                  <c:v>15</c:v>
                </c:pt>
                <c:pt idx="24" formatCode="0">
                  <c:v>15</c:v>
                </c:pt>
                <c:pt idx="25" formatCode="0">
                  <c:v>15</c:v>
                </c:pt>
                <c:pt idx="26" formatCode="0">
                  <c:v>9</c:v>
                </c:pt>
                <c:pt idx="27" formatCode="0">
                  <c:v>11</c:v>
                </c:pt>
                <c:pt idx="28" formatCode="0">
                  <c:v>24</c:v>
                </c:pt>
                <c:pt idx="29" formatCode="0">
                  <c:v>29.000000000000004</c:v>
                </c:pt>
                <c:pt idx="30" formatCode="0">
                  <c:v>40</c:v>
                </c:pt>
                <c:pt idx="31" formatCode="0">
                  <c:v>40</c:v>
                </c:pt>
                <c:pt idx="32" formatCode="0">
                  <c:v>44</c:v>
                </c:pt>
                <c:pt idx="33" formatCode="0">
                  <c:v>43</c:v>
                </c:pt>
                <c:pt idx="34" formatCode="0">
                  <c:v>41</c:v>
                </c:pt>
                <c:pt idx="35" formatCode="0">
                  <c:v>32</c:v>
                </c:pt>
                <c:pt idx="36" formatCode="0">
                  <c:v>45</c:v>
                </c:pt>
                <c:pt idx="37" formatCode="0">
                  <c:v>36</c:v>
                </c:pt>
                <c:pt idx="38" formatCode="0">
                  <c:v>32</c:v>
                </c:pt>
                <c:pt idx="39" formatCode="0">
                  <c:v>22</c:v>
                </c:pt>
                <c:pt idx="40" formatCode="0">
                  <c:v>44</c:v>
                </c:pt>
                <c:pt idx="41" formatCode="0">
                  <c:v>66</c:v>
                </c:pt>
                <c:pt idx="42" formatCode="0">
                  <c:v>97</c:v>
                </c:pt>
                <c:pt idx="43" formatCode="0">
                  <c:v>150</c:v>
                </c:pt>
                <c:pt idx="44" formatCode="0">
                  <c:v>173</c:v>
                </c:pt>
                <c:pt idx="45" formatCode="0">
                  <c:v>232.00000000000003</c:v>
                </c:pt>
                <c:pt idx="46" formatCode="0">
                  <c:v>351</c:v>
                </c:pt>
                <c:pt idx="47" formatCode="0">
                  <c:v>351</c:v>
                </c:pt>
                <c:pt idx="48" formatCode="0">
                  <c:v>444</c:v>
                </c:pt>
                <c:pt idx="49" formatCode="0">
                  <c:v>356</c:v>
                </c:pt>
                <c:pt idx="50" formatCode="0">
                  <c:v>248</c:v>
                </c:pt>
                <c:pt idx="51" formatCode="0">
                  <c:v>241</c:v>
                </c:pt>
                <c:pt idx="52" formatCode="0">
                  <c:v>123.00000000000001</c:v>
                </c:pt>
                <c:pt idx="53" formatCode="0">
                  <c:v>75</c:v>
                </c:pt>
                <c:pt idx="54" formatCode="0">
                  <c:v>56</c:v>
                </c:pt>
                <c:pt idx="55" formatCode="0">
                  <c:v>60.999999999999993</c:v>
                </c:pt>
                <c:pt idx="56" formatCode="0">
                  <c:v>60</c:v>
                </c:pt>
                <c:pt idx="57" formatCode="0">
                  <c:v>64</c:v>
                </c:pt>
                <c:pt idx="58" formatCode="0">
                  <c:v>87</c:v>
                </c:pt>
                <c:pt idx="59" formatCode="0">
                  <c:v>65</c:v>
                </c:pt>
                <c:pt idx="60" formatCode="0">
                  <c:v>64</c:v>
                </c:pt>
                <c:pt idx="61" formatCode="0">
                  <c:v>95</c:v>
                </c:pt>
                <c:pt idx="62" formatCode="0">
                  <c:v>86</c:v>
                </c:pt>
                <c:pt idx="63" formatCode="0">
                  <c:v>105</c:v>
                </c:pt>
                <c:pt idx="64" formatCode="0">
                  <c:v>114.99999999999999</c:v>
                </c:pt>
                <c:pt idx="65" formatCode="0">
                  <c:v>85</c:v>
                </c:pt>
                <c:pt idx="66" formatCode="0">
                  <c:v>63</c:v>
                </c:pt>
                <c:pt idx="67" formatCode="0">
                  <c:v>60</c:v>
                </c:pt>
                <c:pt idx="68" formatCode="0">
                  <c:v>32</c:v>
                </c:pt>
                <c:pt idx="69" formatCode="0">
                  <c:v>23</c:v>
                </c:pt>
                <c:pt idx="70" formatCode="0">
                  <c:v>18</c:v>
                </c:pt>
                <c:pt idx="71" formatCode="0">
                  <c:v>13</c:v>
                </c:pt>
                <c:pt idx="72" formatCode="0">
                  <c:v>6</c:v>
                </c:pt>
                <c:pt idx="73" formatCode="0">
                  <c:v>8</c:v>
                </c:pt>
                <c:pt idx="74" formatCode="0">
                  <c:v>10</c:v>
                </c:pt>
                <c:pt idx="75" formatCode="0">
                  <c:v>9</c:v>
                </c:pt>
                <c:pt idx="76" formatCode="0">
                  <c:v>13</c:v>
                </c:pt>
                <c:pt idx="77" formatCode="0">
                  <c:v>25</c:v>
                </c:pt>
                <c:pt idx="78" formatCode="0">
                  <c:v>23</c:v>
                </c:pt>
                <c:pt idx="79" formatCode="0">
                  <c:v>26</c:v>
                </c:pt>
                <c:pt idx="80" formatCode="0">
                  <c:v>33</c:v>
                </c:pt>
                <c:pt idx="81" formatCode="0">
                  <c:v>32</c:v>
                </c:pt>
                <c:pt idx="82" formatCode="0">
                  <c:v>31</c:v>
                </c:pt>
                <c:pt idx="83" formatCode="0">
                  <c:v>19</c:v>
                </c:pt>
                <c:pt idx="84" formatCode="0">
                  <c:v>36</c:v>
                </c:pt>
                <c:pt idx="85" formatCode="0">
                  <c:v>15</c:v>
                </c:pt>
                <c:pt idx="86" formatCode="0">
                  <c:v>7</c:v>
                </c:pt>
                <c:pt idx="87" formatCode="0">
                  <c:v>12</c:v>
                </c:pt>
                <c:pt idx="88" formatCode="0">
                  <c:v>10</c:v>
                </c:pt>
                <c:pt idx="89" formatCode="0">
                  <c:v>13</c:v>
                </c:pt>
                <c:pt idx="90" formatCode="0">
                  <c:v>16</c:v>
                </c:pt>
                <c:pt idx="91" formatCode="0">
                  <c:v>40</c:v>
                </c:pt>
                <c:pt idx="92" formatCode="0">
                  <c:v>30</c:v>
                </c:pt>
                <c:pt idx="93" formatCode="0">
                  <c:v>47</c:v>
                </c:pt>
                <c:pt idx="94" formatCode="0">
                  <c:v>44</c:v>
                </c:pt>
                <c:pt idx="95" formatCode="0">
                  <c:v>37</c:v>
                </c:pt>
                <c:pt idx="96" formatCode="0">
                  <c:v>22</c:v>
                </c:pt>
                <c:pt idx="97" formatCode="0">
                  <c:v>20</c:v>
                </c:pt>
                <c:pt idx="98" formatCode="0">
                  <c:v>11</c:v>
                </c:pt>
                <c:pt idx="99" formatCode="0">
                  <c:v>15</c:v>
                </c:pt>
                <c:pt idx="100" formatCode="0">
                  <c:v>15</c:v>
                </c:pt>
                <c:pt idx="101" formatCode="0">
                  <c:v>12</c:v>
                </c:pt>
                <c:pt idx="102" formatCode="0">
                  <c:v>21</c:v>
                </c:pt>
                <c:pt idx="103" formatCode="0">
                  <c:v>29.223809523809528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405-C64D-8B49-1C0D1D91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353711"/>
        <c:axId val="1111458160"/>
      </c:lineChart>
      <c:dateAx>
        <c:axId val="2111353711"/>
        <c:scaling>
          <c:orientation val="minMax"/>
          <c:max val="44593"/>
          <c:min val="444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 val="autoZero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1"/>
              <a:t>Deltagolf, Gevaccineerd vs. ongevaccineerd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67663109154974E-2"/>
          <c:y val="8.56806009004972E-2"/>
          <c:w val="0.91092656430870211"/>
          <c:h val="0.84872628726287269"/>
        </c:manualLayout>
      </c:layout>
      <c:lineChart>
        <c:grouping val="standard"/>
        <c:varyColors val="0"/>
        <c:ser>
          <c:idx val="0"/>
          <c:order val="0"/>
          <c:tx>
            <c:v> Gevaccineerd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Delta!$F$24:$F$105</c:f>
              <c:numCache>
                <c:formatCode>0.0</c:formatCode>
                <c:ptCount val="82"/>
                <c:pt idx="0">
                  <c:v>0.23885571661471172</c:v>
                </c:pt>
                <c:pt idx="1">
                  <c:v>8.5800098629740432E-2</c:v>
                </c:pt>
                <c:pt idx="2">
                  <c:v>8.728952790178901E-2</c:v>
                </c:pt>
                <c:pt idx="3">
                  <c:v>0.10916181446278336</c:v>
                </c:pt>
                <c:pt idx="4">
                  <c:v>6.5122678284797064E-2</c:v>
                </c:pt>
                <c:pt idx="5">
                  <c:v>7.1230561180680232E-2</c:v>
                </c:pt>
                <c:pt idx="6">
                  <c:v>0.28892455858747995</c:v>
                </c:pt>
                <c:pt idx="7">
                  <c:v>0.31376666011417476</c:v>
                </c:pt>
                <c:pt idx="8">
                  <c:v>0.45832325059061058</c:v>
                </c:pt>
                <c:pt idx="9">
                  <c:v>0.43105837322508728</c:v>
                </c:pt>
                <c:pt idx="10">
                  <c:v>0.3842313059235109</c:v>
                </c:pt>
                <c:pt idx="11">
                  <c:v>0.38840147730724428</c:v>
                </c:pt>
                <c:pt idx="12">
                  <c:v>0.35666525282925077</c:v>
                </c:pt>
                <c:pt idx="13">
                  <c:v>0.38811285830192721</c:v>
                </c:pt>
                <c:pt idx="14">
                  <c:v>0.43088728207938948</c:v>
                </c:pt>
                <c:pt idx="15">
                  <c:v>0.27846443250103747</c:v>
                </c:pt>
                <c:pt idx="16">
                  <c:v>0.2205909419145024</c:v>
                </c:pt>
                <c:pt idx="17">
                  <c:v>0.27636215325301161</c:v>
                </c:pt>
                <c:pt idx="18">
                  <c:v>0.46425811734376571</c:v>
                </c:pt>
                <c:pt idx="19">
                  <c:v>0.9217260711932963</c:v>
                </c:pt>
                <c:pt idx="20">
                  <c:v>1.5093490380642434</c:v>
                </c:pt>
                <c:pt idx="21">
                  <c:v>2.1099652637376987</c:v>
                </c:pt>
                <c:pt idx="22">
                  <c:v>2.8770069584601021</c:v>
                </c:pt>
                <c:pt idx="23">
                  <c:v>4.3684973642899703</c:v>
                </c:pt>
                <c:pt idx="24">
                  <c:v>5.478663101992959</c:v>
                </c:pt>
                <c:pt idx="25">
                  <c:v>5.7404240162550426</c:v>
                </c:pt>
                <c:pt idx="26">
                  <c:v>5.5540011912811602</c:v>
                </c:pt>
                <c:pt idx="27">
                  <c:v>3.8983186429336136</c:v>
                </c:pt>
                <c:pt idx="28">
                  <c:v>2.8322429119382271</c:v>
                </c:pt>
                <c:pt idx="29">
                  <c:v>1.9457337887296264</c:v>
                </c:pt>
                <c:pt idx="30">
                  <c:v>1.2014247619813339</c:v>
                </c:pt>
                <c:pt idx="31">
                  <c:v>0.91455090343305012</c:v>
                </c:pt>
                <c:pt idx="32">
                  <c:v>0.71067465313365841</c:v>
                </c:pt>
                <c:pt idx="33">
                  <c:v>0.82145466029041747</c:v>
                </c:pt>
                <c:pt idx="34">
                  <c:v>1.0468700269875535</c:v>
                </c:pt>
                <c:pt idx="35">
                  <c:v>1.0767530891095274</c:v>
                </c:pt>
                <c:pt idx="36">
                  <c:v>1.266069487650388</c:v>
                </c:pt>
                <c:pt idx="37">
                  <c:v>1.0370885950084519</c:v>
                </c:pt>
                <c:pt idx="38">
                  <c:v>1.0571595825625273</c:v>
                </c:pt>
                <c:pt idx="39">
                  <c:v>1.5787226946669255</c:v>
                </c:pt>
                <c:pt idx="40">
                  <c:v>2.0308208342098419</c:v>
                </c:pt>
                <c:pt idx="41">
                  <c:v>2.009673006493677</c:v>
                </c:pt>
                <c:pt idx="42">
                  <c:v>1.8244117610462005</c:v>
                </c:pt>
                <c:pt idx="43">
                  <c:v>1.5065332526111557</c:v>
                </c:pt>
                <c:pt idx="44">
                  <c:v>1.2234208306302141</c:v>
                </c:pt>
                <c:pt idx="45">
                  <c:v>0.95076752797524577</c:v>
                </c:pt>
                <c:pt idx="46">
                  <c:v>0.6100890162127377</c:v>
                </c:pt>
                <c:pt idx="47">
                  <c:v>0.41118877383727231</c:v>
                </c:pt>
                <c:pt idx="48">
                  <c:v>0.30596089021664191</c:v>
                </c:pt>
                <c:pt idx="49">
                  <c:v>0.28923312990041572</c:v>
                </c:pt>
                <c:pt idx="50">
                  <c:v>0.21432108247544335</c:v>
                </c:pt>
                <c:pt idx="51">
                  <c:v>0.17366254662130909</c:v>
                </c:pt>
                <c:pt idx="52">
                  <c:v>0.14703461124712813</c:v>
                </c:pt>
                <c:pt idx="53">
                  <c:v>0.41457182194807141</c:v>
                </c:pt>
                <c:pt idx="54">
                  <c:v>0.40674310393364743</c:v>
                </c:pt>
                <c:pt idx="55">
                  <c:v>0.82696949887904792</c:v>
                </c:pt>
                <c:pt idx="56">
                  <c:v>0.56794964251683244</c:v>
                </c:pt>
                <c:pt idx="57">
                  <c:v>0.87314306914782325</c:v>
                </c:pt>
                <c:pt idx="58">
                  <c:v>0.99357915360996363</c:v>
                </c:pt>
                <c:pt idx="59">
                  <c:v>0.99733646481091032</c:v>
                </c:pt>
                <c:pt idx="60">
                  <c:v>0.83906624471895164</c:v>
                </c:pt>
                <c:pt idx="61">
                  <c:v>0.72912442051624982</c:v>
                </c:pt>
                <c:pt idx="62">
                  <c:v>0.562517657790231</c:v>
                </c:pt>
                <c:pt idx="63">
                  <c:v>0.47207139825120015</c:v>
                </c:pt>
                <c:pt idx="64">
                  <c:v>0.37162811788138345</c:v>
                </c:pt>
                <c:pt idx="65">
                  <c:v>0.39926229469249952</c:v>
                </c:pt>
                <c:pt idx="66">
                  <c:v>0.30929254797760913</c:v>
                </c:pt>
                <c:pt idx="67">
                  <c:v>0.30704798404380262</c:v>
                </c:pt>
                <c:pt idx="68">
                  <c:v>0.60019501191219604</c:v>
                </c:pt>
                <c:pt idx="69">
                  <c:v>0.94725010330534798</c:v>
                </c:pt>
                <c:pt idx="70">
                  <c:v>1.1157963605319376</c:v>
                </c:pt>
                <c:pt idx="71">
                  <c:v>1.2459222913546315</c:v>
                </c:pt>
                <c:pt idx="72">
                  <c:v>0.93128275298104002</c:v>
                </c:pt>
                <c:pt idx="73">
                  <c:v>0.59165579716321548</c:v>
                </c:pt>
                <c:pt idx="74">
                  <c:v>0.52681275434100194</c:v>
                </c:pt>
                <c:pt idx="75">
                  <c:v>0.42895221616094836</c:v>
                </c:pt>
                <c:pt idx="76">
                  <c:v>0.37545220801559054</c:v>
                </c:pt>
                <c:pt idx="77">
                  <c:v>0.48083588899621499</c:v>
                </c:pt>
                <c:pt idx="78">
                  <c:v>0.48682499249387157</c:v>
                </c:pt>
                <c:pt idx="79">
                  <c:v>0.65828279782669041</c:v>
                </c:pt>
                <c:pt idx="80">
                  <c:v>0.80216117564016931</c:v>
                </c:pt>
                <c:pt idx="81">
                  <c:v>0.85348510498958619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772-D647-ABA4-AFFE34C7C389}"/>
            </c:ext>
          </c:extLst>
        </c:ser>
        <c:ser>
          <c:idx val="1"/>
          <c:order val="1"/>
          <c:tx>
            <c:v> Ongevaccineerd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Delta!$B$24:$B$105</c:f>
              <c:numCache>
                <c:formatCode>[$-413]d\ mmm\ yy;@</c:formatCode>
                <c:ptCount val="82"/>
                <c:pt idx="0">
                  <c:v>44354</c:v>
                </c:pt>
                <c:pt idx="1">
                  <c:v>44361</c:v>
                </c:pt>
                <c:pt idx="2">
                  <c:v>44368</c:v>
                </c:pt>
                <c:pt idx="3">
                  <c:v>44375</c:v>
                </c:pt>
                <c:pt idx="4">
                  <c:v>44382</c:v>
                </c:pt>
                <c:pt idx="5">
                  <c:v>44389</c:v>
                </c:pt>
                <c:pt idx="6">
                  <c:v>44396</c:v>
                </c:pt>
                <c:pt idx="7">
                  <c:v>44403</c:v>
                </c:pt>
                <c:pt idx="8">
                  <c:v>44410</c:v>
                </c:pt>
                <c:pt idx="9">
                  <c:v>44417</c:v>
                </c:pt>
                <c:pt idx="10">
                  <c:v>44424</c:v>
                </c:pt>
                <c:pt idx="11">
                  <c:v>44431</c:v>
                </c:pt>
                <c:pt idx="12">
                  <c:v>44438</c:v>
                </c:pt>
                <c:pt idx="13">
                  <c:v>44445</c:v>
                </c:pt>
                <c:pt idx="14">
                  <c:v>44452</c:v>
                </c:pt>
                <c:pt idx="15">
                  <c:v>44459</c:v>
                </c:pt>
                <c:pt idx="16">
                  <c:v>44466</c:v>
                </c:pt>
                <c:pt idx="17">
                  <c:v>44473</c:v>
                </c:pt>
                <c:pt idx="18">
                  <c:v>44480</c:v>
                </c:pt>
                <c:pt idx="19">
                  <c:v>44487</c:v>
                </c:pt>
                <c:pt idx="20">
                  <c:v>44494</c:v>
                </c:pt>
                <c:pt idx="21">
                  <c:v>44501</c:v>
                </c:pt>
                <c:pt idx="22">
                  <c:v>44508</c:v>
                </c:pt>
                <c:pt idx="23">
                  <c:v>44515</c:v>
                </c:pt>
                <c:pt idx="24">
                  <c:v>44522</c:v>
                </c:pt>
                <c:pt idx="25">
                  <c:v>44529</c:v>
                </c:pt>
                <c:pt idx="26">
                  <c:v>44536</c:v>
                </c:pt>
                <c:pt idx="27">
                  <c:v>44543</c:v>
                </c:pt>
                <c:pt idx="28">
                  <c:v>44550</c:v>
                </c:pt>
                <c:pt idx="29">
                  <c:v>44557</c:v>
                </c:pt>
                <c:pt idx="30">
                  <c:v>44564</c:v>
                </c:pt>
                <c:pt idx="31">
                  <c:v>44571</c:v>
                </c:pt>
                <c:pt idx="32">
                  <c:v>44578</c:v>
                </c:pt>
                <c:pt idx="33">
                  <c:v>44585</c:v>
                </c:pt>
                <c:pt idx="34">
                  <c:v>44592</c:v>
                </c:pt>
                <c:pt idx="35">
                  <c:v>44599</c:v>
                </c:pt>
                <c:pt idx="36">
                  <c:v>44606</c:v>
                </c:pt>
                <c:pt idx="37">
                  <c:v>44613</c:v>
                </c:pt>
                <c:pt idx="38">
                  <c:v>44620</c:v>
                </c:pt>
                <c:pt idx="39">
                  <c:v>44627</c:v>
                </c:pt>
                <c:pt idx="40">
                  <c:v>44634</c:v>
                </c:pt>
                <c:pt idx="41">
                  <c:v>44641</c:v>
                </c:pt>
                <c:pt idx="42">
                  <c:v>44648</c:v>
                </c:pt>
                <c:pt idx="43">
                  <c:v>44655</c:v>
                </c:pt>
                <c:pt idx="44">
                  <c:v>44662</c:v>
                </c:pt>
                <c:pt idx="45">
                  <c:v>44669</c:v>
                </c:pt>
                <c:pt idx="46">
                  <c:v>44676</c:v>
                </c:pt>
                <c:pt idx="47">
                  <c:v>44683</c:v>
                </c:pt>
                <c:pt idx="48">
                  <c:v>44690</c:v>
                </c:pt>
                <c:pt idx="49">
                  <c:v>44697</c:v>
                </c:pt>
                <c:pt idx="50">
                  <c:v>44704</c:v>
                </c:pt>
                <c:pt idx="51">
                  <c:v>44711</c:v>
                </c:pt>
                <c:pt idx="52">
                  <c:v>44718</c:v>
                </c:pt>
                <c:pt idx="53">
                  <c:v>44725</c:v>
                </c:pt>
                <c:pt idx="54">
                  <c:v>44732</c:v>
                </c:pt>
                <c:pt idx="55">
                  <c:v>44739</c:v>
                </c:pt>
                <c:pt idx="56">
                  <c:v>44746</c:v>
                </c:pt>
                <c:pt idx="57">
                  <c:v>44753</c:v>
                </c:pt>
                <c:pt idx="58">
                  <c:v>44760</c:v>
                </c:pt>
                <c:pt idx="59">
                  <c:v>44767</c:v>
                </c:pt>
                <c:pt idx="60">
                  <c:v>44774</c:v>
                </c:pt>
                <c:pt idx="61">
                  <c:v>44781</c:v>
                </c:pt>
                <c:pt idx="62">
                  <c:v>44788</c:v>
                </c:pt>
                <c:pt idx="63">
                  <c:v>44795</c:v>
                </c:pt>
                <c:pt idx="64">
                  <c:v>44802</c:v>
                </c:pt>
                <c:pt idx="65">
                  <c:v>44809</c:v>
                </c:pt>
                <c:pt idx="66">
                  <c:v>44816</c:v>
                </c:pt>
                <c:pt idx="67">
                  <c:v>44823</c:v>
                </c:pt>
                <c:pt idx="68">
                  <c:v>44830</c:v>
                </c:pt>
                <c:pt idx="69">
                  <c:v>44837</c:v>
                </c:pt>
                <c:pt idx="70">
                  <c:v>44844</c:v>
                </c:pt>
                <c:pt idx="71">
                  <c:v>44851</c:v>
                </c:pt>
                <c:pt idx="72">
                  <c:v>44858</c:v>
                </c:pt>
                <c:pt idx="73">
                  <c:v>44865</c:v>
                </c:pt>
                <c:pt idx="74">
                  <c:v>44872</c:v>
                </c:pt>
                <c:pt idx="75">
                  <c:v>44879</c:v>
                </c:pt>
                <c:pt idx="76">
                  <c:v>44886</c:v>
                </c:pt>
                <c:pt idx="77">
                  <c:v>44893</c:v>
                </c:pt>
                <c:pt idx="78">
                  <c:v>44900</c:v>
                </c:pt>
                <c:pt idx="79">
                  <c:v>44907</c:v>
                </c:pt>
                <c:pt idx="80">
                  <c:v>44914</c:v>
                </c:pt>
                <c:pt idx="81">
                  <c:v>44921</c:v>
                </c:pt>
              </c:numCache>
            </c:numRef>
          </c:cat>
          <c:val>
            <c:numRef>
              <c:f>Delta!$G$24:$G$105</c:f>
              <c:numCache>
                <c:formatCode>0.0</c:formatCode>
                <c:ptCount val="82"/>
                <c:pt idx="0">
                  <c:v>0.56957209608789283</c:v>
                </c:pt>
                <c:pt idx="1">
                  <c:v>0.66720892387468855</c:v>
                </c:pt>
                <c:pt idx="2">
                  <c:v>0.26797513971965836</c:v>
                </c:pt>
                <c:pt idx="3">
                  <c:v>0.16974834231083749</c:v>
                </c:pt>
                <c:pt idx="4">
                  <c:v>0.23569969356486209</c:v>
                </c:pt>
                <c:pt idx="5">
                  <c:v>0.19361182076653566</c:v>
                </c:pt>
                <c:pt idx="6">
                  <c:v>0.59925093632958792</c:v>
                </c:pt>
                <c:pt idx="7">
                  <c:v>0.65324893982177989</c:v>
                </c:pt>
                <c:pt idx="8">
                  <c:v>1.014818473189681</c:v>
                </c:pt>
                <c:pt idx="9">
                  <c:v>0.91035051403343625</c:v>
                </c:pt>
                <c:pt idx="10">
                  <c:v>0.8982651685393257</c:v>
                </c:pt>
                <c:pt idx="11">
                  <c:v>1.0658524833697463</c:v>
                </c:pt>
                <c:pt idx="12">
                  <c:v>0.83626491553489835</c:v>
                </c:pt>
                <c:pt idx="13">
                  <c:v>0.87449042505222274</c:v>
                </c:pt>
                <c:pt idx="14">
                  <c:v>0.81189756459248263</c:v>
                </c:pt>
                <c:pt idx="15">
                  <c:v>0.53181526368713283</c:v>
                </c:pt>
                <c:pt idx="16">
                  <c:v>0.66616601910510176</c:v>
                </c:pt>
                <c:pt idx="17">
                  <c:v>0.88399888768986878</c:v>
                </c:pt>
                <c:pt idx="18">
                  <c:v>0.92230999332248986</c:v>
                </c:pt>
                <c:pt idx="19">
                  <c:v>1.0736282381862148</c:v>
                </c:pt>
                <c:pt idx="20">
                  <c:v>2.228551812567686</c:v>
                </c:pt>
                <c:pt idx="21">
                  <c:v>2.863681286521651</c:v>
                </c:pt>
                <c:pt idx="22">
                  <c:v>3.8829988962160025</c:v>
                </c:pt>
                <c:pt idx="23">
                  <c:v>5.4776683990167117</c:v>
                </c:pt>
                <c:pt idx="24">
                  <c:v>6.6421354587410439</c:v>
                </c:pt>
                <c:pt idx="25">
                  <c:v>7.0415320436272584</c:v>
                </c:pt>
                <c:pt idx="26">
                  <c:v>7.0491333678654851</c:v>
                </c:pt>
                <c:pt idx="27">
                  <c:v>5.9438076373369224</c:v>
                </c:pt>
                <c:pt idx="28">
                  <c:v>5.0724159567380127</c:v>
                </c:pt>
                <c:pt idx="29">
                  <c:v>3.6702044881571152</c:v>
                </c:pt>
                <c:pt idx="30">
                  <c:v>3.307830541260194</c:v>
                </c:pt>
                <c:pt idx="31">
                  <c:v>2.5761952249272047</c:v>
                </c:pt>
                <c:pt idx="32">
                  <c:v>2.1738208269725763</c:v>
                </c:pt>
                <c:pt idx="33">
                  <c:v>1.9794839076730399</c:v>
                </c:pt>
                <c:pt idx="34">
                  <c:v>2.4845606332071593</c:v>
                </c:pt>
                <c:pt idx="35">
                  <c:v>3.3698969467215916</c:v>
                </c:pt>
                <c:pt idx="36">
                  <c:v>3.0207926104483778</c:v>
                </c:pt>
                <c:pt idx="37">
                  <c:v>3.0004161464835608</c:v>
                </c:pt>
                <c:pt idx="38">
                  <c:v>2.4255891330946491</c:v>
                </c:pt>
                <c:pt idx="39">
                  <c:v>2.5253759501956479</c:v>
                </c:pt>
                <c:pt idx="40">
                  <c:v>3.4487016706869342</c:v>
                </c:pt>
                <c:pt idx="41">
                  <c:v>2.9243604622599633</c:v>
                </c:pt>
                <c:pt idx="42">
                  <c:v>2.36379054483782</c:v>
                </c:pt>
                <c:pt idx="43">
                  <c:v>2.267965242254339</c:v>
                </c:pt>
                <c:pt idx="44">
                  <c:v>1.5224369013970314</c:v>
                </c:pt>
                <c:pt idx="45">
                  <c:v>0.94280019359774325</c:v>
                </c:pt>
                <c:pt idx="46">
                  <c:v>0.83213602325319613</c:v>
                </c:pt>
                <c:pt idx="47">
                  <c:v>0.33066749956848007</c:v>
                </c:pt>
                <c:pt idx="48">
                  <c:v>0.51742462150504709</c:v>
                </c:pt>
                <c:pt idx="49">
                  <c:v>0.34093620323276186</c:v>
                </c:pt>
                <c:pt idx="50">
                  <c:v>0.34853758494336695</c:v>
                </c:pt>
                <c:pt idx="51">
                  <c:v>0.10606569922542711</c:v>
                </c:pt>
                <c:pt idx="52">
                  <c:v>0.24669285954637052</c:v>
                </c:pt>
                <c:pt idx="53">
                  <c:v>0.38666893702780175</c:v>
                </c:pt>
                <c:pt idx="54">
                  <c:v>0.28542693443645012</c:v>
                </c:pt>
                <c:pt idx="55">
                  <c:v>0.99097313303974244</c:v>
                </c:pt>
                <c:pt idx="56">
                  <c:v>0.70574508753041354</c:v>
                </c:pt>
                <c:pt idx="57">
                  <c:v>0.89390064684849369</c:v>
                </c:pt>
                <c:pt idx="58">
                  <c:v>1.2395168863128576</c:v>
                </c:pt>
                <c:pt idx="59">
                  <c:v>1.1887250118493322</c:v>
                </c:pt>
                <c:pt idx="60">
                  <c:v>0.72351736671910782</c:v>
                </c:pt>
                <c:pt idx="61">
                  <c:v>0.77177751705006514</c:v>
                </c:pt>
                <c:pt idx="62">
                  <c:v>0.59292629852365941</c:v>
                </c:pt>
                <c:pt idx="63">
                  <c:v>0.47110533320952097</c:v>
                </c:pt>
                <c:pt idx="64">
                  <c:v>0.2563001781370125</c:v>
                </c:pt>
                <c:pt idx="65">
                  <c:v>0.43285593913622572</c:v>
                </c:pt>
                <c:pt idx="66">
                  <c:v>0.34160595958348761</c:v>
                </c:pt>
                <c:pt idx="67">
                  <c:v>0.42573901267483433</c:v>
                </c:pt>
                <c:pt idx="68">
                  <c:v>0.49913120620595569</c:v>
                </c:pt>
                <c:pt idx="69">
                  <c:v>0.99671124423338842</c:v>
                </c:pt>
                <c:pt idx="70">
                  <c:v>1.0173832860899557</c:v>
                </c:pt>
                <c:pt idx="71">
                  <c:v>1.3930971601534512</c:v>
                </c:pt>
                <c:pt idx="72">
                  <c:v>1.3220378175549965</c:v>
                </c:pt>
                <c:pt idx="73">
                  <c:v>0.78592515421173959</c:v>
                </c:pt>
                <c:pt idx="74">
                  <c:v>0.67756486455787734</c:v>
                </c:pt>
                <c:pt idx="75">
                  <c:v>0.45337817396382263</c:v>
                </c:pt>
                <c:pt idx="76">
                  <c:v>0.34373350989994178</c:v>
                </c:pt>
                <c:pt idx="77">
                  <c:v>0.38195565750938182</c:v>
                </c:pt>
                <c:pt idx="78">
                  <c:v>0.64173906870536046</c:v>
                </c:pt>
                <c:pt idx="79">
                  <c:v>0.65196819561221264</c:v>
                </c:pt>
                <c:pt idx="80">
                  <c:v>1.0678451187302715</c:v>
                </c:pt>
                <c:pt idx="81">
                  <c:v>1.1171101058741502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772-D647-ABA4-AFFE34C7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353711"/>
        <c:axId val="1111458160"/>
      </c:lineChart>
      <c:dateAx>
        <c:axId val="2111353711"/>
        <c:scaling>
          <c:orientation val="minMax"/>
          <c:max val="44593"/>
          <c:min val="444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1458160"/>
        <c:crosses val="autoZero"/>
        <c:auto val="1"/>
        <c:lblOffset val="100"/>
        <c:baseTimeUnit val="days"/>
        <c:majorUnit val="1"/>
        <c:majorTimeUnit val="months"/>
      </c:dateAx>
      <c:valAx>
        <c:axId val="111145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Overlijdens /100K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113537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7977496855258499E-2"/>
          <c:y val="8.1849865951742623E-2"/>
          <c:w val="0.85975578736682623"/>
          <c:h val="0.85595638681893982"/>
        </c:manualLayout>
      </c:layout>
      <c:lineChart>
        <c:grouping val="standard"/>
        <c:varyColors val="0"/>
        <c:ser>
          <c:idx val="0"/>
          <c:order val="0"/>
          <c:tx>
            <c:v> Covid-19 ongevaccineerd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VE!$Q$2:$Q$105</c:f>
              <c:numCache>
                <c:formatCode>0.00</c:formatCode>
                <c:ptCount val="104"/>
                <c:pt idx="3">
                  <c:v>4.7927970869934926</c:v>
                </c:pt>
                <c:pt idx="4">
                  <c:v>4.1880534986995919</c:v>
                </c:pt>
                <c:pt idx="5">
                  <c:v>3.7672772871526141</c:v>
                </c:pt>
                <c:pt idx="6">
                  <c:v>3.2319211347417194</c:v>
                </c:pt>
                <c:pt idx="7">
                  <c:v>2.7645283712459765</c:v>
                </c:pt>
                <c:pt idx="8">
                  <c:v>2.3992283923941975</c:v>
                </c:pt>
                <c:pt idx="9">
                  <c:v>2.2667764708424958</c:v>
                </c:pt>
                <c:pt idx="10">
                  <c:v>2.1912923672671236</c:v>
                </c:pt>
                <c:pt idx="11">
                  <c:v>2.2611201923401052</c:v>
                </c:pt>
                <c:pt idx="12">
                  <c:v>2.2657224115681807</c:v>
                </c:pt>
                <c:pt idx="13">
                  <c:v>2.3786346322112624</c:v>
                </c:pt>
                <c:pt idx="14">
                  <c:v>2.313999735443689</c:v>
                </c:pt>
                <c:pt idx="15">
                  <c:v>2.376660237652219</c:v>
                </c:pt>
                <c:pt idx="16">
                  <c:v>2.293742067879772</c:v>
                </c:pt>
                <c:pt idx="17">
                  <c:v>2.1391330053620163</c:v>
                </c:pt>
                <c:pt idx="18">
                  <c:v>1.826965859344245</c:v>
                </c:pt>
                <c:pt idx="19">
                  <c:v>1.4920024062597508</c:v>
                </c:pt>
                <c:pt idx="20">
                  <c:v>1.2162129786611759</c:v>
                </c:pt>
                <c:pt idx="21">
                  <c:v>0.92327937668723103</c:v>
                </c:pt>
                <c:pt idx="22">
                  <c:v>0.78880207942571445</c:v>
                </c:pt>
                <c:pt idx="23">
                  <c:v>0.56401340291052326</c:v>
                </c:pt>
                <c:pt idx="24">
                  <c:v>0.41583987386410243</c:v>
                </c:pt>
                <c:pt idx="25">
                  <c:v>0.24985850196454615</c:v>
                </c:pt>
                <c:pt idx="26">
                  <c:v>0.22329596666019361</c:v>
                </c:pt>
                <c:pt idx="27">
                  <c:v>0.38353294750420225</c:v>
                </c:pt>
                <c:pt idx="28">
                  <c:v>0.53577474804779113</c:v>
                </c:pt>
                <c:pt idx="29">
                  <c:v>0.84146144862975003</c:v>
                </c:pt>
                <c:pt idx="30">
                  <c:v>0.95696027152969654</c:v>
                </c:pt>
                <c:pt idx="31">
                  <c:v>1.0529366559363127</c:v>
                </c:pt>
                <c:pt idx="32">
                  <c:v>1.0743366958417881</c:v>
                </c:pt>
                <c:pt idx="33">
                  <c:v>1.0518466892012699</c:v>
                </c:pt>
                <c:pt idx="34">
                  <c:v>1.040927967320602</c:v>
                </c:pt>
                <c:pt idx="35">
                  <c:v>0.93957041566204447</c:v>
                </c:pt>
                <c:pt idx="36">
                  <c:v>0.82272828517804963</c:v>
                </c:pt>
                <c:pt idx="37">
                  <c:v>0.75236848147645541</c:v>
                </c:pt>
                <c:pt idx="38">
                  <c:v>0.7981967709463017</c:v>
                </c:pt>
                <c:pt idx="39">
                  <c:v>0.944912513945666</c:v>
                </c:pt>
                <c:pt idx="40">
                  <c:v>1.0554124213212126</c:v>
                </c:pt>
                <c:pt idx="41">
                  <c:v>1.5085739035660843</c:v>
                </c:pt>
                <c:pt idx="42">
                  <c:v>2.1734665316112864</c:v>
                </c:pt>
                <c:pt idx="43">
                  <c:v>3.1722927340646376</c:v>
                </c:pt>
                <c:pt idx="44">
                  <c:v>4.2746657972920126</c:v>
                </c:pt>
                <c:pt idx="45">
                  <c:v>5.5529433576273979</c:v>
                </c:pt>
                <c:pt idx="46">
                  <c:v>6.6190376909941788</c:v>
                </c:pt>
                <c:pt idx="47">
                  <c:v>7.1699714053921113</c:v>
                </c:pt>
                <c:pt idx="48">
                  <c:v>7.021225524521121</c:v>
                </c:pt>
                <c:pt idx="49">
                  <c:v>6.4667421046789419</c:v>
                </c:pt>
                <c:pt idx="50">
                  <c:v>5.3903110772893834</c:v>
                </c:pt>
                <c:pt idx="51">
                  <c:v>4.5513647811604754</c:v>
                </c:pt>
                <c:pt idx="52">
                  <c:v>3.6923504169334875</c:v>
                </c:pt>
                <c:pt idx="53">
                  <c:v>3.1939735401094516</c:v>
                </c:pt>
                <c:pt idx="54">
                  <c:v>2.6771649538047746</c:v>
                </c:pt>
                <c:pt idx="55">
                  <c:v>2.6281348699154385</c:v>
                </c:pt>
                <c:pt idx="56">
                  <c:v>3.1131514042609738</c:v>
                </c:pt>
                <c:pt idx="57">
                  <c:v>3.5063767351215134</c:v>
                </c:pt>
                <c:pt idx="58">
                  <c:v>3.750360817518517</c:v>
                </c:pt>
                <c:pt idx="59">
                  <c:v>3.3417289840925548</c:v>
                </c:pt>
                <c:pt idx="60">
                  <c:v>3.0934277884030266</c:v>
                </c:pt>
                <c:pt idx="61">
                  <c:v>3.1645379139040455</c:v>
                </c:pt>
                <c:pt idx="62">
                  <c:v>3.2630491621667712</c:v>
                </c:pt>
                <c:pt idx="63">
                  <c:v>3.1587945963659245</c:v>
                </c:pt>
                <c:pt idx="64">
                  <c:v>2.7003530101907494</c:v>
                </c:pt>
                <c:pt idx="65">
                  <c:v>2.1710651640518468</c:v>
                </c:pt>
                <c:pt idx="66">
                  <c:v>1.6385819153349654</c:v>
                </c:pt>
                <c:pt idx="67">
                  <c:v>1.1071451814228102</c:v>
                </c:pt>
                <c:pt idx="68">
                  <c:v>0.67005807631901693</c:v>
                </c:pt>
                <c:pt idx="69">
                  <c:v>0.57399505593429101</c:v>
                </c:pt>
                <c:pt idx="70">
                  <c:v>0.39334121396373556</c:v>
                </c:pt>
                <c:pt idx="71">
                  <c:v>0.43923859725134839</c:v>
                </c:pt>
                <c:pt idx="72">
                  <c:v>0.26503074986543851</c:v>
                </c:pt>
                <c:pt idx="73">
                  <c:v>0.24443975922803851</c:v>
                </c:pt>
                <c:pt idx="74">
                  <c:v>0.22730864209958276</c:v>
                </c:pt>
                <c:pt idx="75">
                  <c:v>0.27201742089719472</c:v>
                </c:pt>
                <c:pt idx="76">
                  <c:v>0.51232226641714718</c:v>
                </c:pt>
                <c:pt idx="77">
                  <c:v>0.63968282750987826</c:v>
                </c:pt>
                <c:pt idx="78">
                  <c:v>0.85142162933638021</c:v>
                </c:pt>
                <c:pt idx="79">
                  <c:v>0.94195289918648684</c:v>
                </c:pt>
                <c:pt idx="80">
                  <c:v>1.0997999621711017</c:v>
                </c:pt>
                <c:pt idx="81">
                  <c:v>1.0259609314852292</c:v>
                </c:pt>
                <c:pt idx="82">
                  <c:v>0.84599107008903329</c:v>
                </c:pt>
                <c:pt idx="83">
                  <c:v>0.63469409210275896</c:v>
                </c:pt>
                <c:pt idx="84">
                  <c:v>0.5775060862916428</c:v>
                </c:pt>
                <c:pt idx="85">
                  <c:v>0.38895000843420108</c:v>
                </c:pt>
                <c:pt idx="86">
                  <c:v>0.33960337954115577</c:v>
                </c:pt>
                <c:pt idx="87">
                  <c:v>0.30482000335039489</c:v>
                </c:pt>
                <c:pt idx="88">
                  <c:v>0.40080705193365312</c:v>
                </c:pt>
                <c:pt idx="89">
                  <c:v>0.39671549191143135</c:v>
                </c:pt>
                <c:pt idx="90">
                  <c:v>0.59945305293229156</c:v>
                </c:pt>
                <c:pt idx="91">
                  <c:v>0.73438514756171125</c:v>
                </c:pt>
                <c:pt idx="92">
                  <c:v>1.0542574289491073</c:v>
                </c:pt>
                <c:pt idx="93">
                  <c:v>1.2154739379637234</c:v>
                </c:pt>
                <c:pt idx="94">
                  <c:v>1.2044312463957509</c:v>
                </c:pt>
                <c:pt idx="95">
                  <c:v>0.98508823059072748</c:v>
                </c:pt>
                <c:pt idx="96">
                  <c:v>0.65156145042503921</c:v>
                </c:pt>
                <c:pt idx="97">
                  <c:v>0.47254975849956898</c:v>
                </c:pt>
                <c:pt idx="98">
                  <c:v>0.33230503735415917</c:v>
                </c:pt>
                <c:pt idx="99">
                  <c:v>0.41533257689781394</c:v>
                </c:pt>
                <c:pt idx="100">
                  <c:v>0.51594059870051312</c:v>
                </c:pt>
                <c:pt idx="101">
                  <c:v>0.79644082937254168</c:v>
                </c:pt>
                <c:pt idx="102">
                  <c:v>0.96136399773828496</c:v>
                </c:pt>
                <c:pt idx="103">
                  <c:v>1.1461944717278127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E9-E043-853A-FAC2AEDE6FEA}"/>
            </c:ext>
          </c:extLst>
        </c:ser>
        <c:ser>
          <c:idx val="1"/>
          <c:order val="1"/>
          <c:tx>
            <c:v> Covid-19 gevaccineerd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VE!$R$2:$R$105</c:f>
              <c:numCache>
                <c:formatCode>0.00</c:formatCode>
                <c:ptCount val="104"/>
                <c:pt idx="3">
                  <c:v>4.3256660262033053</c:v>
                </c:pt>
                <c:pt idx="4">
                  <c:v>4.4714549901326537</c:v>
                </c:pt>
                <c:pt idx="5">
                  <c:v>4.0842133445152582</c:v>
                </c:pt>
                <c:pt idx="6">
                  <c:v>4.3313303094918005</c:v>
                </c:pt>
                <c:pt idx="7">
                  <c:v>3.6004278642960941</c:v>
                </c:pt>
                <c:pt idx="8">
                  <c:v>2.6508963927957883</c:v>
                </c:pt>
                <c:pt idx="9">
                  <c:v>1.9495316496928357</c:v>
                </c:pt>
                <c:pt idx="10">
                  <c:v>1.5698765987195198</c:v>
                </c:pt>
                <c:pt idx="11">
                  <c:v>1.3248899034076373</c:v>
                </c:pt>
                <c:pt idx="12">
                  <c:v>1.2522907254480968</c:v>
                </c:pt>
                <c:pt idx="13">
                  <c:v>1.1530606614743049</c:v>
                </c:pt>
                <c:pt idx="14">
                  <c:v>1.0579174045223541</c:v>
                </c:pt>
                <c:pt idx="15">
                  <c:v>1.0311044249779484</c:v>
                </c:pt>
                <c:pt idx="16">
                  <c:v>0.99154307100944206</c:v>
                </c:pt>
                <c:pt idx="17">
                  <c:v>1.0154163038334638</c:v>
                </c:pt>
                <c:pt idx="18">
                  <c:v>0.92376055472971619</c:v>
                </c:pt>
                <c:pt idx="19">
                  <c:v>0.69485673984376251</c:v>
                </c:pt>
                <c:pt idx="20">
                  <c:v>0.52064673266835271</c:v>
                </c:pt>
                <c:pt idx="21">
                  <c:v>0.3467370380283728</c:v>
                </c:pt>
                <c:pt idx="22">
                  <c:v>0.26574311344372242</c:v>
                </c:pt>
                <c:pt idx="23">
                  <c:v>0.13629387920372424</c:v>
                </c:pt>
                <c:pt idx="24">
                  <c:v>9.3546932480288433E-2</c:v>
                </c:pt>
                <c:pt idx="25">
                  <c:v>8.6773936090924056E-2</c:v>
                </c:pt>
                <c:pt idx="26">
                  <c:v>8.161876703639602E-2</c:v>
                </c:pt>
                <c:pt idx="27">
                  <c:v>0.14157154507827871</c:v>
                </c:pt>
                <c:pt idx="28">
                  <c:v>0.22452071623156331</c:v>
                </c:pt>
                <c:pt idx="29">
                  <c:v>0.35368468582318063</c:v>
                </c:pt>
                <c:pt idx="30">
                  <c:v>0.40105086890161212</c:v>
                </c:pt>
                <c:pt idx="31">
                  <c:v>0.42471343403510486</c:v>
                </c:pt>
                <c:pt idx="32">
                  <c:v>0.40103935826036669</c:v>
                </c:pt>
                <c:pt idx="33">
                  <c:v>0.37649225591940744</c:v>
                </c:pt>
                <c:pt idx="34">
                  <c:v>0.37770431838920054</c:v>
                </c:pt>
                <c:pt idx="35">
                  <c:v>0.39231402185883102</c:v>
                </c:pt>
                <c:pt idx="36">
                  <c:v>0.36639919379117991</c:v>
                </c:pt>
                <c:pt idx="37">
                  <c:v>0.3106062126033608</c:v>
                </c:pt>
                <c:pt idx="38">
                  <c:v>0.25919792471309494</c:v>
                </c:pt>
                <c:pt idx="39">
                  <c:v>0.32135357578737217</c:v>
                </c:pt>
                <c:pt idx="40">
                  <c:v>0.55570116017400373</c:v>
                </c:pt>
                <c:pt idx="41">
                  <c:v>0.96850406336784334</c:v>
                </c:pt>
                <c:pt idx="42">
                  <c:v>1.5188340030845626</c:v>
                </c:pt>
                <c:pt idx="43">
                  <c:v>2.1718306274973451</c:v>
                </c:pt>
                <c:pt idx="44">
                  <c:v>3.1272884995509465</c:v>
                </c:pt>
                <c:pt idx="45">
                  <c:v>4.2543624947587952</c:v>
                </c:pt>
                <c:pt idx="46">
                  <c:v>5.2125726103946457</c:v>
                </c:pt>
                <c:pt idx="47">
                  <c:v>5.6090905004422948</c:v>
                </c:pt>
                <c:pt idx="48">
                  <c:v>5.0808111475433604</c:v>
                </c:pt>
                <c:pt idx="49">
                  <c:v>4.1101112206697152</c:v>
                </c:pt>
                <c:pt idx="50">
                  <c:v>2.9050587264150036</c:v>
                </c:pt>
                <c:pt idx="51">
                  <c:v>2.0034170953518444</c:v>
                </c:pt>
                <c:pt idx="52">
                  <c:v>1.3615614893346859</c:v>
                </c:pt>
                <c:pt idx="53">
                  <c:v>0.94794616015099165</c:v>
                </c:pt>
                <c:pt idx="54">
                  <c:v>0.82111553673999882</c:v>
                </c:pt>
                <c:pt idx="55">
                  <c:v>0.86569785087686191</c:v>
                </c:pt>
                <c:pt idx="56">
                  <c:v>0.98856734921931944</c:v>
                </c:pt>
                <c:pt idx="57">
                  <c:v>1.1373563437002956</c:v>
                </c:pt>
                <c:pt idx="58">
                  <c:v>1.1344041589312568</c:v>
                </c:pt>
                <c:pt idx="59">
                  <c:v>1.128073378736042</c:v>
                </c:pt>
                <c:pt idx="60">
                  <c:v>1.233512098493889</c:v>
                </c:pt>
                <c:pt idx="61">
                  <c:v>1.5672993267242763</c:v>
                </c:pt>
                <c:pt idx="62">
                  <c:v>1.8872321194286181</c:v>
                </c:pt>
                <c:pt idx="63">
                  <c:v>1.9699815468585831</c:v>
                </c:pt>
                <c:pt idx="64">
                  <c:v>1.7944714971550371</c:v>
                </c:pt>
                <c:pt idx="65">
                  <c:v>1.5309274994788407</c:v>
                </c:pt>
                <c:pt idx="66">
                  <c:v>1.2379667764301141</c:v>
                </c:pt>
                <c:pt idx="67">
                  <c:v>0.93671770121499309</c:v>
                </c:pt>
                <c:pt idx="68">
                  <c:v>0.663737542515067</c:v>
                </c:pt>
                <c:pt idx="69">
                  <c:v>0.4467284938275507</c:v>
                </c:pt>
                <c:pt idx="70">
                  <c:v>0.33871568332261442</c:v>
                </c:pt>
                <c:pt idx="71">
                  <c:v>0.27237339873313643</c:v>
                </c:pt>
                <c:pt idx="72">
                  <c:v>0.22793820079771673</c:v>
                </c:pt>
                <c:pt idx="73">
                  <c:v>0.18010327033845588</c:v>
                </c:pt>
                <c:pt idx="74">
                  <c:v>0.24752092703557796</c:v>
                </c:pt>
                <c:pt idx="75">
                  <c:v>0.32600153746500132</c:v>
                </c:pt>
                <c:pt idx="76">
                  <c:v>0.55480310954442247</c:v>
                </c:pt>
                <c:pt idx="77">
                  <c:v>0.6064430237825591</c:v>
                </c:pt>
                <c:pt idx="78">
                  <c:v>0.76348013670621828</c:v>
                </c:pt>
                <c:pt idx="79">
                  <c:v>0.81957716574355421</c:v>
                </c:pt>
                <c:pt idx="80">
                  <c:v>0.96409577199086005</c:v>
                </c:pt>
                <c:pt idx="81">
                  <c:v>0.95251005434295666</c:v>
                </c:pt>
                <c:pt idx="82">
                  <c:v>0.86355557973712893</c:v>
                </c:pt>
                <c:pt idx="83">
                  <c:v>0.71718464655920622</c:v>
                </c:pt>
                <c:pt idx="84">
                  <c:v>0.59362702345395535</c:v>
                </c:pt>
                <c:pt idx="85">
                  <c:v>0.4733402001685531</c:v>
                </c:pt>
                <c:pt idx="86">
                  <c:v>0.41843536100366729</c:v>
                </c:pt>
                <c:pt idx="87">
                  <c:v>0.36368250902017724</c:v>
                </c:pt>
                <c:pt idx="88">
                  <c:v>0.34189982279985887</c:v>
                </c:pt>
                <c:pt idx="89">
                  <c:v>0.40953424141300826</c:v>
                </c:pt>
                <c:pt idx="90">
                  <c:v>0.6243669162334734</c:v>
                </c:pt>
                <c:pt idx="91">
                  <c:v>0.89687452213006491</c:v>
                </c:pt>
                <c:pt idx="92">
                  <c:v>1.1141757658442617</c:v>
                </c:pt>
                <c:pt idx="93">
                  <c:v>1.1087232721841784</c:v>
                </c:pt>
                <c:pt idx="94">
                  <c:v>0.93195255673447663</c:v>
                </c:pt>
                <c:pt idx="95">
                  <c:v>0.68994518267401206</c:v>
                </c:pt>
                <c:pt idx="96">
                  <c:v>0.52098493351589847</c:v>
                </c:pt>
                <c:pt idx="97">
                  <c:v>0.4483710356957466</c:v>
                </c:pt>
                <c:pt idx="98">
                  <c:v>0.43300256486156857</c:v>
                </c:pt>
                <c:pt idx="99">
                  <c:v>0.45240291815167338</c:v>
                </c:pt>
                <c:pt idx="100">
                  <c:v>0.54757658715788393</c:v>
                </c:pt>
                <c:pt idx="101">
                  <c:v>0.65573931906368188</c:v>
                </c:pt>
                <c:pt idx="102">
                  <c:v>0.7793149834036216</c:v>
                </c:pt>
                <c:pt idx="103">
                  <c:v>0.83646842186661186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E9-E043-853A-FAC2AEDE6FEA}"/>
            </c:ext>
          </c:extLst>
        </c:ser>
        <c:ser>
          <c:idx val="2"/>
          <c:order val="2"/>
          <c:tx>
            <c:v> Oversterfte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E9-E043-853A-FAC2AEDE6FEA}"/>
            </c:ext>
          </c:extLst>
        </c:ser>
        <c:ser>
          <c:idx val="3"/>
          <c:order val="3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E9-E043-853A-FAC2AEDE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4"/>
          <c:tx>
            <c:v> Vaccinaties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Corona!$K$2:$K$105</c:f>
              <c:numCache>
                <c:formatCode>0.0%</c:formatCode>
                <c:ptCount val="1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  <c:pt idx="103">
                  <c:v>3.1242420954355229E-3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AE9-E043-853A-FAC2AEDE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717007"/>
        <c:axId val="102616575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02616575"/>
        <c:scaling>
          <c:orientation val="minMax"/>
          <c:max val="0.8"/>
          <c:min val="-0.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b="1">
                    <a:solidFill>
                      <a:srgbClr val="00B050"/>
                    </a:solidFill>
                  </a:rPr>
                  <a:t>% Vaccinatie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7717007"/>
        <c:crosses val="max"/>
        <c:crossBetween val="between"/>
      </c:valAx>
      <c:dateAx>
        <c:axId val="437717007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102616575"/>
        <c:crosses val="autoZero"/>
        <c:auto val="1"/>
        <c:lblOffset val="100"/>
        <c:baseTimeUnit val="days"/>
      </c:date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62135922330097082"/>
          <c:y val="9.9235186084313184E-2"/>
          <c:w val="0.28187127756426739"/>
          <c:h val="0.17862025289734226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covid-19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7977496855258499E-2"/>
          <c:y val="8.1849865951742623E-2"/>
          <c:w val="0.91271253935270447"/>
          <c:h val="0.85595638681893982"/>
        </c:manualLayout>
      </c:layout>
      <c:lineChart>
        <c:grouping val="standard"/>
        <c:varyColors val="0"/>
        <c:ser>
          <c:idx val="0"/>
          <c:order val="0"/>
          <c:tx>
            <c:v> Ongevaccineerd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VE!$Q$2:$Q$105</c:f>
              <c:numCache>
                <c:formatCode>0.00</c:formatCode>
                <c:ptCount val="104"/>
                <c:pt idx="3">
                  <c:v>4.7927970869934926</c:v>
                </c:pt>
                <c:pt idx="4">
                  <c:v>4.1880534986995919</c:v>
                </c:pt>
                <c:pt idx="5">
                  <c:v>3.7672772871526141</c:v>
                </c:pt>
                <c:pt idx="6">
                  <c:v>3.2319211347417194</c:v>
                </c:pt>
                <c:pt idx="7">
                  <c:v>2.7645283712459765</c:v>
                </c:pt>
                <c:pt idx="8">
                  <c:v>2.3992283923941975</c:v>
                </c:pt>
                <c:pt idx="9">
                  <c:v>2.2667764708424958</c:v>
                </c:pt>
                <c:pt idx="10">
                  <c:v>2.1912923672671236</c:v>
                </c:pt>
                <c:pt idx="11">
                  <c:v>2.2611201923401052</c:v>
                </c:pt>
                <c:pt idx="12">
                  <c:v>2.2657224115681807</c:v>
                </c:pt>
                <c:pt idx="13">
                  <c:v>2.3786346322112624</c:v>
                </c:pt>
                <c:pt idx="14">
                  <c:v>2.313999735443689</c:v>
                </c:pt>
                <c:pt idx="15">
                  <c:v>2.376660237652219</c:v>
                </c:pt>
                <c:pt idx="16">
                  <c:v>2.293742067879772</c:v>
                </c:pt>
                <c:pt idx="17">
                  <c:v>2.1391330053620163</c:v>
                </c:pt>
                <c:pt idx="18">
                  <c:v>1.826965859344245</c:v>
                </c:pt>
                <c:pt idx="19">
                  <c:v>1.4920024062597508</c:v>
                </c:pt>
                <c:pt idx="20">
                  <c:v>1.2162129786611759</c:v>
                </c:pt>
                <c:pt idx="21">
                  <c:v>0.92327937668723103</c:v>
                </c:pt>
                <c:pt idx="22">
                  <c:v>0.78880207942571445</c:v>
                </c:pt>
                <c:pt idx="23">
                  <c:v>0.56401340291052326</c:v>
                </c:pt>
                <c:pt idx="24">
                  <c:v>0.41583987386410243</c:v>
                </c:pt>
                <c:pt idx="25">
                  <c:v>0.24985850196454615</c:v>
                </c:pt>
                <c:pt idx="26">
                  <c:v>0.22329596666019361</c:v>
                </c:pt>
                <c:pt idx="27">
                  <c:v>0.38353294750420225</c:v>
                </c:pt>
                <c:pt idx="28">
                  <c:v>0.53577474804779113</c:v>
                </c:pt>
                <c:pt idx="29">
                  <c:v>0.84146144862975003</c:v>
                </c:pt>
                <c:pt idx="30">
                  <c:v>0.95696027152969654</c:v>
                </c:pt>
                <c:pt idx="31">
                  <c:v>1.0529366559363127</c:v>
                </c:pt>
                <c:pt idx="32">
                  <c:v>1.0743366958417881</c:v>
                </c:pt>
                <c:pt idx="33">
                  <c:v>1.0518466892012699</c:v>
                </c:pt>
                <c:pt idx="34">
                  <c:v>1.040927967320602</c:v>
                </c:pt>
                <c:pt idx="35">
                  <c:v>0.93957041566204447</c:v>
                </c:pt>
                <c:pt idx="36">
                  <c:v>0.82272828517804963</c:v>
                </c:pt>
                <c:pt idx="37">
                  <c:v>0.75236848147645541</c:v>
                </c:pt>
                <c:pt idx="38">
                  <c:v>0.7981967709463017</c:v>
                </c:pt>
                <c:pt idx="39">
                  <c:v>0.944912513945666</c:v>
                </c:pt>
                <c:pt idx="40">
                  <c:v>1.0554124213212126</c:v>
                </c:pt>
                <c:pt idx="41">
                  <c:v>1.5085739035660843</c:v>
                </c:pt>
                <c:pt idx="42">
                  <c:v>2.1734665316112864</c:v>
                </c:pt>
                <c:pt idx="43">
                  <c:v>3.1722927340646376</c:v>
                </c:pt>
                <c:pt idx="44">
                  <c:v>4.2746657972920126</c:v>
                </c:pt>
                <c:pt idx="45">
                  <c:v>5.5529433576273979</c:v>
                </c:pt>
                <c:pt idx="46">
                  <c:v>6.6190376909941788</c:v>
                </c:pt>
                <c:pt idx="47">
                  <c:v>7.1699714053921113</c:v>
                </c:pt>
                <c:pt idx="48">
                  <c:v>7.021225524521121</c:v>
                </c:pt>
                <c:pt idx="49">
                  <c:v>6.4667421046789419</c:v>
                </c:pt>
                <c:pt idx="50">
                  <c:v>5.3903110772893834</c:v>
                </c:pt>
                <c:pt idx="51">
                  <c:v>4.5513647811604754</c:v>
                </c:pt>
                <c:pt idx="52">
                  <c:v>3.6923504169334875</c:v>
                </c:pt>
                <c:pt idx="53">
                  <c:v>3.1939735401094516</c:v>
                </c:pt>
                <c:pt idx="54">
                  <c:v>2.6771649538047746</c:v>
                </c:pt>
                <c:pt idx="55">
                  <c:v>2.6281348699154385</c:v>
                </c:pt>
                <c:pt idx="56">
                  <c:v>3.1131514042609738</c:v>
                </c:pt>
                <c:pt idx="57">
                  <c:v>3.5063767351215134</c:v>
                </c:pt>
                <c:pt idx="58">
                  <c:v>3.750360817518517</c:v>
                </c:pt>
                <c:pt idx="59">
                  <c:v>3.3417289840925548</c:v>
                </c:pt>
                <c:pt idx="60">
                  <c:v>3.0934277884030266</c:v>
                </c:pt>
                <c:pt idx="61">
                  <c:v>3.1645379139040455</c:v>
                </c:pt>
                <c:pt idx="62">
                  <c:v>3.2630491621667712</c:v>
                </c:pt>
                <c:pt idx="63">
                  <c:v>3.1587945963659245</c:v>
                </c:pt>
                <c:pt idx="64">
                  <c:v>2.7003530101907494</c:v>
                </c:pt>
                <c:pt idx="65">
                  <c:v>2.1710651640518468</c:v>
                </c:pt>
                <c:pt idx="66">
                  <c:v>1.6385819153349654</c:v>
                </c:pt>
                <c:pt idx="67">
                  <c:v>1.1071451814228102</c:v>
                </c:pt>
                <c:pt idx="68">
                  <c:v>0.67005807631901693</c:v>
                </c:pt>
                <c:pt idx="69">
                  <c:v>0.57399505593429101</c:v>
                </c:pt>
                <c:pt idx="70">
                  <c:v>0.39334121396373556</c:v>
                </c:pt>
                <c:pt idx="71">
                  <c:v>0.43923859725134839</c:v>
                </c:pt>
                <c:pt idx="72">
                  <c:v>0.26503074986543851</c:v>
                </c:pt>
                <c:pt idx="73">
                  <c:v>0.24443975922803851</c:v>
                </c:pt>
                <c:pt idx="74">
                  <c:v>0.22730864209958276</c:v>
                </c:pt>
                <c:pt idx="75">
                  <c:v>0.27201742089719472</c:v>
                </c:pt>
                <c:pt idx="76">
                  <c:v>0.51232226641714718</c:v>
                </c:pt>
                <c:pt idx="77">
                  <c:v>0.63968282750987826</c:v>
                </c:pt>
                <c:pt idx="78">
                  <c:v>0.85142162933638021</c:v>
                </c:pt>
                <c:pt idx="79">
                  <c:v>0.94195289918648684</c:v>
                </c:pt>
                <c:pt idx="80">
                  <c:v>1.0997999621711017</c:v>
                </c:pt>
                <c:pt idx="81">
                  <c:v>1.0259609314852292</c:v>
                </c:pt>
                <c:pt idx="82">
                  <c:v>0.84599107008903329</c:v>
                </c:pt>
                <c:pt idx="83">
                  <c:v>0.63469409210275896</c:v>
                </c:pt>
                <c:pt idx="84">
                  <c:v>0.5775060862916428</c:v>
                </c:pt>
                <c:pt idx="85">
                  <c:v>0.38895000843420108</c:v>
                </c:pt>
                <c:pt idx="86">
                  <c:v>0.33960337954115577</c:v>
                </c:pt>
                <c:pt idx="87">
                  <c:v>0.30482000335039489</c:v>
                </c:pt>
                <c:pt idx="88">
                  <c:v>0.40080705193365312</c:v>
                </c:pt>
                <c:pt idx="89">
                  <c:v>0.39671549191143135</c:v>
                </c:pt>
                <c:pt idx="90">
                  <c:v>0.59945305293229156</c:v>
                </c:pt>
                <c:pt idx="91">
                  <c:v>0.73438514756171125</c:v>
                </c:pt>
                <c:pt idx="92">
                  <c:v>1.0542574289491073</c:v>
                </c:pt>
                <c:pt idx="93">
                  <c:v>1.2154739379637234</c:v>
                </c:pt>
                <c:pt idx="94">
                  <c:v>1.2044312463957509</c:v>
                </c:pt>
                <c:pt idx="95">
                  <c:v>0.98508823059072748</c:v>
                </c:pt>
                <c:pt idx="96">
                  <c:v>0.65156145042503921</c:v>
                </c:pt>
                <c:pt idx="97">
                  <c:v>0.47254975849956898</c:v>
                </c:pt>
                <c:pt idx="98">
                  <c:v>0.33230503735415917</c:v>
                </c:pt>
                <c:pt idx="99">
                  <c:v>0.41533257689781394</c:v>
                </c:pt>
                <c:pt idx="100">
                  <c:v>0.51594059870051312</c:v>
                </c:pt>
                <c:pt idx="101">
                  <c:v>0.79644082937254168</c:v>
                </c:pt>
                <c:pt idx="102">
                  <c:v>0.96136399773828496</c:v>
                </c:pt>
                <c:pt idx="103">
                  <c:v>1.1461944717278127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758-534E-93B8-AAD9C2953AAF}"/>
            </c:ext>
          </c:extLst>
        </c:ser>
        <c:ser>
          <c:idx val="1"/>
          <c:order val="1"/>
          <c:tx>
            <c:v> Gevaccineerd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VE!$R$2:$R$105</c:f>
              <c:numCache>
                <c:formatCode>0.00</c:formatCode>
                <c:ptCount val="104"/>
                <c:pt idx="3">
                  <c:v>4.3256660262033053</c:v>
                </c:pt>
                <c:pt idx="4">
                  <c:v>4.4714549901326537</c:v>
                </c:pt>
                <c:pt idx="5">
                  <c:v>4.0842133445152582</c:v>
                </c:pt>
                <c:pt idx="6">
                  <c:v>4.3313303094918005</c:v>
                </c:pt>
                <c:pt idx="7">
                  <c:v>3.6004278642960941</c:v>
                </c:pt>
                <c:pt idx="8">
                  <c:v>2.6508963927957883</c:v>
                </c:pt>
                <c:pt idx="9">
                  <c:v>1.9495316496928357</c:v>
                </c:pt>
                <c:pt idx="10">
                  <c:v>1.5698765987195198</c:v>
                </c:pt>
                <c:pt idx="11">
                  <c:v>1.3248899034076373</c:v>
                </c:pt>
                <c:pt idx="12">
                  <c:v>1.2522907254480968</c:v>
                </c:pt>
                <c:pt idx="13">
                  <c:v>1.1530606614743049</c:v>
                </c:pt>
                <c:pt idx="14">
                  <c:v>1.0579174045223541</c:v>
                </c:pt>
                <c:pt idx="15">
                  <c:v>1.0311044249779484</c:v>
                </c:pt>
                <c:pt idx="16">
                  <c:v>0.99154307100944206</c:v>
                </c:pt>
                <c:pt idx="17">
                  <c:v>1.0154163038334638</c:v>
                </c:pt>
                <c:pt idx="18">
                  <c:v>0.92376055472971619</c:v>
                </c:pt>
                <c:pt idx="19">
                  <c:v>0.69485673984376251</c:v>
                </c:pt>
                <c:pt idx="20">
                  <c:v>0.52064673266835271</c:v>
                </c:pt>
                <c:pt idx="21">
                  <c:v>0.3467370380283728</c:v>
                </c:pt>
                <c:pt idx="22">
                  <c:v>0.26574311344372242</c:v>
                </c:pt>
                <c:pt idx="23">
                  <c:v>0.13629387920372424</c:v>
                </c:pt>
                <c:pt idx="24">
                  <c:v>9.3546932480288433E-2</c:v>
                </c:pt>
                <c:pt idx="25">
                  <c:v>8.6773936090924056E-2</c:v>
                </c:pt>
                <c:pt idx="26">
                  <c:v>8.161876703639602E-2</c:v>
                </c:pt>
                <c:pt idx="27">
                  <c:v>0.14157154507827871</c:v>
                </c:pt>
                <c:pt idx="28">
                  <c:v>0.22452071623156331</c:v>
                </c:pt>
                <c:pt idx="29">
                  <c:v>0.35368468582318063</c:v>
                </c:pt>
                <c:pt idx="30">
                  <c:v>0.40105086890161212</c:v>
                </c:pt>
                <c:pt idx="31">
                  <c:v>0.42471343403510486</c:v>
                </c:pt>
                <c:pt idx="32">
                  <c:v>0.40103935826036669</c:v>
                </c:pt>
                <c:pt idx="33">
                  <c:v>0.37649225591940744</c:v>
                </c:pt>
                <c:pt idx="34">
                  <c:v>0.37770431838920054</c:v>
                </c:pt>
                <c:pt idx="35">
                  <c:v>0.39231402185883102</c:v>
                </c:pt>
                <c:pt idx="36">
                  <c:v>0.36639919379117991</c:v>
                </c:pt>
                <c:pt idx="37">
                  <c:v>0.3106062126033608</c:v>
                </c:pt>
                <c:pt idx="38">
                  <c:v>0.25919792471309494</c:v>
                </c:pt>
                <c:pt idx="39">
                  <c:v>0.32135357578737217</c:v>
                </c:pt>
                <c:pt idx="40">
                  <c:v>0.55570116017400373</c:v>
                </c:pt>
                <c:pt idx="41">
                  <c:v>0.96850406336784334</c:v>
                </c:pt>
                <c:pt idx="42">
                  <c:v>1.5188340030845626</c:v>
                </c:pt>
                <c:pt idx="43">
                  <c:v>2.1718306274973451</c:v>
                </c:pt>
                <c:pt idx="44">
                  <c:v>3.1272884995509465</c:v>
                </c:pt>
                <c:pt idx="45">
                  <c:v>4.2543624947587952</c:v>
                </c:pt>
                <c:pt idx="46">
                  <c:v>5.2125726103946457</c:v>
                </c:pt>
                <c:pt idx="47">
                  <c:v>5.6090905004422948</c:v>
                </c:pt>
                <c:pt idx="48">
                  <c:v>5.0808111475433604</c:v>
                </c:pt>
                <c:pt idx="49">
                  <c:v>4.1101112206697152</c:v>
                </c:pt>
                <c:pt idx="50">
                  <c:v>2.9050587264150036</c:v>
                </c:pt>
                <c:pt idx="51">
                  <c:v>2.0034170953518444</c:v>
                </c:pt>
                <c:pt idx="52">
                  <c:v>1.3615614893346859</c:v>
                </c:pt>
                <c:pt idx="53">
                  <c:v>0.94794616015099165</c:v>
                </c:pt>
                <c:pt idx="54">
                  <c:v>0.82111553673999882</c:v>
                </c:pt>
                <c:pt idx="55">
                  <c:v>0.86569785087686191</c:v>
                </c:pt>
                <c:pt idx="56">
                  <c:v>0.98856734921931944</c:v>
                </c:pt>
                <c:pt idx="57">
                  <c:v>1.1373563437002956</c:v>
                </c:pt>
                <c:pt idx="58">
                  <c:v>1.1344041589312568</c:v>
                </c:pt>
                <c:pt idx="59">
                  <c:v>1.128073378736042</c:v>
                </c:pt>
                <c:pt idx="60">
                  <c:v>1.233512098493889</c:v>
                </c:pt>
                <c:pt idx="61">
                  <c:v>1.5672993267242763</c:v>
                </c:pt>
                <c:pt idx="62">
                  <c:v>1.8872321194286181</c:v>
                </c:pt>
                <c:pt idx="63">
                  <c:v>1.9699815468585831</c:v>
                </c:pt>
                <c:pt idx="64">
                  <c:v>1.7944714971550371</c:v>
                </c:pt>
                <c:pt idx="65">
                  <c:v>1.5309274994788407</c:v>
                </c:pt>
                <c:pt idx="66">
                  <c:v>1.2379667764301141</c:v>
                </c:pt>
                <c:pt idx="67">
                  <c:v>0.93671770121499309</c:v>
                </c:pt>
                <c:pt idx="68">
                  <c:v>0.663737542515067</c:v>
                </c:pt>
                <c:pt idx="69">
                  <c:v>0.4467284938275507</c:v>
                </c:pt>
                <c:pt idx="70">
                  <c:v>0.33871568332261442</c:v>
                </c:pt>
                <c:pt idx="71">
                  <c:v>0.27237339873313643</c:v>
                </c:pt>
                <c:pt idx="72">
                  <c:v>0.22793820079771673</c:v>
                </c:pt>
                <c:pt idx="73">
                  <c:v>0.18010327033845588</c:v>
                </c:pt>
                <c:pt idx="74">
                  <c:v>0.24752092703557796</c:v>
                </c:pt>
                <c:pt idx="75">
                  <c:v>0.32600153746500132</c:v>
                </c:pt>
                <c:pt idx="76">
                  <c:v>0.55480310954442247</c:v>
                </c:pt>
                <c:pt idx="77">
                  <c:v>0.6064430237825591</c:v>
                </c:pt>
                <c:pt idx="78">
                  <c:v>0.76348013670621828</c:v>
                </c:pt>
                <c:pt idx="79">
                  <c:v>0.81957716574355421</c:v>
                </c:pt>
                <c:pt idx="80">
                  <c:v>0.96409577199086005</c:v>
                </c:pt>
                <c:pt idx="81">
                  <c:v>0.95251005434295666</c:v>
                </c:pt>
                <c:pt idx="82">
                  <c:v>0.86355557973712893</c:v>
                </c:pt>
                <c:pt idx="83">
                  <c:v>0.71718464655920622</c:v>
                </c:pt>
                <c:pt idx="84">
                  <c:v>0.59362702345395535</c:v>
                </c:pt>
                <c:pt idx="85">
                  <c:v>0.4733402001685531</c:v>
                </c:pt>
                <c:pt idx="86">
                  <c:v>0.41843536100366729</c:v>
                </c:pt>
                <c:pt idx="87">
                  <c:v>0.36368250902017724</c:v>
                </c:pt>
                <c:pt idx="88">
                  <c:v>0.34189982279985887</c:v>
                </c:pt>
                <c:pt idx="89">
                  <c:v>0.40953424141300826</c:v>
                </c:pt>
                <c:pt idx="90">
                  <c:v>0.6243669162334734</c:v>
                </c:pt>
                <c:pt idx="91">
                  <c:v>0.89687452213006491</c:v>
                </c:pt>
                <c:pt idx="92">
                  <c:v>1.1141757658442617</c:v>
                </c:pt>
                <c:pt idx="93">
                  <c:v>1.1087232721841784</c:v>
                </c:pt>
                <c:pt idx="94">
                  <c:v>0.93195255673447663</c:v>
                </c:pt>
                <c:pt idx="95">
                  <c:v>0.68994518267401206</c:v>
                </c:pt>
                <c:pt idx="96">
                  <c:v>0.52098493351589847</c:v>
                </c:pt>
                <c:pt idx="97">
                  <c:v>0.4483710356957466</c:v>
                </c:pt>
                <c:pt idx="98">
                  <c:v>0.43300256486156857</c:v>
                </c:pt>
                <c:pt idx="99">
                  <c:v>0.45240291815167338</c:v>
                </c:pt>
                <c:pt idx="100">
                  <c:v>0.54757658715788393</c:v>
                </c:pt>
                <c:pt idx="101">
                  <c:v>0.65573931906368188</c:v>
                </c:pt>
                <c:pt idx="102">
                  <c:v>0.7793149834036216</c:v>
                </c:pt>
                <c:pt idx="103">
                  <c:v>0.83646842186661186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758-534E-93B8-AAD9C2953AAF}"/>
            </c:ext>
          </c:extLst>
        </c:ser>
        <c:ser>
          <c:idx val="3"/>
          <c:order val="2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8-534E-93B8-AAD9C295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2"/>
          <c:order val="3"/>
          <c:tx>
            <c:v> % vaxx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verzamel!$I$2:$I$104</c:f>
              <c:numCache>
                <c:formatCode>0.0%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2.0182992465016146E-3</c:v>
                </c:pt>
                <c:pt idx="3">
                  <c:v>2.244108672507767E-2</c:v>
                </c:pt>
                <c:pt idx="4">
                  <c:v>7.8897698245861764E-2</c:v>
                </c:pt>
                <c:pt idx="5">
                  <c:v>0.15339227207800715</c:v>
                </c:pt>
                <c:pt idx="6">
                  <c:v>0.20706083890756</c:v>
                </c:pt>
                <c:pt idx="7">
                  <c:v>0.23200040289159685</c:v>
                </c:pt>
                <c:pt idx="8">
                  <c:v>0.2534496692412237</c:v>
                </c:pt>
                <c:pt idx="9">
                  <c:v>0.27684002090684884</c:v>
                </c:pt>
                <c:pt idx="10">
                  <c:v>0.29315602036363159</c:v>
                </c:pt>
                <c:pt idx="11">
                  <c:v>0.30823504057276691</c:v>
                </c:pt>
                <c:pt idx="12">
                  <c:v>0.32664061735545868</c:v>
                </c:pt>
                <c:pt idx="13">
                  <c:v>0.35011475175326284</c:v>
                </c:pt>
                <c:pt idx="14">
                  <c:v>0.3830277948282787</c:v>
                </c:pt>
                <c:pt idx="15">
                  <c:v>0.42465058312930515</c:v>
                </c:pt>
                <c:pt idx="16">
                  <c:v>0.46707099444407779</c:v>
                </c:pt>
                <c:pt idx="17">
                  <c:v>0.50655324721254436</c:v>
                </c:pt>
                <c:pt idx="18">
                  <c:v>0.54506395732182455</c:v>
                </c:pt>
                <c:pt idx="19">
                  <c:v>0.58439344018770367</c:v>
                </c:pt>
                <c:pt idx="20">
                  <c:v>0.61923285110076653</c:v>
                </c:pt>
                <c:pt idx="21">
                  <c:v>0.64960975478291738</c:v>
                </c:pt>
                <c:pt idx="22">
                  <c:v>0.68006822864043615</c:v>
                </c:pt>
                <c:pt idx="23">
                  <c:v>0.69705083860391104</c:v>
                </c:pt>
                <c:pt idx="24">
                  <c:v>0.70275534297848585</c:v>
                </c:pt>
                <c:pt idx="25">
                  <c:v>0.71795628552726254</c:v>
                </c:pt>
                <c:pt idx="26">
                  <c:v>0.73978885477813849</c:v>
                </c:pt>
                <c:pt idx="27">
                  <c:v>0.75245167489447651</c:v>
                </c:pt>
                <c:pt idx="28">
                  <c:v>0.75650776900918448</c:v>
                </c:pt>
                <c:pt idx="29">
                  <c:v>0.76389978313263884</c:v>
                </c:pt>
                <c:pt idx="30">
                  <c:v>0.76659625893409811</c:v>
                </c:pt>
                <c:pt idx="31">
                  <c:v>0.76545809866463554</c:v>
                </c:pt>
                <c:pt idx="32">
                  <c:v>0.76505114801980301</c:v>
                </c:pt>
                <c:pt idx="33">
                  <c:v>0.76105245827597012</c:v>
                </c:pt>
                <c:pt idx="34">
                  <c:v>0.76679342493332214</c:v>
                </c:pt>
                <c:pt idx="35">
                  <c:v>0.77555318961221953</c:v>
                </c:pt>
                <c:pt idx="36">
                  <c:v>0.78262474881854038</c:v>
                </c:pt>
                <c:pt idx="37">
                  <c:v>0.79041085905454622</c:v>
                </c:pt>
                <c:pt idx="38">
                  <c:v>0.79393813462789342</c:v>
                </c:pt>
                <c:pt idx="39">
                  <c:v>0.7982809661881034</c:v>
                </c:pt>
                <c:pt idx="40">
                  <c:v>0.79906666044971331</c:v>
                </c:pt>
                <c:pt idx="41">
                  <c:v>0.8001225740690161</c:v>
                </c:pt>
                <c:pt idx="42">
                  <c:v>0.80512940774956521</c:v>
                </c:pt>
                <c:pt idx="43">
                  <c:v>0.80071581995813079</c:v>
                </c:pt>
                <c:pt idx="44">
                  <c:v>0.79421359049570539</c:v>
                </c:pt>
                <c:pt idx="45">
                  <c:v>0.798085514376774</c:v>
                </c:pt>
                <c:pt idx="46">
                  <c:v>0.80196573364042001</c:v>
                </c:pt>
                <c:pt idx="47">
                  <c:v>0.80065667868072343</c:v>
                </c:pt>
                <c:pt idx="48">
                  <c:v>0.8019524433823475</c:v>
                </c:pt>
                <c:pt idx="49">
                  <c:v>0.80906068654969499</c:v>
                </c:pt>
                <c:pt idx="50">
                  <c:v>0.81921754608101716</c:v>
                </c:pt>
                <c:pt idx="51">
                  <c:v>0.82742385787674033</c:v>
                </c:pt>
                <c:pt idx="52">
                  <c:v>0.83192105785344261</c:v>
                </c:pt>
                <c:pt idx="53">
                  <c:v>0.83797600715669573</c:v>
                </c:pt>
                <c:pt idx="54">
                  <c:v>0.84753366873809588</c:v>
                </c:pt>
                <c:pt idx="55">
                  <c:v>0.85166784698133835</c:v>
                </c:pt>
                <c:pt idx="56">
                  <c:v>0.84843972038208704</c:v>
                </c:pt>
                <c:pt idx="57">
                  <c:v>0.84516028098435458</c:v>
                </c:pt>
                <c:pt idx="58">
                  <c:v>0.84627877023525344</c:v>
                </c:pt>
                <c:pt idx="59">
                  <c:v>0.8529732658443645</c:v>
                </c:pt>
                <c:pt idx="60">
                  <c:v>0.85672492930217503</c:v>
                </c:pt>
                <c:pt idx="61">
                  <c:v>0.85600160168482686</c:v>
                </c:pt>
                <c:pt idx="62">
                  <c:v>0.85691944173368051</c:v>
                </c:pt>
                <c:pt idx="63">
                  <c:v>0.85835569827583424</c:v>
                </c:pt>
                <c:pt idx="64">
                  <c:v>0.8629368010381715</c:v>
                </c:pt>
                <c:pt idx="65">
                  <c:v>0.87117037417298371</c:v>
                </c:pt>
                <c:pt idx="66">
                  <c:v>0.87760186080314162</c:v>
                </c:pt>
                <c:pt idx="67">
                  <c:v>0.88270993790537067</c:v>
                </c:pt>
                <c:pt idx="68">
                  <c:v>0.88904590723266019</c:v>
                </c:pt>
                <c:pt idx="69">
                  <c:v>0.88960791594531918</c:v>
                </c:pt>
                <c:pt idx="70">
                  <c:v>0.88371709120035624</c:v>
                </c:pt>
                <c:pt idx="71">
                  <c:v>0.88388245769338769</c:v>
                </c:pt>
                <c:pt idx="72">
                  <c:v>0.88848598696016134</c:v>
                </c:pt>
                <c:pt idx="73">
                  <c:v>0.89039973645885118</c:v>
                </c:pt>
                <c:pt idx="74">
                  <c:v>0.89061348959605902</c:v>
                </c:pt>
                <c:pt idx="75">
                  <c:v>0.8908711071629174</c:v>
                </c:pt>
                <c:pt idx="76">
                  <c:v>0.89021257009966615</c:v>
                </c:pt>
                <c:pt idx="77">
                  <c:v>0.88863011195701658</c:v>
                </c:pt>
                <c:pt idx="78">
                  <c:v>0.89001521657242011</c:v>
                </c:pt>
                <c:pt idx="79">
                  <c:v>0.89084684608785347</c:v>
                </c:pt>
                <c:pt idx="80">
                  <c:v>0.88896554126894367</c:v>
                </c:pt>
                <c:pt idx="81">
                  <c:v>0.88810028955441556</c:v>
                </c:pt>
                <c:pt idx="82">
                  <c:v>0.88826201598922028</c:v>
                </c:pt>
                <c:pt idx="83">
                  <c:v>0.88889399365243671</c:v>
                </c:pt>
                <c:pt idx="84">
                  <c:v>0.8876886535929438</c:v>
                </c:pt>
                <c:pt idx="85">
                  <c:v>0.88789638960814077</c:v>
                </c:pt>
                <c:pt idx="86">
                  <c:v>0.89260724002299074</c:v>
                </c:pt>
                <c:pt idx="87">
                  <c:v>0.89265320535784609</c:v>
                </c:pt>
                <c:pt idx="88">
                  <c:v>0.88924702299307223</c:v>
                </c:pt>
                <c:pt idx="89">
                  <c:v>0.89031629813800373</c:v>
                </c:pt>
                <c:pt idx="90">
                  <c:v>0.89216833484897617</c:v>
                </c:pt>
                <c:pt idx="91">
                  <c:v>0.89442108729626302</c:v>
                </c:pt>
                <c:pt idx="92">
                  <c:v>0.89567032122676604</c:v>
                </c:pt>
                <c:pt idx="93">
                  <c:v>0.89170199858492971</c:v>
                </c:pt>
                <c:pt idx="94">
                  <c:v>0.88783022025852221</c:v>
                </c:pt>
                <c:pt idx="95">
                  <c:v>0.88804094566448555</c:v>
                </c:pt>
                <c:pt idx="96">
                  <c:v>0.89295500723437915</c:v>
                </c:pt>
                <c:pt idx="97">
                  <c:v>0.89949352480880906</c:v>
                </c:pt>
                <c:pt idx="98">
                  <c:v>0.90250678623855518</c:v>
                </c:pt>
                <c:pt idx="99">
                  <c:v>0.9002893869009585</c:v>
                </c:pt>
                <c:pt idx="100">
                  <c:v>0.89566386988332536</c:v>
                </c:pt>
                <c:pt idx="101">
                  <c:v>0.89491053787425645</c:v>
                </c:pt>
                <c:pt idx="102">
                  <c:v>0.89722091457002051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58-534E-93B8-AAD9C295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255327"/>
        <c:axId val="360901407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360901407"/>
        <c:scaling>
          <c:orientation val="minMax"/>
          <c:max val="0.93"/>
          <c:min val="0.75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2255327"/>
        <c:crosses val="max"/>
        <c:crossBetween val="between"/>
      </c:valAx>
      <c:catAx>
        <c:axId val="502255327"/>
        <c:scaling>
          <c:orientation val="minMax"/>
        </c:scaling>
        <c:delete val="1"/>
        <c:axPos val="b"/>
        <c:majorTickMark val="out"/>
        <c:minorTickMark val="none"/>
        <c:tickLblPos val="nextTo"/>
        <c:crossAx val="360901407"/>
        <c:crosses val="autoZero"/>
        <c:auto val="1"/>
        <c:lblAlgn val="ctr"/>
        <c:lblOffset val="100"/>
        <c:tickLblSkip val="1"/>
        <c:tickMarkSkip val="1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2"/>
        <c:delete val="1"/>
      </c:legendEntry>
      <c:layout>
        <c:manualLayout>
          <c:xMode val="edge"/>
          <c:yMode val="edge"/>
          <c:x val="0.70079435127978817"/>
          <c:y val="0.10459711637921935"/>
          <c:w val="0.25009722637274046"/>
          <c:h val="0.14644867112790527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7977496855258499E-2"/>
          <c:y val="8.1849865951742623E-2"/>
          <c:w val="0.9144777644189005"/>
          <c:h val="0.85595638681893982"/>
        </c:manualLayout>
      </c:layout>
      <c:lineChart>
        <c:grouping val="standard"/>
        <c:varyColors val="0"/>
        <c:ser>
          <c:idx val="0"/>
          <c:order val="0"/>
          <c:tx>
            <c:v> Covid-19 ongevaccineerd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VE!$Q$2:$Q$105</c:f>
              <c:numCache>
                <c:formatCode>0.00</c:formatCode>
                <c:ptCount val="104"/>
                <c:pt idx="3">
                  <c:v>4.7927970869934926</c:v>
                </c:pt>
                <c:pt idx="4">
                  <c:v>4.1880534986995919</c:v>
                </c:pt>
                <c:pt idx="5">
                  <c:v>3.7672772871526141</c:v>
                </c:pt>
                <c:pt idx="6">
                  <c:v>3.2319211347417194</c:v>
                </c:pt>
                <c:pt idx="7">
                  <c:v>2.7645283712459765</c:v>
                </c:pt>
                <c:pt idx="8">
                  <c:v>2.3992283923941975</c:v>
                </c:pt>
                <c:pt idx="9">
                  <c:v>2.2667764708424958</c:v>
                </c:pt>
                <c:pt idx="10">
                  <c:v>2.1912923672671236</c:v>
                </c:pt>
                <c:pt idx="11">
                  <c:v>2.2611201923401052</c:v>
                </c:pt>
                <c:pt idx="12">
                  <c:v>2.2657224115681807</c:v>
                </c:pt>
                <c:pt idx="13">
                  <c:v>2.3786346322112624</c:v>
                </c:pt>
                <c:pt idx="14">
                  <c:v>2.313999735443689</c:v>
                </c:pt>
                <c:pt idx="15">
                  <c:v>2.376660237652219</c:v>
                </c:pt>
                <c:pt idx="16">
                  <c:v>2.293742067879772</c:v>
                </c:pt>
                <c:pt idx="17">
                  <c:v>2.1391330053620163</c:v>
                </c:pt>
                <c:pt idx="18">
                  <c:v>1.826965859344245</c:v>
                </c:pt>
                <c:pt idx="19">
                  <c:v>1.4920024062597508</c:v>
                </c:pt>
                <c:pt idx="20">
                  <c:v>1.2162129786611759</c:v>
                </c:pt>
                <c:pt idx="21">
                  <c:v>0.92327937668723103</c:v>
                </c:pt>
                <c:pt idx="22">
                  <c:v>0.78880207942571445</c:v>
                </c:pt>
                <c:pt idx="23">
                  <c:v>0.56401340291052326</c:v>
                </c:pt>
                <c:pt idx="24">
                  <c:v>0.41583987386410243</c:v>
                </c:pt>
                <c:pt idx="25">
                  <c:v>0.24985850196454615</c:v>
                </c:pt>
                <c:pt idx="26">
                  <c:v>0.22329596666019361</c:v>
                </c:pt>
                <c:pt idx="27">
                  <c:v>0.38353294750420225</c:v>
                </c:pt>
                <c:pt idx="28">
                  <c:v>0.53577474804779113</c:v>
                </c:pt>
                <c:pt idx="29">
                  <c:v>0.84146144862975003</c:v>
                </c:pt>
                <c:pt idx="30">
                  <c:v>0.95696027152969654</c:v>
                </c:pt>
                <c:pt idx="31">
                  <c:v>1.0529366559363127</c:v>
                </c:pt>
                <c:pt idx="32">
                  <c:v>1.0743366958417881</c:v>
                </c:pt>
                <c:pt idx="33">
                  <c:v>1.0518466892012699</c:v>
                </c:pt>
                <c:pt idx="34">
                  <c:v>1.040927967320602</c:v>
                </c:pt>
                <c:pt idx="35">
                  <c:v>0.93957041566204447</c:v>
                </c:pt>
                <c:pt idx="36">
                  <c:v>0.82272828517804963</c:v>
                </c:pt>
                <c:pt idx="37">
                  <c:v>0.75236848147645541</c:v>
                </c:pt>
                <c:pt idx="38">
                  <c:v>0.7981967709463017</c:v>
                </c:pt>
                <c:pt idx="39">
                  <c:v>0.944912513945666</c:v>
                </c:pt>
                <c:pt idx="40">
                  <c:v>1.0554124213212126</c:v>
                </c:pt>
                <c:pt idx="41">
                  <c:v>1.5085739035660843</c:v>
                </c:pt>
                <c:pt idx="42">
                  <c:v>2.1734665316112864</c:v>
                </c:pt>
                <c:pt idx="43">
                  <c:v>3.1722927340646376</c:v>
                </c:pt>
                <c:pt idx="44">
                  <c:v>4.2746657972920126</c:v>
                </c:pt>
                <c:pt idx="45">
                  <c:v>5.5529433576273979</c:v>
                </c:pt>
                <c:pt idx="46">
                  <c:v>6.6190376909941788</c:v>
                </c:pt>
                <c:pt idx="47">
                  <c:v>7.1699714053921113</c:v>
                </c:pt>
                <c:pt idx="48">
                  <c:v>7.021225524521121</c:v>
                </c:pt>
                <c:pt idx="49">
                  <c:v>6.4667421046789419</c:v>
                </c:pt>
                <c:pt idx="50">
                  <c:v>5.3903110772893834</c:v>
                </c:pt>
                <c:pt idx="51">
                  <c:v>4.5513647811604754</c:v>
                </c:pt>
                <c:pt idx="52">
                  <c:v>3.6923504169334875</c:v>
                </c:pt>
                <c:pt idx="53">
                  <c:v>3.1939735401094516</c:v>
                </c:pt>
                <c:pt idx="54">
                  <c:v>2.6771649538047746</c:v>
                </c:pt>
                <c:pt idx="55">
                  <c:v>2.6281348699154385</c:v>
                </c:pt>
                <c:pt idx="56">
                  <c:v>3.1131514042609738</c:v>
                </c:pt>
                <c:pt idx="57">
                  <c:v>3.5063767351215134</c:v>
                </c:pt>
                <c:pt idx="58">
                  <c:v>3.750360817518517</c:v>
                </c:pt>
                <c:pt idx="59">
                  <c:v>3.3417289840925548</c:v>
                </c:pt>
                <c:pt idx="60">
                  <c:v>3.0934277884030266</c:v>
                </c:pt>
                <c:pt idx="61">
                  <c:v>3.1645379139040455</c:v>
                </c:pt>
                <c:pt idx="62">
                  <c:v>3.2630491621667712</c:v>
                </c:pt>
                <c:pt idx="63">
                  <c:v>3.1587945963659245</c:v>
                </c:pt>
                <c:pt idx="64">
                  <c:v>2.7003530101907494</c:v>
                </c:pt>
                <c:pt idx="65">
                  <c:v>2.1710651640518468</c:v>
                </c:pt>
                <c:pt idx="66">
                  <c:v>1.6385819153349654</c:v>
                </c:pt>
                <c:pt idx="67">
                  <c:v>1.1071451814228102</c:v>
                </c:pt>
                <c:pt idx="68">
                  <c:v>0.67005807631901693</c:v>
                </c:pt>
                <c:pt idx="69">
                  <c:v>0.57399505593429101</c:v>
                </c:pt>
                <c:pt idx="70">
                  <c:v>0.39334121396373556</c:v>
                </c:pt>
                <c:pt idx="71">
                  <c:v>0.43923859725134839</c:v>
                </c:pt>
                <c:pt idx="72">
                  <c:v>0.26503074986543851</c:v>
                </c:pt>
                <c:pt idx="73">
                  <c:v>0.24443975922803851</c:v>
                </c:pt>
                <c:pt idx="74">
                  <c:v>0.22730864209958276</c:v>
                </c:pt>
                <c:pt idx="75">
                  <c:v>0.27201742089719472</c:v>
                </c:pt>
                <c:pt idx="76">
                  <c:v>0.51232226641714718</c:v>
                </c:pt>
                <c:pt idx="77">
                  <c:v>0.63968282750987826</c:v>
                </c:pt>
                <c:pt idx="78">
                  <c:v>0.85142162933638021</c:v>
                </c:pt>
                <c:pt idx="79">
                  <c:v>0.94195289918648684</c:v>
                </c:pt>
                <c:pt idx="80">
                  <c:v>1.0997999621711017</c:v>
                </c:pt>
                <c:pt idx="81">
                  <c:v>1.0259609314852292</c:v>
                </c:pt>
                <c:pt idx="82">
                  <c:v>0.84599107008903329</c:v>
                </c:pt>
                <c:pt idx="83">
                  <c:v>0.63469409210275896</c:v>
                </c:pt>
                <c:pt idx="84">
                  <c:v>0.5775060862916428</c:v>
                </c:pt>
                <c:pt idx="85">
                  <c:v>0.38895000843420108</c:v>
                </c:pt>
                <c:pt idx="86">
                  <c:v>0.33960337954115577</c:v>
                </c:pt>
                <c:pt idx="87">
                  <c:v>0.30482000335039489</c:v>
                </c:pt>
                <c:pt idx="88">
                  <c:v>0.40080705193365312</c:v>
                </c:pt>
                <c:pt idx="89">
                  <c:v>0.39671549191143135</c:v>
                </c:pt>
                <c:pt idx="90">
                  <c:v>0.59945305293229156</c:v>
                </c:pt>
                <c:pt idx="91">
                  <c:v>0.73438514756171125</c:v>
                </c:pt>
                <c:pt idx="92">
                  <c:v>1.0542574289491073</c:v>
                </c:pt>
                <c:pt idx="93">
                  <c:v>1.2154739379637234</c:v>
                </c:pt>
                <c:pt idx="94">
                  <c:v>1.2044312463957509</c:v>
                </c:pt>
                <c:pt idx="95">
                  <c:v>0.98508823059072748</c:v>
                </c:pt>
                <c:pt idx="96">
                  <c:v>0.65156145042503921</c:v>
                </c:pt>
                <c:pt idx="97">
                  <c:v>0.47254975849956898</c:v>
                </c:pt>
                <c:pt idx="98">
                  <c:v>0.33230503735415917</c:v>
                </c:pt>
                <c:pt idx="99">
                  <c:v>0.41533257689781394</c:v>
                </c:pt>
                <c:pt idx="100">
                  <c:v>0.51594059870051312</c:v>
                </c:pt>
                <c:pt idx="101">
                  <c:v>0.79644082937254168</c:v>
                </c:pt>
                <c:pt idx="102">
                  <c:v>0.96136399773828496</c:v>
                </c:pt>
                <c:pt idx="103">
                  <c:v>1.1461944717278127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881-5649-B607-573F619C7F51}"/>
            </c:ext>
          </c:extLst>
        </c:ser>
        <c:ser>
          <c:idx val="1"/>
          <c:order val="1"/>
          <c:tx>
            <c:v> Covid-19 gevaccineerd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VE!$R$2:$R$105</c:f>
              <c:numCache>
                <c:formatCode>0.00</c:formatCode>
                <c:ptCount val="104"/>
                <c:pt idx="3">
                  <c:v>4.3256660262033053</c:v>
                </c:pt>
                <c:pt idx="4">
                  <c:v>4.4714549901326537</c:v>
                </c:pt>
                <c:pt idx="5">
                  <c:v>4.0842133445152582</c:v>
                </c:pt>
                <c:pt idx="6">
                  <c:v>4.3313303094918005</c:v>
                </c:pt>
                <c:pt idx="7">
                  <c:v>3.6004278642960941</c:v>
                </c:pt>
                <c:pt idx="8">
                  <c:v>2.6508963927957883</c:v>
                </c:pt>
                <c:pt idx="9">
                  <c:v>1.9495316496928357</c:v>
                </c:pt>
                <c:pt idx="10">
                  <c:v>1.5698765987195198</c:v>
                </c:pt>
                <c:pt idx="11">
                  <c:v>1.3248899034076373</c:v>
                </c:pt>
                <c:pt idx="12">
                  <c:v>1.2522907254480968</c:v>
                </c:pt>
                <c:pt idx="13">
                  <c:v>1.1530606614743049</c:v>
                </c:pt>
                <c:pt idx="14">
                  <c:v>1.0579174045223541</c:v>
                </c:pt>
                <c:pt idx="15">
                  <c:v>1.0311044249779484</c:v>
                </c:pt>
                <c:pt idx="16">
                  <c:v>0.99154307100944206</c:v>
                </c:pt>
                <c:pt idx="17">
                  <c:v>1.0154163038334638</c:v>
                </c:pt>
                <c:pt idx="18">
                  <c:v>0.92376055472971619</c:v>
                </c:pt>
                <c:pt idx="19">
                  <c:v>0.69485673984376251</c:v>
                </c:pt>
                <c:pt idx="20">
                  <c:v>0.52064673266835271</c:v>
                </c:pt>
                <c:pt idx="21">
                  <c:v>0.3467370380283728</c:v>
                </c:pt>
                <c:pt idx="22">
                  <c:v>0.26574311344372242</c:v>
                </c:pt>
                <c:pt idx="23">
                  <c:v>0.13629387920372424</c:v>
                </c:pt>
                <c:pt idx="24">
                  <c:v>9.3546932480288433E-2</c:v>
                </c:pt>
                <c:pt idx="25">
                  <c:v>8.6773936090924056E-2</c:v>
                </c:pt>
                <c:pt idx="26">
                  <c:v>8.161876703639602E-2</c:v>
                </c:pt>
                <c:pt idx="27">
                  <c:v>0.14157154507827871</c:v>
                </c:pt>
                <c:pt idx="28">
                  <c:v>0.22452071623156331</c:v>
                </c:pt>
                <c:pt idx="29">
                  <c:v>0.35368468582318063</c:v>
                </c:pt>
                <c:pt idx="30">
                  <c:v>0.40105086890161212</c:v>
                </c:pt>
                <c:pt idx="31">
                  <c:v>0.42471343403510486</c:v>
                </c:pt>
                <c:pt idx="32">
                  <c:v>0.40103935826036669</c:v>
                </c:pt>
                <c:pt idx="33">
                  <c:v>0.37649225591940744</c:v>
                </c:pt>
                <c:pt idx="34">
                  <c:v>0.37770431838920054</c:v>
                </c:pt>
                <c:pt idx="35">
                  <c:v>0.39231402185883102</c:v>
                </c:pt>
                <c:pt idx="36">
                  <c:v>0.36639919379117991</c:v>
                </c:pt>
                <c:pt idx="37">
                  <c:v>0.3106062126033608</c:v>
                </c:pt>
                <c:pt idx="38">
                  <c:v>0.25919792471309494</c:v>
                </c:pt>
                <c:pt idx="39">
                  <c:v>0.32135357578737217</c:v>
                </c:pt>
                <c:pt idx="40">
                  <c:v>0.55570116017400373</c:v>
                </c:pt>
                <c:pt idx="41">
                  <c:v>0.96850406336784334</c:v>
                </c:pt>
                <c:pt idx="42">
                  <c:v>1.5188340030845626</c:v>
                </c:pt>
                <c:pt idx="43">
                  <c:v>2.1718306274973451</c:v>
                </c:pt>
                <c:pt idx="44">
                  <c:v>3.1272884995509465</c:v>
                </c:pt>
                <c:pt idx="45">
                  <c:v>4.2543624947587952</c:v>
                </c:pt>
                <c:pt idx="46">
                  <c:v>5.2125726103946457</c:v>
                </c:pt>
                <c:pt idx="47">
                  <c:v>5.6090905004422948</c:v>
                </c:pt>
                <c:pt idx="48">
                  <c:v>5.0808111475433604</c:v>
                </c:pt>
                <c:pt idx="49">
                  <c:v>4.1101112206697152</c:v>
                </c:pt>
                <c:pt idx="50">
                  <c:v>2.9050587264150036</c:v>
                </c:pt>
                <c:pt idx="51">
                  <c:v>2.0034170953518444</c:v>
                </c:pt>
                <c:pt idx="52">
                  <c:v>1.3615614893346859</c:v>
                </c:pt>
                <c:pt idx="53">
                  <c:v>0.94794616015099165</c:v>
                </c:pt>
                <c:pt idx="54">
                  <c:v>0.82111553673999882</c:v>
                </c:pt>
                <c:pt idx="55">
                  <c:v>0.86569785087686191</c:v>
                </c:pt>
                <c:pt idx="56">
                  <c:v>0.98856734921931944</c:v>
                </c:pt>
                <c:pt idx="57">
                  <c:v>1.1373563437002956</c:v>
                </c:pt>
                <c:pt idx="58">
                  <c:v>1.1344041589312568</c:v>
                </c:pt>
                <c:pt idx="59">
                  <c:v>1.128073378736042</c:v>
                </c:pt>
                <c:pt idx="60">
                  <c:v>1.233512098493889</c:v>
                </c:pt>
                <c:pt idx="61">
                  <c:v>1.5672993267242763</c:v>
                </c:pt>
                <c:pt idx="62">
                  <c:v>1.8872321194286181</c:v>
                </c:pt>
                <c:pt idx="63">
                  <c:v>1.9699815468585831</c:v>
                </c:pt>
                <c:pt idx="64">
                  <c:v>1.7944714971550371</c:v>
                </c:pt>
                <c:pt idx="65">
                  <c:v>1.5309274994788407</c:v>
                </c:pt>
                <c:pt idx="66">
                  <c:v>1.2379667764301141</c:v>
                </c:pt>
                <c:pt idx="67">
                  <c:v>0.93671770121499309</c:v>
                </c:pt>
                <c:pt idx="68">
                  <c:v>0.663737542515067</c:v>
                </c:pt>
                <c:pt idx="69">
                  <c:v>0.4467284938275507</c:v>
                </c:pt>
                <c:pt idx="70">
                  <c:v>0.33871568332261442</c:v>
                </c:pt>
                <c:pt idx="71">
                  <c:v>0.27237339873313643</c:v>
                </c:pt>
                <c:pt idx="72">
                  <c:v>0.22793820079771673</c:v>
                </c:pt>
                <c:pt idx="73">
                  <c:v>0.18010327033845588</c:v>
                </c:pt>
                <c:pt idx="74">
                  <c:v>0.24752092703557796</c:v>
                </c:pt>
                <c:pt idx="75">
                  <c:v>0.32600153746500132</c:v>
                </c:pt>
                <c:pt idx="76">
                  <c:v>0.55480310954442247</c:v>
                </c:pt>
                <c:pt idx="77">
                  <c:v>0.6064430237825591</c:v>
                </c:pt>
                <c:pt idx="78">
                  <c:v>0.76348013670621828</c:v>
                </c:pt>
                <c:pt idx="79">
                  <c:v>0.81957716574355421</c:v>
                </c:pt>
                <c:pt idx="80">
                  <c:v>0.96409577199086005</c:v>
                </c:pt>
                <c:pt idx="81">
                  <c:v>0.95251005434295666</c:v>
                </c:pt>
                <c:pt idx="82">
                  <c:v>0.86355557973712893</c:v>
                </c:pt>
                <c:pt idx="83">
                  <c:v>0.71718464655920622</c:v>
                </c:pt>
                <c:pt idx="84">
                  <c:v>0.59362702345395535</c:v>
                </c:pt>
                <c:pt idx="85">
                  <c:v>0.4733402001685531</c:v>
                </c:pt>
                <c:pt idx="86">
                  <c:v>0.41843536100366729</c:v>
                </c:pt>
                <c:pt idx="87">
                  <c:v>0.36368250902017724</c:v>
                </c:pt>
                <c:pt idx="88">
                  <c:v>0.34189982279985887</c:v>
                </c:pt>
                <c:pt idx="89">
                  <c:v>0.40953424141300826</c:v>
                </c:pt>
                <c:pt idx="90">
                  <c:v>0.6243669162334734</c:v>
                </c:pt>
                <c:pt idx="91">
                  <c:v>0.89687452213006491</c:v>
                </c:pt>
                <c:pt idx="92">
                  <c:v>1.1141757658442617</c:v>
                </c:pt>
                <c:pt idx="93">
                  <c:v>1.1087232721841784</c:v>
                </c:pt>
                <c:pt idx="94">
                  <c:v>0.93195255673447663</c:v>
                </c:pt>
                <c:pt idx="95">
                  <c:v>0.68994518267401206</c:v>
                </c:pt>
                <c:pt idx="96">
                  <c:v>0.52098493351589847</c:v>
                </c:pt>
                <c:pt idx="97">
                  <c:v>0.4483710356957466</c:v>
                </c:pt>
                <c:pt idx="98">
                  <c:v>0.43300256486156857</c:v>
                </c:pt>
                <c:pt idx="99">
                  <c:v>0.45240291815167338</c:v>
                </c:pt>
                <c:pt idx="100">
                  <c:v>0.54757658715788393</c:v>
                </c:pt>
                <c:pt idx="101">
                  <c:v>0.65573931906368188</c:v>
                </c:pt>
                <c:pt idx="102">
                  <c:v>0.7793149834036216</c:v>
                </c:pt>
                <c:pt idx="103">
                  <c:v>0.83646842186661186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881-5649-B607-573F619C7F51}"/>
            </c:ext>
          </c:extLst>
        </c:ser>
        <c:ser>
          <c:idx val="2"/>
          <c:order val="2"/>
          <c:tx>
            <c:v> Oversterfte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881-5649-B607-573F619C7F51}"/>
            </c:ext>
          </c:extLst>
        </c:ser>
        <c:ser>
          <c:idx val="3"/>
          <c:order val="3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1-5649-B607-573F619C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66725507502206527"/>
          <c:y val="9.1192290641953944E-2"/>
          <c:w val="0.28187127756426739"/>
          <c:h val="0.17862025289734226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en Oversterfte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5629747517217891E-2"/>
          <c:y val="8.1849865951742623E-2"/>
          <c:w val="0.84266826973194986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B1A-B84C-A172-5EE4A86941C1}"/>
            </c:ext>
          </c:extLst>
        </c:ser>
        <c:ser>
          <c:idx val="3"/>
          <c:order val="1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1A-B84C-A172-5EE4A8694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2"/>
          <c:tx>
            <c:v> VE</c:v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B1A-B84C-A172-5EE4A8694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76911"/>
        <c:axId val="122276335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ax val="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Oversterfte / 100.000 /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22276335"/>
        <c:scaling>
          <c:orientation val="minMax"/>
          <c:max val="0.8"/>
          <c:min val="-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rgbClr val="0070C0"/>
                    </a:solidFill>
                  </a:rPr>
                  <a:t>Vaccin Effectiviteit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676911"/>
        <c:crosses val="max"/>
        <c:crossBetween val="between"/>
      </c:valAx>
      <c:catAx>
        <c:axId val="12267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63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40269370565222E-2"/>
          <c:y val="8.1849865951742623E-2"/>
          <c:w val="0.87034713776400208"/>
          <c:h val="0.85595638681893982"/>
        </c:manualLayout>
      </c:layout>
      <c:lineChart>
        <c:grouping val="standard"/>
        <c:varyColors val="0"/>
        <c:ser>
          <c:idx val="4"/>
          <c:order val="0"/>
          <c:tx>
            <c:v> Corona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VE!$U$2:$U$105</c:f>
              <c:numCache>
                <c:formatCode>0.00</c:formatCode>
                <c:ptCount val="104"/>
                <c:pt idx="0">
                  <c:v>6.4325842696629216</c:v>
                </c:pt>
                <c:pt idx="1">
                  <c:v>5.9082397003745326</c:v>
                </c:pt>
                <c:pt idx="2">
                  <c:v>5.3033707865168536</c:v>
                </c:pt>
                <c:pt idx="3">
                  <c:v>4.7584269662921352</c:v>
                </c:pt>
                <c:pt idx="4">
                  <c:v>4.2097378277153563</c:v>
                </c:pt>
                <c:pt idx="5">
                  <c:v>3.8913857677902621</c:v>
                </c:pt>
                <c:pt idx="6">
                  <c:v>3.4550561797752808</c:v>
                </c:pt>
                <c:pt idx="7">
                  <c:v>2.9531835205992509</c:v>
                </c:pt>
                <c:pt idx="8">
                  <c:v>2.4531835205992509</c:v>
                </c:pt>
                <c:pt idx="9">
                  <c:v>2.1722846441947565</c:v>
                </c:pt>
                <c:pt idx="10">
                  <c:v>2.0074906367041199</c:v>
                </c:pt>
                <c:pt idx="11">
                  <c:v>1.9719101123595506</c:v>
                </c:pt>
                <c:pt idx="12">
                  <c:v>1.9307116104868915</c:v>
                </c:pt>
                <c:pt idx="13">
                  <c:v>1.949438202247191</c:v>
                </c:pt>
                <c:pt idx="14">
                  <c:v>1.8277153558052432</c:v>
                </c:pt>
                <c:pt idx="15">
                  <c:v>1.8052434456928839</c:v>
                </c:pt>
                <c:pt idx="16">
                  <c:v>1.687265917602996</c:v>
                </c:pt>
                <c:pt idx="17">
                  <c:v>1.5786516853932584</c:v>
                </c:pt>
                <c:pt idx="18">
                  <c:v>1.3389513108614233</c:v>
                </c:pt>
                <c:pt idx="19">
                  <c:v>1.0262172284644193</c:v>
                </c:pt>
                <c:pt idx="20">
                  <c:v>0.78838951310861427</c:v>
                </c:pt>
                <c:pt idx="21">
                  <c:v>0.55243445692883897</c:v>
                </c:pt>
                <c:pt idx="22">
                  <c:v>0.43258426966292135</c:v>
                </c:pt>
                <c:pt idx="23">
                  <c:v>0.26591760299625472</c:v>
                </c:pt>
                <c:pt idx="24">
                  <c:v>0.18913857677902621</c:v>
                </c:pt>
                <c:pt idx="25">
                  <c:v>0.13295880149812736</c:v>
                </c:pt>
                <c:pt idx="26">
                  <c:v>0.11797752808988764</c:v>
                </c:pt>
                <c:pt idx="27">
                  <c:v>0.20224719101123595</c:v>
                </c:pt>
                <c:pt idx="28">
                  <c:v>0.29962546816479402</c:v>
                </c:pt>
                <c:pt idx="29">
                  <c:v>0.46816479400749061</c:v>
                </c:pt>
                <c:pt idx="30">
                  <c:v>0.53183520599250944</c:v>
                </c:pt>
                <c:pt idx="31">
                  <c:v>0.56928838951310856</c:v>
                </c:pt>
                <c:pt idx="32">
                  <c:v>0.56367041198501866</c:v>
                </c:pt>
                <c:pt idx="33">
                  <c:v>0.53558052434456926</c:v>
                </c:pt>
                <c:pt idx="34">
                  <c:v>0.53558052434456926</c:v>
                </c:pt>
                <c:pt idx="35">
                  <c:v>0.51498127340823974</c:v>
                </c:pt>
                <c:pt idx="36">
                  <c:v>0.46629213483146065</c:v>
                </c:pt>
                <c:pt idx="37">
                  <c:v>0.4044943820224719</c:v>
                </c:pt>
                <c:pt idx="38">
                  <c:v>0.36891385767790263</c:v>
                </c:pt>
                <c:pt idx="39">
                  <c:v>0.44756554307116109</c:v>
                </c:pt>
                <c:pt idx="40">
                  <c:v>0.65543071161048694</c:v>
                </c:pt>
                <c:pt idx="41">
                  <c:v>1.0730337078651686</c:v>
                </c:pt>
                <c:pt idx="42">
                  <c:v>1.646067415730337</c:v>
                </c:pt>
                <c:pt idx="43">
                  <c:v>2.3726591760299622</c:v>
                </c:pt>
                <c:pt idx="44">
                  <c:v>3.3614232209737831</c:v>
                </c:pt>
                <c:pt idx="45">
                  <c:v>4.5168539325842696</c:v>
                </c:pt>
                <c:pt idx="46">
                  <c:v>5.4925093632958797</c:v>
                </c:pt>
                <c:pt idx="47">
                  <c:v>5.9194756554307117</c:v>
                </c:pt>
                <c:pt idx="48">
                  <c:v>5.4625468164794011</c:v>
                </c:pt>
                <c:pt idx="49">
                  <c:v>4.5561797752808992</c:v>
                </c:pt>
                <c:pt idx="50">
                  <c:v>3.3558052434456931</c:v>
                </c:pt>
                <c:pt idx="51">
                  <c:v>2.4456928838951311</c:v>
                </c:pt>
                <c:pt idx="52">
                  <c:v>1.752808988764045</c:v>
                </c:pt>
                <c:pt idx="53">
                  <c:v>1.3127340823970037</c:v>
                </c:pt>
                <c:pt idx="54">
                  <c:v>1.1067415730337078</c:v>
                </c:pt>
                <c:pt idx="55">
                  <c:v>1.1310861423220975</c:v>
                </c:pt>
                <c:pt idx="56">
                  <c:v>1.3089887640449438</c:v>
                </c:pt>
                <c:pt idx="57">
                  <c:v>1.5056179775280898</c:v>
                </c:pt>
                <c:pt idx="58">
                  <c:v>1.5299625468164793</c:v>
                </c:pt>
                <c:pt idx="59">
                  <c:v>1.4569288389513106</c:v>
                </c:pt>
                <c:pt idx="60">
                  <c:v>1.5</c:v>
                </c:pt>
                <c:pt idx="61">
                  <c:v>1.7958801498127341</c:v>
                </c:pt>
                <c:pt idx="62">
                  <c:v>2.0842696629213484</c:v>
                </c:pt>
                <c:pt idx="63">
                  <c:v>2.1385767790262173</c:v>
                </c:pt>
                <c:pt idx="64">
                  <c:v>1.9176029962546814</c:v>
                </c:pt>
                <c:pt idx="65">
                  <c:v>1.6142322097378277</c:v>
                </c:pt>
                <c:pt idx="66">
                  <c:v>1.2883895131086143</c:v>
                </c:pt>
                <c:pt idx="67">
                  <c:v>0.95692883895131087</c:v>
                </c:pt>
                <c:pt idx="68">
                  <c:v>0.66479400749063666</c:v>
                </c:pt>
                <c:pt idx="69">
                  <c:v>0.46254681647940071</c:v>
                </c:pt>
                <c:pt idx="70">
                  <c:v>0.34644194756554308</c:v>
                </c:pt>
                <c:pt idx="71">
                  <c:v>0.29213483146067415</c:v>
                </c:pt>
                <c:pt idx="72">
                  <c:v>0.23220973782771537</c:v>
                </c:pt>
                <c:pt idx="73">
                  <c:v>0.18726591760299627</c:v>
                </c:pt>
                <c:pt idx="74">
                  <c:v>0.24531835205992508</c:v>
                </c:pt>
                <c:pt idx="75">
                  <c:v>0.3202247191011236</c:v>
                </c:pt>
                <c:pt idx="76">
                  <c:v>0.550561797752809</c:v>
                </c:pt>
                <c:pt idx="77">
                  <c:v>0.61048689138576784</c:v>
                </c:pt>
                <c:pt idx="78">
                  <c:v>0.77340823970037453</c:v>
                </c:pt>
                <c:pt idx="79">
                  <c:v>0.83333333333333337</c:v>
                </c:pt>
                <c:pt idx="80">
                  <c:v>0.97940074906367047</c:v>
                </c:pt>
                <c:pt idx="81">
                  <c:v>0.9606741573033708</c:v>
                </c:pt>
                <c:pt idx="82">
                  <c:v>0.86142322097378288</c:v>
                </c:pt>
                <c:pt idx="83">
                  <c:v>0.7078651685393258</c:v>
                </c:pt>
                <c:pt idx="84">
                  <c:v>0.59176029962546817</c:v>
                </c:pt>
                <c:pt idx="85">
                  <c:v>0.46441947565543074</c:v>
                </c:pt>
                <c:pt idx="86">
                  <c:v>0.4101123595505618</c:v>
                </c:pt>
                <c:pt idx="87">
                  <c:v>0.35767790262172283</c:v>
                </c:pt>
                <c:pt idx="88">
                  <c:v>0.34831460674157305</c:v>
                </c:pt>
                <c:pt idx="89">
                  <c:v>0.40823970037453189</c:v>
                </c:pt>
                <c:pt idx="90">
                  <c:v>0.62172284644194764</c:v>
                </c:pt>
                <c:pt idx="91">
                  <c:v>0.88014981273408233</c:v>
                </c:pt>
                <c:pt idx="92">
                  <c:v>1.1086142322097379</c:v>
                </c:pt>
                <c:pt idx="93">
                  <c:v>1.1217228464419475</c:v>
                </c:pt>
                <c:pt idx="94">
                  <c:v>0.96254681647940077</c:v>
                </c:pt>
                <c:pt idx="95">
                  <c:v>0.72284644194756553</c:v>
                </c:pt>
                <c:pt idx="96">
                  <c:v>0.53558052434456926</c:v>
                </c:pt>
                <c:pt idx="97">
                  <c:v>0.45131086142322097</c:v>
                </c:pt>
                <c:pt idx="98">
                  <c:v>0.42322097378277151</c:v>
                </c:pt>
                <c:pt idx="99">
                  <c:v>0.449438202247191</c:v>
                </c:pt>
                <c:pt idx="100">
                  <c:v>0.5449438202247191</c:v>
                </c:pt>
                <c:pt idx="101">
                  <c:v>0.67041198501872656</c:v>
                </c:pt>
                <c:pt idx="102">
                  <c:v>0.797752808988764</c:v>
                </c:pt>
                <c:pt idx="103">
                  <c:v>0.8679775280898876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F8E-F64C-9ABD-AA3CB55C7762}"/>
            </c:ext>
          </c:extLst>
        </c:ser>
        <c:ser>
          <c:idx val="2"/>
          <c:order val="1"/>
          <c:tx>
            <c:v> Oversterfte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F8E-F64C-9ABD-AA3CB55C7762}"/>
            </c:ext>
          </c:extLst>
        </c:ser>
        <c:ser>
          <c:idx val="0"/>
          <c:order val="2"/>
          <c:tx>
            <c:v> Met Covid-19  voorkomen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VE!$T$2:$T$105</c:f>
              <c:numCache>
                <c:formatCode>General</c:formatCode>
                <c:ptCount val="104"/>
                <c:pt idx="3" formatCode="0.00">
                  <c:v>2.7090054374532052E-3</c:v>
                </c:pt>
                <c:pt idx="4" formatCode="0.00">
                  <c:v>-2.2858487919307748E-2</c:v>
                </c:pt>
                <c:pt idx="5" formatCode="0.00">
                  <c:v>-4.7887706942848648E-2</c:v>
                </c:pt>
                <c:pt idx="6" formatCode="0.00">
                  <c:v>-0.22312714443955747</c:v>
                </c:pt>
                <c:pt idx="7" formatCode="0.00">
                  <c:v>-0.1947131618803121</c:v>
                </c:pt>
                <c:pt idx="8" formatCode="0.00">
                  <c:v>-6.4054298789685993E-2</c:v>
                </c:pt>
                <c:pt idx="9" formatCode="0.00">
                  <c:v>8.7055220503052755E-2</c:v>
                </c:pt>
                <c:pt idx="10" formatCode="0.00">
                  <c:v>0.18306171200638577</c:v>
                </c:pt>
                <c:pt idx="11" formatCode="0.00">
                  <c:v>0.28778622650866809</c:v>
                </c:pt>
                <c:pt idx="12" formatCode="0.00">
                  <c:v>0.3324165977018671</c:v>
                </c:pt>
                <c:pt idx="13" formatCode="0.00">
                  <c:v>0.42884124961791376</c:v>
                </c:pt>
                <c:pt idx="14" formatCode="0.00">
                  <c:v>0.4838583388856178</c:v>
                </c:pt>
                <c:pt idx="15" formatCode="0.00">
                  <c:v>0.56969362775541432</c:v>
                </c:pt>
                <c:pt idx="16" formatCode="0.00">
                  <c:v>0.60900644229990075</c:v>
                </c:pt>
                <c:pt idx="17" formatCode="0.00">
                  <c:v>0.56818100103771851</c:v>
                </c:pt>
                <c:pt idx="18" formatCode="0.00">
                  <c:v>0.49314024297388498</c:v>
                </c:pt>
                <c:pt idx="19" formatCode="0.00">
                  <c:v>0.46532803780122428</c:v>
                </c:pt>
                <c:pt idx="20" formatCode="0.00">
                  <c:v>0.42993806693281489</c:v>
                </c:pt>
                <c:pt idx="21" formatCode="0.00">
                  <c:v>0.37533711046448187</c:v>
                </c:pt>
                <c:pt idx="22" formatCode="0.00">
                  <c:v>0.35484714633970676</c:v>
                </c:pt>
                <c:pt idx="23" formatCode="0.00">
                  <c:v>0.29704096838641725</c:v>
                </c:pt>
                <c:pt idx="24" formatCode="0.00">
                  <c:v>0.22747636465798679</c:v>
                </c:pt>
                <c:pt idx="25" formatCode="0.00">
                  <c:v>0.11702863319073722</c:v>
                </c:pt>
                <c:pt idx="26" formatCode="0.00">
                  <c:v>0.10479459025822772</c:v>
                </c:pt>
                <c:pt idx="27" formatCode="0.00">
                  <c:v>0.18146893645770015</c:v>
                </c:pt>
                <c:pt idx="28" formatCode="0.00">
                  <c:v>0.23614128298515405</c:v>
                </c:pt>
                <c:pt idx="29" formatCode="0.00">
                  <c:v>0.37223886687285329</c:v>
                </c:pt>
                <c:pt idx="30" formatCode="0.00">
                  <c:v>0.42493384911614118</c:v>
                </c:pt>
                <c:pt idx="31" formatCode="0.00">
                  <c:v>0.48332378237542645</c:v>
                </c:pt>
                <c:pt idx="32" formatCode="0.00">
                  <c:v>0.51151239604397503</c:v>
                </c:pt>
                <c:pt idx="33" formatCode="0.00">
                  <c:v>0.51775388241647036</c:v>
                </c:pt>
                <c:pt idx="34" formatCode="0.00">
                  <c:v>0.50683755519865858</c:v>
                </c:pt>
                <c:pt idx="35" formatCode="0.00">
                  <c:v>0.42475434565074061</c:v>
                </c:pt>
                <c:pt idx="36" formatCode="0.00">
                  <c:v>0.35751285332825733</c:v>
                </c:pt>
                <c:pt idx="37" formatCode="0.00">
                  <c:v>0.34828155443025427</c:v>
                </c:pt>
                <c:pt idx="38" formatCode="0.00">
                  <c:v>0.42889662155090758</c:v>
                </c:pt>
                <c:pt idx="39" formatCode="0.00">
                  <c:v>0.49697151151036079</c:v>
                </c:pt>
                <c:pt idx="40" formatCode="0.00">
                  <c:v>0.3991037217566657</c:v>
                </c:pt>
                <c:pt idx="41" formatCode="0.00">
                  <c:v>0.43329672497600791</c:v>
                </c:pt>
                <c:pt idx="42" formatCode="0.00">
                  <c:v>0.52533892246793368</c:v>
                </c:pt>
                <c:pt idx="43" formatCode="0.00">
                  <c:v>0.80104073387415586</c:v>
                </c:pt>
                <c:pt idx="44" formatCode="0.00">
                  <c:v>0.9135906494245446</c:v>
                </c:pt>
                <c:pt idx="45" formatCode="0.00">
                  <c:v>1.0356580861767093</c:v>
                </c:pt>
                <c:pt idx="46" formatCode="0.00">
                  <c:v>1.1266476930108484</c:v>
                </c:pt>
                <c:pt idx="47" formatCode="0.00">
                  <c:v>1.2507570726831669</c:v>
                </c:pt>
                <c:pt idx="48" formatCode="0.00">
                  <c:v>1.5570290524537826</c:v>
                </c:pt>
                <c:pt idx="49" formatCode="0.00">
                  <c:v>1.9074642897755987</c:v>
                </c:pt>
                <c:pt idx="50" formatCode="0.00">
                  <c:v>2.035621768922284</c:v>
                </c:pt>
                <c:pt idx="51" formatCode="0.00">
                  <c:v>2.1064019881843321</c:v>
                </c:pt>
                <c:pt idx="52" formatCode="0.00">
                  <c:v>1.9398194396321948</c:v>
                </c:pt>
                <c:pt idx="53" formatCode="0.00">
                  <c:v>1.8833802341857502</c:v>
                </c:pt>
                <c:pt idx="54" formatCode="0.00">
                  <c:v>1.5725169940342059</c:v>
                </c:pt>
                <c:pt idx="55" formatCode="0.00">
                  <c:v>1.4978730944458101</c:v>
                </c:pt>
                <c:pt idx="56" formatCode="0.00">
                  <c:v>1.8055593580910219</c:v>
                </c:pt>
                <c:pt idx="57" formatCode="0.00">
                  <c:v>1.9997383027408469</c:v>
                </c:pt>
                <c:pt idx="58" formatCode="0.00">
                  <c:v>2.2194378120030067</c:v>
                </c:pt>
                <c:pt idx="59" formatCode="0.00">
                  <c:v>1.8851123714389775</c:v>
                </c:pt>
                <c:pt idx="60" formatCode="0.00">
                  <c:v>1.592793625711596</c:v>
                </c:pt>
                <c:pt idx="61" formatCode="0.00">
                  <c:v>1.368179729755606</c:v>
                </c:pt>
                <c:pt idx="62" formatCode="0.00">
                  <c:v>1.1785712994859903</c:v>
                </c:pt>
                <c:pt idx="63" formatCode="0.00">
                  <c:v>1.0206088440773853</c:v>
                </c:pt>
                <c:pt idx="64" formatCode="0.00">
                  <c:v>0.78264591539067763</c:v>
                </c:pt>
                <c:pt idx="65" formatCode="0.00">
                  <c:v>0.55703832648912266</c:v>
                </c:pt>
                <c:pt idx="66" formatCode="0.00">
                  <c:v>0.35171914855007036</c:v>
                </c:pt>
                <c:pt idx="67" formatCode="0.00">
                  <c:v>0.15041285969592086</c:v>
                </c:pt>
                <c:pt idx="68" formatCode="0.00">
                  <c:v>5.6215126460159902E-3</c:v>
                </c:pt>
                <c:pt idx="69" formatCode="0.00">
                  <c:v>0.11289986163737394</c:v>
                </c:pt>
                <c:pt idx="70" formatCode="0.00">
                  <c:v>4.8408955747687755E-2</c:v>
                </c:pt>
                <c:pt idx="71" formatCode="0.00">
                  <c:v>0.14741487555036567</c:v>
                </c:pt>
                <c:pt idx="72" formatCode="0.00">
                  <c:v>3.2952168505983058E-2</c:v>
                </c:pt>
                <c:pt idx="73" formatCode="0.00">
                  <c:v>5.7270194051947762E-2</c:v>
                </c:pt>
                <c:pt idx="74" formatCode="0.00">
                  <c:v>-1.8001506461906923E-2</c:v>
                </c:pt>
                <c:pt idx="75" formatCode="0.00">
                  <c:v>-4.8105341011196151E-2</c:v>
                </c:pt>
                <c:pt idx="76" formatCode="0.00">
                  <c:v>-3.7784048042590002E-2</c:v>
                </c:pt>
                <c:pt idx="77" formatCode="0.00">
                  <c:v>2.9571523937922044E-2</c:v>
                </c:pt>
                <c:pt idx="78" formatCode="0.00">
                  <c:v>7.8246466481878149E-2</c:v>
                </c:pt>
                <c:pt idx="79" formatCode="0.00">
                  <c:v>0.10893508938057803</c:v>
                </c:pt>
                <c:pt idx="80" formatCode="0.00">
                  <c:v>0.12073277509283101</c:v>
                </c:pt>
                <c:pt idx="81" formatCode="0.00">
                  <c:v>6.5202024461843866E-2</c:v>
                </c:pt>
                <c:pt idx="82" formatCode="0.00">
                  <c:v>-1.5609633300076357E-2</c:v>
                </c:pt>
                <c:pt idx="83" formatCode="0.00">
                  <c:v>-7.3298905065423151E-2</c:v>
                </c:pt>
                <c:pt idx="84" formatCode="0.00">
                  <c:v>-1.4303729447584309E-2</c:v>
                </c:pt>
                <c:pt idx="85" formatCode="0.00">
                  <c:v>-7.506611462152124E-2</c:v>
                </c:pt>
                <c:pt idx="86" formatCode="0.00">
                  <c:v>-7.0262041604533101E-2</c:v>
                </c:pt>
                <c:pt idx="87" formatCode="0.00">
                  <c:v>-5.2512402198510721E-2</c:v>
                </c:pt>
                <c:pt idx="88" formatCode="0.00">
                  <c:v>5.2455825707410558E-2</c:v>
                </c:pt>
                <c:pt idx="89" formatCode="0.00">
                  <c:v>-1.1407042381566172E-2</c:v>
                </c:pt>
                <c:pt idx="90" formatCode="0.00">
                  <c:v>-2.2225246491209626E-2</c:v>
                </c:pt>
                <c:pt idx="91" formatCode="0.00">
                  <c:v>-0.14545543790770421</c:v>
                </c:pt>
                <c:pt idx="92" formatCode="0.00">
                  <c:v>-5.3562498120544283E-2</c:v>
                </c:pt>
                <c:pt idx="93" formatCode="0.00">
                  <c:v>9.5296923838623274E-2</c:v>
                </c:pt>
                <c:pt idx="94" formatCode="0.00">
                  <c:v>0.24185219789229015</c:v>
                </c:pt>
                <c:pt idx="95" formatCode="0.00">
                  <c:v>0.262340178886382</c:v>
                </c:pt>
                <c:pt idx="96" formatCode="0.00">
                  <c:v>0.11662037183951257</c:v>
                </c:pt>
                <c:pt idx="97" formatCode="0.00">
                  <c:v>2.1734016663034168E-2</c:v>
                </c:pt>
                <c:pt idx="98" formatCode="0.00">
                  <c:v>-9.086686651891597E-2</c:v>
                </c:pt>
                <c:pt idx="99" formatCode="0.00">
                  <c:v>-3.3341585091151212E-2</c:v>
                </c:pt>
                <c:pt idx="100" formatCode="0.00">
                  <c:v>-2.8369392462806706E-2</c:v>
                </c:pt>
                <c:pt idx="101" formatCode="0.00">
                  <c:v>0.12591599793382924</c:v>
                </c:pt>
                <c:pt idx="102" formatCode="0.00">
                  <c:v>0.1633255076254245</c:v>
                </c:pt>
                <c:pt idx="103" formatCode="0.00">
                  <c:v>0.27822055625836423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F8E-F64C-9ABD-AA3CB55C7762}"/>
            </c:ext>
          </c:extLst>
        </c:ser>
        <c:ser>
          <c:idx val="3"/>
          <c:order val="3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E-F64C-9ABD-AA3CB55C7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1"/>
          <c:order val="4"/>
          <c:tx>
            <c:v> Vaccinaties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Corona!$K$2:$K$105</c:f>
              <c:numCache>
                <c:formatCode>0.0%</c:formatCode>
                <c:ptCount val="1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  <c:pt idx="103">
                  <c:v>3.1242420954355229E-3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F8E-F64C-9ABD-AA3CB55C7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98416"/>
        <c:axId val="1024270047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024270047"/>
        <c:scaling>
          <c:orientation val="minMax"/>
          <c:max val="0.9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rgbClr val="00B050"/>
                    </a:solidFill>
                  </a:rPr>
                  <a:t>Vaccinaties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6298416"/>
        <c:crosses val="max"/>
        <c:crossBetween val="between"/>
      </c:valAx>
      <c:dateAx>
        <c:axId val="2126298416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1024270047"/>
        <c:crosses val="autoZero"/>
        <c:auto val="1"/>
        <c:lblOffset val="100"/>
        <c:baseTimeUnit val="days"/>
      </c:date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63548102383053839"/>
          <c:y val="0.10459711637921935"/>
          <c:w val="0.28187127756426739"/>
          <c:h val="0.13840577568554602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5762069900132734E-2"/>
          <c:y val="8.1849865951742623E-2"/>
          <c:w val="0.89152983855835322"/>
          <c:h val="0.85595638681893982"/>
        </c:manualLayout>
      </c:layout>
      <c:lineChart>
        <c:grouping val="standard"/>
        <c:varyColors val="0"/>
        <c:ser>
          <c:idx val="1"/>
          <c:order val="0"/>
          <c:tx>
            <c:v> Oversterfte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8E5-714A-9CA1-9ADF7DD235BF}"/>
            </c:ext>
          </c:extLst>
        </c:ser>
        <c:ser>
          <c:idx val="4"/>
          <c:order val="1"/>
          <c:tx>
            <c:v> Covid-19 overlijdens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VE!$U$2:$U$105</c:f>
              <c:numCache>
                <c:formatCode>0.00</c:formatCode>
                <c:ptCount val="104"/>
                <c:pt idx="0">
                  <c:v>6.4325842696629216</c:v>
                </c:pt>
                <c:pt idx="1">
                  <c:v>5.9082397003745326</c:v>
                </c:pt>
                <c:pt idx="2">
                  <c:v>5.3033707865168536</c:v>
                </c:pt>
                <c:pt idx="3">
                  <c:v>4.7584269662921352</c:v>
                </c:pt>
                <c:pt idx="4">
                  <c:v>4.2097378277153563</c:v>
                </c:pt>
                <c:pt idx="5">
                  <c:v>3.8913857677902621</c:v>
                </c:pt>
                <c:pt idx="6">
                  <c:v>3.4550561797752808</c:v>
                </c:pt>
                <c:pt idx="7">
                  <c:v>2.9531835205992509</c:v>
                </c:pt>
                <c:pt idx="8">
                  <c:v>2.4531835205992509</c:v>
                </c:pt>
                <c:pt idx="9">
                  <c:v>2.1722846441947565</c:v>
                </c:pt>
                <c:pt idx="10">
                  <c:v>2.0074906367041199</c:v>
                </c:pt>
                <c:pt idx="11">
                  <c:v>1.9719101123595506</c:v>
                </c:pt>
                <c:pt idx="12">
                  <c:v>1.9307116104868915</c:v>
                </c:pt>
                <c:pt idx="13">
                  <c:v>1.949438202247191</c:v>
                </c:pt>
                <c:pt idx="14">
                  <c:v>1.8277153558052432</c:v>
                </c:pt>
                <c:pt idx="15">
                  <c:v>1.8052434456928839</c:v>
                </c:pt>
                <c:pt idx="16">
                  <c:v>1.687265917602996</c:v>
                </c:pt>
                <c:pt idx="17">
                  <c:v>1.5786516853932584</c:v>
                </c:pt>
                <c:pt idx="18">
                  <c:v>1.3389513108614233</c:v>
                </c:pt>
                <c:pt idx="19">
                  <c:v>1.0262172284644193</c:v>
                </c:pt>
                <c:pt idx="20">
                  <c:v>0.78838951310861427</c:v>
                </c:pt>
                <c:pt idx="21">
                  <c:v>0.55243445692883897</c:v>
                </c:pt>
                <c:pt idx="22">
                  <c:v>0.43258426966292135</c:v>
                </c:pt>
                <c:pt idx="23">
                  <c:v>0.26591760299625472</c:v>
                </c:pt>
                <c:pt idx="24">
                  <c:v>0.18913857677902621</c:v>
                </c:pt>
                <c:pt idx="25">
                  <c:v>0.13295880149812736</c:v>
                </c:pt>
                <c:pt idx="26">
                  <c:v>0.11797752808988764</c:v>
                </c:pt>
                <c:pt idx="27">
                  <c:v>0.20224719101123595</c:v>
                </c:pt>
                <c:pt idx="28">
                  <c:v>0.29962546816479402</c:v>
                </c:pt>
                <c:pt idx="29">
                  <c:v>0.46816479400749061</c:v>
                </c:pt>
                <c:pt idx="30">
                  <c:v>0.53183520599250944</c:v>
                </c:pt>
                <c:pt idx="31">
                  <c:v>0.56928838951310856</c:v>
                </c:pt>
                <c:pt idx="32">
                  <c:v>0.56367041198501866</c:v>
                </c:pt>
                <c:pt idx="33">
                  <c:v>0.53558052434456926</c:v>
                </c:pt>
                <c:pt idx="34">
                  <c:v>0.53558052434456926</c:v>
                </c:pt>
                <c:pt idx="35">
                  <c:v>0.51498127340823974</c:v>
                </c:pt>
                <c:pt idx="36">
                  <c:v>0.46629213483146065</c:v>
                </c:pt>
                <c:pt idx="37">
                  <c:v>0.4044943820224719</c:v>
                </c:pt>
                <c:pt idx="38">
                  <c:v>0.36891385767790263</c:v>
                </c:pt>
                <c:pt idx="39">
                  <c:v>0.44756554307116109</c:v>
                </c:pt>
                <c:pt idx="40">
                  <c:v>0.65543071161048694</c:v>
                </c:pt>
                <c:pt idx="41">
                  <c:v>1.0730337078651686</c:v>
                </c:pt>
                <c:pt idx="42">
                  <c:v>1.646067415730337</c:v>
                </c:pt>
                <c:pt idx="43">
                  <c:v>2.3726591760299622</c:v>
                </c:pt>
                <c:pt idx="44">
                  <c:v>3.3614232209737831</c:v>
                </c:pt>
                <c:pt idx="45">
                  <c:v>4.5168539325842696</c:v>
                </c:pt>
                <c:pt idx="46">
                  <c:v>5.4925093632958797</c:v>
                </c:pt>
                <c:pt idx="47">
                  <c:v>5.9194756554307117</c:v>
                </c:pt>
                <c:pt idx="48">
                  <c:v>5.4625468164794011</c:v>
                </c:pt>
                <c:pt idx="49">
                  <c:v>4.5561797752808992</c:v>
                </c:pt>
                <c:pt idx="50">
                  <c:v>3.3558052434456931</c:v>
                </c:pt>
                <c:pt idx="51">
                  <c:v>2.4456928838951311</c:v>
                </c:pt>
                <c:pt idx="52">
                  <c:v>1.752808988764045</c:v>
                </c:pt>
                <c:pt idx="53">
                  <c:v>1.3127340823970037</c:v>
                </c:pt>
                <c:pt idx="54">
                  <c:v>1.1067415730337078</c:v>
                </c:pt>
                <c:pt idx="55">
                  <c:v>1.1310861423220975</c:v>
                </c:pt>
                <c:pt idx="56">
                  <c:v>1.3089887640449438</c:v>
                </c:pt>
                <c:pt idx="57">
                  <c:v>1.5056179775280898</c:v>
                </c:pt>
                <c:pt idx="58">
                  <c:v>1.5299625468164793</c:v>
                </c:pt>
                <c:pt idx="59">
                  <c:v>1.4569288389513106</c:v>
                </c:pt>
                <c:pt idx="60">
                  <c:v>1.5</c:v>
                </c:pt>
                <c:pt idx="61">
                  <c:v>1.7958801498127341</c:v>
                </c:pt>
                <c:pt idx="62">
                  <c:v>2.0842696629213484</c:v>
                </c:pt>
                <c:pt idx="63">
                  <c:v>2.1385767790262173</c:v>
                </c:pt>
                <c:pt idx="64">
                  <c:v>1.9176029962546814</c:v>
                </c:pt>
                <c:pt idx="65">
                  <c:v>1.6142322097378277</c:v>
                </c:pt>
                <c:pt idx="66">
                  <c:v>1.2883895131086143</c:v>
                </c:pt>
                <c:pt idx="67">
                  <c:v>0.95692883895131087</c:v>
                </c:pt>
                <c:pt idx="68">
                  <c:v>0.66479400749063666</c:v>
                </c:pt>
                <c:pt idx="69">
                  <c:v>0.46254681647940071</c:v>
                </c:pt>
                <c:pt idx="70">
                  <c:v>0.34644194756554308</c:v>
                </c:pt>
                <c:pt idx="71">
                  <c:v>0.29213483146067415</c:v>
                </c:pt>
                <c:pt idx="72">
                  <c:v>0.23220973782771537</c:v>
                </c:pt>
                <c:pt idx="73">
                  <c:v>0.18726591760299627</c:v>
                </c:pt>
                <c:pt idx="74">
                  <c:v>0.24531835205992508</c:v>
                </c:pt>
                <c:pt idx="75">
                  <c:v>0.3202247191011236</c:v>
                </c:pt>
                <c:pt idx="76">
                  <c:v>0.550561797752809</c:v>
                </c:pt>
                <c:pt idx="77">
                  <c:v>0.61048689138576784</c:v>
                </c:pt>
                <c:pt idx="78">
                  <c:v>0.77340823970037453</c:v>
                </c:pt>
                <c:pt idx="79">
                  <c:v>0.83333333333333337</c:v>
                </c:pt>
                <c:pt idx="80">
                  <c:v>0.97940074906367047</c:v>
                </c:pt>
                <c:pt idx="81">
                  <c:v>0.9606741573033708</c:v>
                </c:pt>
                <c:pt idx="82">
                  <c:v>0.86142322097378288</c:v>
                </c:pt>
                <c:pt idx="83">
                  <c:v>0.7078651685393258</c:v>
                </c:pt>
                <c:pt idx="84">
                  <c:v>0.59176029962546817</c:v>
                </c:pt>
                <c:pt idx="85">
                  <c:v>0.46441947565543074</c:v>
                </c:pt>
                <c:pt idx="86">
                  <c:v>0.4101123595505618</c:v>
                </c:pt>
                <c:pt idx="87">
                  <c:v>0.35767790262172283</c:v>
                </c:pt>
                <c:pt idx="88">
                  <c:v>0.34831460674157305</c:v>
                </c:pt>
                <c:pt idx="89">
                  <c:v>0.40823970037453189</c:v>
                </c:pt>
                <c:pt idx="90">
                  <c:v>0.62172284644194764</c:v>
                </c:pt>
                <c:pt idx="91">
                  <c:v>0.88014981273408233</c:v>
                </c:pt>
                <c:pt idx="92">
                  <c:v>1.1086142322097379</c:v>
                </c:pt>
                <c:pt idx="93">
                  <c:v>1.1217228464419475</c:v>
                </c:pt>
                <c:pt idx="94">
                  <c:v>0.96254681647940077</c:v>
                </c:pt>
                <c:pt idx="95">
                  <c:v>0.72284644194756553</c:v>
                </c:pt>
                <c:pt idx="96">
                  <c:v>0.53558052434456926</c:v>
                </c:pt>
                <c:pt idx="97">
                  <c:v>0.45131086142322097</c:v>
                </c:pt>
                <c:pt idx="98">
                  <c:v>0.42322097378277151</c:v>
                </c:pt>
                <c:pt idx="99">
                  <c:v>0.449438202247191</c:v>
                </c:pt>
                <c:pt idx="100">
                  <c:v>0.5449438202247191</c:v>
                </c:pt>
                <c:pt idx="101">
                  <c:v>0.67041198501872656</c:v>
                </c:pt>
                <c:pt idx="102">
                  <c:v>0.797752808988764</c:v>
                </c:pt>
                <c:pt idx="103">
                  <c:v>0.8679775280898876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AB-3D4B-AEE1-F5D56708F1B6}"/>
            </c:ext>
          </c:extLst>
        </c:ser>
        <c:ser>
          <c:idx val="0"/>
          <c:order val="2"/>
          <c:tx>
            <c:v> Covid-19 voorkomen</c:v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VE!$T$2:$T$105</c:f>
              <c:numCache>
                <c:formatCode>General</c:formatCode>
                <c:ptCount val="104"/>
                <c:pt idx="3" formatCode="0.00">
                  <c:v>2.7090054374532052E-3</c:v>
                </c:pt>
                <c:pt idx="4" formatCode="0.00">
                  <c:v>-2.2858487919307748E-2</c:v>
                </c:pt>
                <c:pt idx="5" formatCode="0.00">
                  <c:v>-4.7887706942848648E-2</c:v>
                </c:pt>
                <c:pt idx="6" formatCode="0.00">
                  <c:v>-0.22312714443955747</c:v>
                </c:pt>
                <c:pt idx="7" formatCode="0.00">
                  <c:v>-0.1947131618803121</c:v>
                </c:pt>
                <c:pt idx="8" formatCode="0.00">
                  <c:v>-6.4054298789685993E-2</c:v>
                </c:pt>
                <c:pt idx="9" formatCode="0.00">
                  <c:v>8.7055220503052755E-2</c:v>
                </c:pt>
                <c:pt idx="10" formatCode="0.00">
                  <c:v>0.18306171200638577</c:v>
                </c:pt>
                <c:pt idx="11" formatCode="0.00">
                  <c:v>0.28778622650866809</c:v>
                </c:pt>
                <c:pt idx="12" formatCode="0.00">
                  <c:v>0.3324165977018671</c:v>
                </c:pt>
                <c:pt idx="13" formatCode="0.00">
                  <c:v>0.42884124961791376</c:v>
                </c:pt>
                <c:pt idx="14" formatCode="0.00">
                  <c:v>0.4838583388856178</c:v>
                </c:pt>
                <c:pt idx="15" formatCode="0.00">
                  <c:v>0.56969362775541432</c:v>
                </c:pt>
                <c:pt idx="16" formatCode="0.00">
                  <c:v>0.60900644229990075</c:v>
                </c:pt>
                <c:pt idx="17" formatCode="0.00">
                  <c:v>0.56818100103771851</c:v>
                </c:pt>
                <c:pt idx="18" formatCode="0.00">
                  <c:v>0.49314024297388498</c:v>
                </c:pt>
                <c:pt idx="19" formatCode="0.00">
                  <c:v>0.46532803780122428</c:v>
                </c:pt>
                <c:pt idx="20" formatCode="0.00">
                  <c:v>0.42993806693281489</c:v>
                </c:pt>
                <c:pt idx="21" formatCode="0.00">
                  <c:v>0.37533711046448187</c:v>
                </c:pt>
                <c:pt idx="22" formatCode="0.00">
                  <c:v>0.35484714633970676</c:v>
                </c:pt>
                <c:pt idx="23" formatCode="0.00">
                  <c:v>0.29704096838641725</c:v>
                </c:pt>
                <c:pt idx="24" formatCode="0.00">
                  <c:v>0.22747636465798679</c:v>
                </c:pt>
                <c:pt idx="25" formatCode="0.00">
                  <c:v>0.11702863319073722</c:v>
                </c:pt>
                <c:pt idx="26" formatCode="0.00">
                  <c:v>0.10479459025822772</c:v>
                </c:pt>
                <c:pt idx="27" formatCode="0.00">
                  <c:v>0.18146893645770015</c:v>
                </c:pt>
                <c:pt idx="28" formatCode="0.00">
                  <c:v>0.23614128298515405</c:v>
                </c:pt>
                <c:pt idx="29" formatCode="0.00">
                  <c:v>0.37223886687285329</c:v>
                </c:pt>
                <c:pt idx="30" formatCode="0.00">
                  <c:v>0.42493384911614118</c:v>
                </c:pt>
                <c:pt idx="31" formatCode="0.00">
                  <c:v>0.48332378237542645</c:v>
                </c:pt>
                <c:pt idx="32" formatCode="0.00">
                  <c:v>0.51151239604397503</c:v>
                </c:pt>
                <c:pt idx="33" formatCode="0.00">
                  <c:v>0.51775388241647036</c:v>
                </c:pt>
                <c:pt idx="34" formatCode="0.00">
                  <c:v>0.50683755519865858</c:v>
                </c:pt>
                <c:pt idx="35" formatCode="0.00">
                  <c:v>0.42475434565074061</c:v>
                </c:pt>
                <c:pt idx="36" formatCode="0.00">
                  <c:v>0.35751285332825733</c:v>
                </c:pt>
                <c:pt idx="37" formatCode="0.00">
                  <c:v>0.34828155443025427</c:v>
                </c:pt>
                <c:pt idx="38" formatCode="0.00">
                  <c:v>0.42889662155090758</c:v>
                </c:pt>
                <c:pt idx="39" formatCode="0.00">
                  <c:v>0.49697151151036079</c:v>
                </c:pt>
                <c:pt idx="40" formatCode="0.00">
                  <c:v>0.3991037217566657</c:v>
                </c:pt>
                <c:pt idx="41" formatCode="0.00">
                  <c:v>0.43329672497600791</c:v>
                </c:pt>
                <c:pt idx="42" formatCode="0.00">
                  <c:v>0.52533892246793368</c:v>
                </c:pt>
                <c:pt idx="43" formatCode="0.00">
                  <c:v>0.80104073387415586</c:v>
                </c:pt>
                <c:pt idx="44" formatCode="0.00">
                  <c:v>0.9135906494245446</c:v>
                </c:pt>
                <c:pt idx="45" formatCode="0.00">
                  <c:v>1.0356580861767093</c:v>
                </c:pt>
                <c:pt idx="46" formatCode="0.00">
                  <c:v>1.1266476930108484</c:v>
                </c:pt>
                <c:pt idx="47" formatCode="0.00">
                  <c:v>1.2507570726831669</c:v>
                </c:pt>
                <c:pt idx="48" formatCode="0.00">
                  <c:v>1.5570290524537826</c:v>
                </c:pt>
                <c:pt idx="49" formatCode="0.00">
                  <c:v>1.9074642897755987</c:v>
                </c:pt>
                <c:pt idx="50" formatCode="0.00">
                  <c:v>2.035621768922284</c:v>
                </c:pt>
                <c:pt idx="51" formatCode="0.00">
                  <c:v>2.1064019881843321</c:v>
                </c:pt>
                <c:pt idx="52" formatCode="0.00">
                  <c:v>1.9398194396321948</c:v>
                </c:pt>
                <c:pt idx="53" formatCode="0.00">
                  <c:v>1.8833802341857502</c:v>
                </c:pt>
                <c:pt idx="54" formatCode="0.00">
                  <c:v>1.5725169940342059</c:v>
                </c:pt>
                <c:pt idx="55" formatCode="0.00">
                  <c:v>1.4978730944458101</c:v>
                </c:pt>
                <c:pt idx="56" formatCode="0.00">
                  <c:v>1.8055593580910219</c:v>
                </c:pt>
                <c:pt idx="57" formatCode="0.00">
                  <c:v>1.9997383027408469</c:v>
                </c:pt>
                <c:pt idx="58" formatCode="0.00">
                  <c:v>2.2194378120030067</c:v>
                </c:pt>
                <c:pt idx="59" formatCode="0.00">
                  <c:v>1.8851123714389775</c:v>
                </c:pt>
                <c:pt idx="60" formatCode="0.00">
                  <c:v>1.592793625711596</c:v>
                </c:pt>
                <c:pt idx="61" formatCode="0.00">
                  <c:v>1.368179729755606</c:v>
                </c:pt>
                <c:pt idx="62" formatCode="0.00">
                  <c:v>1.1785712994859903</c:v>
                </c:pt>
                <c:pt idx="63" formatCode="0.00">
                  <c:v>1.0206088440773853</c:v>
                </c:pt>
                <c:pt idx="64" formatCode="0.00">
                  <c:v>0.78264591539067763</c:v>
                </c:pt>
                <c:pt idx="65" formatCode="0.00">
                  <c:v>0.55703832648912266</c:v>
                </c:pt>
                <c:pt idx="66" formatCode="0.00">
                  <c:v>0.35171914855007036</c:v>
                </c:pt>
                <c:pt idx="67" formatCode="0.00">
                  <c:v>0.15041285969592086</c:v>
                </c:pt>
                <c:pt idx="68" formatCode="0.00">
                  <c:v>5.6215126460159902E-3</c:v>
                </c:pt>
                <c:pt idx="69" formatCode="0.00">
                  <c:v>0.11289986163737394</c:v>
                </c:pt>
                <c:pt idx="70" formatCode="0.00">
                  <c:v>4.8408955747687755E-2</c:v>
                </c:pt>
                <c:pt idx="71" formatCode="0.00">
                  <c:v>0.14741487555036567</c:v>
                </c:pt>
                <c:pt idx="72" formatCode="0.00">
                  <c:v>3.2952168505983058E-2</c:v>
                </c:pt>
                <c:pt idx="73" formatCode="0.00">
                  <c:v>5.7270194051947762E-2</c:v>
                </c:pt>
                <c:pt idx="74" formatCode="0.00">
                  <c:v>-1.8001506461906923E-2</c:v>
                </c:pt>
                <c:pt idx="75" formatCode="0.00">
                  <c:v>-4.8105341011196151E-2</c:v>
                </c:pt>
                <c:pt idx="76" formatCode="0.00">
                  <c:v>-3.7784048042590002E-2</c:v>
                </c:pt>
                <c:pt idx="77" formatCode="0.00">
                  <c:v>2.9571523937922044E-2</c:v>
                </c:pt>
                <c:pt idx="78" formatCode="0.00">
                  <c:v>7.8246466481878149E-2</c:v>
                </c:pt>
                <c:pt idx="79" formatCode="0.00">
                  <c:v>0.10893508938057803</c:v>
                </c:pt>
                <c:pt idx="80" formatCode="0.00">
                  <c:v>0.12073277509283101</c:v>
                </c:pt>
                <c:pt idx="81" formatCode="0.00">
                  <c:v>6.5202024461843866E-2</c:v>
                </c:pt>
                <c:pt idx="82" formatCode="0.00">
                  <c:v>-1.5609633300076357E-2</c:v>
                </c:pt>
                <c:pt idx="83" formatCode="0.00">
                  <c:v>-7.3298905065423151E-2</c:v>
                </c:pt>
                <c:pt idx="84" formatCode="0.00">
                  <c:v>-1.4303729447584309E-2</c:v>
                </c:pt>
                <c:pt idx="85" formatCode="0.00">
                  <c:v>-7.506611462152124E-2</c:v>
                </c:pt>
                <c:pt idx="86" formatCode="0.00">
                  <c:v>-7.0262041604533101E-2</c:v>
                </c:pt>
                <c:pt idx="87" formatCode="0.00">
                  <c:v>-5.2512402198510721E-2</c:v>
                </c:pt>
                <c:pt idx="88" formatCode="0.00">
                  <c:v>5.2455825707410558E-2</c:v>
                </c:pt>
                <c:pt idx="89" formatCode="0.00">
                  <c:v>-1.1407042381566172E-2</c:v>
                </c:pt>
                <c:pt idx="90" formatCode="0.00">
                  <c:v>-2.2225246491209626E-2</c:v>
                </c:pt>
                <c:pt idx="91" formatCode="0.00">
                  <c:v>-0.14545543790770421</c:v>
                </c:pt>
                <c:pt idx="92" formatCode="0.00">
                  <c:v>-5.3562498120544283E-2</c:v>
                </c:pt>
                <c:pt idx="93" formatCode="0.00">
                  <c:v>9.5296923838623274E-2</c:v>
                </c:pt>
                <c:pt idx="94" formatCode="0.00">
                  <c:v>0.24185219789229015</c:v>
                </c:pt>
                <c:pt idx="95" formatCode="0.00">
                  <c:v>0.262340178886382</c:v>
                </c:pt>
                <c:pt idx="96" formatCode="0.00">
                  <c:v>0.11662037183951257</c:v>
                </c:pt>
                <c:pt idx="97" formatCode="0.00">
                  <c:v>2.1734016663034168E-2</c:v>
                </c:pt>
                <c:pt idx="98" formatCode="0.00">
                  <c:v>-9.086686651891597E-2</c:v>
                </c:pt>
                <c:pt idx="99" formatCode="0.00">
                  <c:v>-3.3341585091151212E-2</c:v>
                </c:pt>
                <c:pt idx="100" formatCode="0.00">
                  <c:v>-2.8369392462806706E-2</c:v>
                </c:pt>
                <c:pt idx="101" formatCode="0.00">
                  <c:v>0.12591599793382924</c:v>
                </c:pt>
                <c:pt idx="102" formatCode="0.00">
                  <c:v>0.1633255076254245</c:v>
                </c:pt>
                <c:pt idx="103" formatCode="0.00">
                  <c:v>0.27822055625836423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4AB-3D4B-AEE1-F5D56708F1B6}"/>
            </c:ext>
          </c:extLst>
        </c:ser>
        <c:ser>
          <c:idx val="3"/>
          <c:order val="3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AB-3D4B-AEE1-F5D56708F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3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 /week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63548102383053839"/>
          <c:y val="0.10459711637921935"/>
          <c:w val="0.24061836048470661"/>
          <c:h val="0.16490785501678243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40269370565222E-2"/>
          <c:y val="8.1849865951742623E-2"/>
          <c:w val="0.90565163908792068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6A3-D64A-821D-4936D872D939}"/>
            </c:ext>
          </c:extLst>
        </c:ser>
        <c:ser>
          <c:idx val="0"/>
          <c:order val="1"/>
          <c:tx>
            <c:v> Covid-19  voorkomen</c:v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VE!$T$2:$T$105</c:f>
              <c:numCache>
                <c:formatCode>General</c:formatCode>
                <c:ptCount val="104"/>
                <c:pt idx="3" formatCode="0.00">
                  <c:v>2.7090054374532052E-3</c:v>
                </c:pt>
                <c:pt idx="4" formatCode="0.00">
                  <c:v>-2.2858487919307748E-2</c:v>
                </c:pt>
                <c:pt idx="5" formatCode="0.00">
                  <c:v>-4.7887706942848648E-2</c:v>
                </c:pt>
                <c:pt idx="6" formatCode="0.00">
                  <c:v>-0.22312714443955747</c:v>
                </c:pt>
                <c:pt idx="7" formatCode="0.00">
                  <c:v>-0.1947131618803121</c:v>
                </c:pt>
                <c:pt idx="8" formatCode="0.00">
                  <c:v>-6.4054298789685993E-2</c:v>
                </c:pt>
                <c:pt idx="9" formatCode="0.00">
                  <c:v>8.7055220503052755E-2</c:v>
                </c:pt>
                <c:pt idx="10" formatCode="0.00">
                  <c:v>0.18306171200638577</c:v>
                </c:pt>
                <c:pt idx="11" formatCode="0.00">
                  <c:v>0.28778622650866809</c:v>
                </c:pt>
                <c:pt idx="12" formatCode="0.00">
                  <c:v>0.3324165977018671</c:v>
                </c:pt>
                <c:pt idx="13" formatCode="0.00">
                  <c:v>0.42884124961791376</c:v>
                </c:pt>
                <c:pt idx="14" formatCode="0.00">
                  <c:v>0.4838583388856178</c:v>
                </c:pt>
                <c:pt idx="15" formatCode="0.00">
                  <c:v>0.56969362775541432</c:v>
                </c:pt>
                <c:pt idx="16" formatCode="0.00">
                  <c:v>0.60900644229990075</c:v>
                </c:pt>
                <c:pt idx="17" formatCode="0.00">
                  <c:v>0.56818100103771851</c:v>
                </c:pt>
                <c:pt idx="18" formatCode="0.00">
                  <c:v>0.49314024297388498</c:v>
                </c:pt>
                <c:pt idx="19" formatCode="0.00">
                  <c:v>0.46532803780122428</c:v>
                </c:pt>
                <c:pt idx="20" formatCode="0.00">
                  <c:v>0.42993806693281489</c:v>
                </c:pt>
                <c:pt idx="21" formatCode="0.00">
                  <c:v>0.37533711046448187</c:v>
                </c:pt>
                <c:pt idx="22" formatCode="0.00">
                  <c:v>0.35484714633970676</c:v>
                </c:pt>
                <c:pt idx="23" formatCode="0.00">
                  <c:v>0.29704096838641725</c:v>
                </c:pt>
                <c:pt idx="24" formatCode="0.00">
                  <c:v>0.22747636465798679</c:v>
                </c:pt>
                <c:pt idx="25" formatCode="0.00">
                  <c:v>0.11702863319073722</c:v>
                </c:pt>
                <c:pt idx="26" formatCode="0.00">
                  <c:v>0.10479459025822772</c:v>
                </c:pt>
                <c:pt idx="27" formatCode="0.00">
                  <c:v>0.18146893645770015</c:v>
                </c:pt>
                <c:pt idx="28" formatCode="0.00">
                  <c:v>0.23614128298515405</c:v>
                </c:pt>
                <c:pt idx="29" formatCode="0.00">
                  <c:v>0.37223886687285329</c:v>
                </c:pt>
                <c:pt idx="30" formatCode="0.00">
                  <c:v>0.42493384911614118</c:v>
                </c:pt>
                <c:pt idx="31" formatCode="0.00">
                  <c:v>0.48332378237542645</c:v>
                </c:pt>
                <c:pt idx="32" formatCode="0.00">
                  <c:v>0.51151239604397503</c:v>
                </c:pt>
                <c:pt idx="33" formatCode="0.00">
                  <c:v>0.51775388241647036</c:v>
                </c:pt>
                <c:pt idx="34" formatCode="0.00">
                  <c:v>0.50683755519865858</c:v>
                </c:pt>
                <c:pt idx="35" formatCode="0.00">
                  <c:v>0.42475434565074061</c:v>
                </c:pt>
                <c:pt idx="36" formatCode="0.00">
                  <c:v>0.35751285332825733</c:v>
                </c:pt>
                <c:pt idx="37" formatCode="0.00">
                  <c:v>0.34828155443025427</c:v>
                </c:pt>
                <c:pt idx="38" formatCode="0.00">
                  <c:v>0.42889662155090758</c:v>
                </c:pt>
                <c:pt idx="39" formatCode="0.00">
                  <c:v>0.49697151151036079</c:v>
                </c:pt>
                <c:pt idx="40" formatCode="0.00">
                  <c:v>0.3991037217566657</c:v>
                </c:pt>
                <c:pt idx="41" formatCode="0.00">
                  <c:v>0.43329672497600791</c:v>
                </c:pt>
                <c:pt idx="42" formatCode="0.00">
                  <c:v>0.52533892246793368</c:v>
                </c:pt>
                <c:pt idx="43" formatCode="0.00">
                  <c:v>0.80104073387415586</c:v>
                </c:pt>
                <c:pt idx="44" formatCode="0.00">
                  <c:v>0.9135906494245446</c:v>
                </c:pt>
                <c:pt idx="45" formatCode="0.00">
                  <c:v>1.0356580861767093</c:v>
                </c:pt>
                <c:pt idx="46" formatCode="0.00">
                  <c:v>1.1266476930108484</c:v>
                </c:pt>
                <c:pt idx="47" formatCode="0.00">
                  <c:v>1.2507570726831669</c:v>
                </c:pt>
                <c:pt idx="48" formatCode="0.00">
                  <c:v>1.5570290524537826</c:v>
                </c:pt>
                <c:pt idx="49" formatCode="0.00">
                  <c:v>1.9074642897755987</c:v>
                </c:pt>
                <c:pt idx="50" formatCode="0.00">
                  <c:v>2.035621768922284</c:v>
                </c:pt>
                <c:pt idx="51" formatCode="0.00">
                  <c:v>2.1064019881843321</c:v>
                </c:pt>
                <c:pt idx="52" formatCode="0.00">
                  <c:v>1.9398194396321948</c:v>
                </c:pt>
                <c:pt idx="53" formatCode="0.00">
                  <c:v>1.8833802341857502</c:v>
                </c:pt>
                <c:pt idx="54" formatCode="0.00">
                  <c:v>1.5725169940342059</c:v>
                </c:pt>
                <c:pt idx="55" formatCode="0.00">
                  <c:v>1.4978730944458101</c:v>
                </c:pt>
                <c:pt idx="56" formatCode="0.00">
                  <c:v>1.8055593580910219</c:v>
                </c:pt>
                <c:pt idx="57" formatCode="0.00">
                  <c:v>1.9997383027408469</c:v>
                </c:pt>
                <c:pt idx="58" formatCode="0.00">
                  <c:v>2.2194378120030067</c:v>
                </c:pt>
                <c:pt idx="59" formatCode="0.00">
                  <c:v>1.8851123714389775</c:v>
                </c:pt>
                <c:pt idx="60" formatCode="0.00">
                  <c:v>1.592793625711596</c:v>
                </c:pt>
                <c:pt idx="61" formatCode="0.00">
                  <c:v>1.368179729755606</c:v>
                </c:pt>
                <c:pt idx="62" formatCode="0.00">
                  <c:v>1.1785712994859903</c:v>
                </c:pt>
                <c:pt idx="63" formatCode="0.00">
                  <c:v>1.0206088440773853</c:v>
                </c:pt>
                <c:pt idx="64" formatCode="0.00">
                  <c:v>0.78264591539067763</c:v>
                </c:pt>
                <c:pt idx="65" formatCode="0.00">
                  <c:v>0.55703832648912266</c:v>
                </c:pt>
                <c:pt idx="66" formatCode="0.00">
                  <c:v>0.35171914855007036</c:v>
                </c:pt>
                <c:pt idx="67" formatCode="0.00">
                  <c:v>0.15041285969592086</c:v>
                </c:pt>
                <c:pt idx="68" formatCode="0.00">
                  <c:v>5.6215126460159902E-3</c:v>
                </c:pt>
                <c:pt idx="69" formatCode="0.00">
                  <c:v>0.11289986163737394</c:v>
                </c:pt>
                <c:pt idx="70" formatCode="0.00">
                  <c:v>4.8408955747687755E-2</c:v>
                </c:pt>
                <c:pt idx="71" formatCode="0.00">
                  <c:v>0.14741487555036567</c:v>
                </c:pt>
                <c:pt idx="72" formatCode="0.00">
                  <c:v>3.2952168505983058E-2</c:v>
                </c:pt>
                <c:pt idx="73" formatCode="0.00">
                  <c:v>5.7270194051947762E-2</c:v>
                </c:pt>
                <c:pt idx="74" formatCode="0.00">
                  <c:v>-1.8001506461906923E-2</c:v>
                </c:pt>
                <c:pt idx="75" formatCode="0.00">
                  <c:v>-4.8105341011196151E-2</c:v>
                </c:pt>
                <c:pt idx="76" formatCode="0.00">
                  <c:v>-3.7784048042590002E-2</c:v>
                </c:pt>
                <c:pt idx="77" formatCode="0.00">
                  <c:v>2.9571523937922044E-2</c:v>
                </c:pt>
                <c:pt idx="78" formatCode="0.00">
                  <c:v>7.8246466481878149E-2</c:v>
                </c:pt>
                <c:pt idx="79" formatCode="0.00">
                  <c:v>0.10893508938057803</c:v>
                </c:pt>
                <c:pt idx="80" formatCode="0.00">
                  <c:v>0.12073277509283101</c:v>
                </c:pt>
                <c:pt idx="81" formatCode="0.00">
                  <c:v>6.5202024461843866E-2</c:v>
                </c:pt>
                <c:pt idx="82" formatCode="0.00">
                  <c:v>-1.5609633300076357E-2</c:v>
                </c:pt>
                <c:pt idx="83" formatCode="0.00">
                  <c:v>-7.3298905065423151E-2</c:v>
                </c:pt>
                <c:pt idx="84" formatCode="0.00">
                  <c:v>-1.4303729447584309E-2</c:v>
                </c:pt>
                <c:pt idx="85" formatCode="0.00">
                  <c:v>-7.506611462152124E-2</c:v>
                </c:pt>
                <c:pt idx="86" formatCode="0.00">
                  <c:v>-7.0262041604533101E-2</c:v>
                </c:pt>
                <c:pt idx="87" formatCode="0.00">
                  <c:v>-5.2512402198510721E-2</c:v>
                </c:pt>
                <c:pt idx="88" formatCode="0.00">
                  <c:v>5.2455825707410558E-2</c:v>
                </c:pt>
                <c:pt idx="89" formatCode="0.00">
                  <c:v>-1.1407042381566172E-2</c:v>
                </c:pt>
                <c:pt idx="90" formatCode="0.00">
                  <c:v>-2.2225246491209626E-2</c:v>
                </c:pt>
                <c:pt idx="91" formatCode="0.00">
                  <c:v>-0.14545543790770421</c:v>
                </c:pt>
                <c:pt idx="92" formatCode="0.00">
                  <c:v>-5.3562498120544283E-2</c:v>
                </c:pt>
                <c:pt idx="93" formatCode="0.00">
                  <c:v>9.5296923838623274E-2</c:v>
                </c:pt>
                <c:pt idx="94" formatCode="0.00">
                  <c:v>0.24185219789229015</c:v>
                </c:pt>
                <c:pt idx="95" formatCode="0.00">
                  <c:v>0.262340178886382</c:v>
                </c:pt>
                <c:pt idx="96" formatCode="0.00">
                  <c:v>0.11662037183951257</c:v>
                </c:pt>
                <c:pt idx="97" formatCode="0.00">
                  <c:v>2.1734016663034168E-2</c:v>
                </c:pt>
                <c:pt idx="98" formatCode="0.00">
                  <c:v>-9.086686651891597E-2</c:v>
                </c:pt>
                <c:pt idx="99" formatCode="0.00">
                  <c:v>-3.3341585091151212E-2</c:v>
                </c:pt>
                <c:pt idx="100" formatCode="0.00">
                  <c:v>-2.8369392462806706E-2</c:v>
                </c:pt>
                <c:pt idx="101" formatCode="0.00">
                  <c:v>0.12591599793382924</c:v>
                </c:pt>
                <c:pt idx="102" formatCode="0.00">
                  <c:v>0.1633255076254245</c:v>
                </c:pt>
                <c:pt idx="103" formatCode="0.00">
                  <c:v>0.27822055625836423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6A3-D64A-821D-4936D872D939}"/>
            </c:ext>
          </c:extLst>
        </c:ser>
        <c:ser>
          <c:idx val="3"/>
          <c:order val="2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3-D64A-821D-4936D872D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2"/>
        <c:delete val="1"/>
      </c:legendEntry>
      <c:layout>
        <c:manualLayout>
          <c:xMode val="edge"/>
          <c:yMode val="edge"/>
          <c:x val="0.63548102383053839"/>
          <c:y val="0.10459711637921935"/>
          <c:w val="0.28187127756426739"/>
          <c:h val="0.13840577568554602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Overlijdens per 100.000 inwoners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1640269370565222E-2"/>
          <c:y val="8.1849865951742623E-2"/>
          <c:w val="0.90565163908792068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08-1B4E-97F8-A7679896C60D}"/>
            </c:ext>
          </c:extLst>
        </c:ser>
        <c:ser>
          <c:idx val="1"/>
          <c:order val="1"/>
          <c:tx>
            <c:v> Oversterfte prognose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VE!$V$2:$V$105</c:f>
              <c:numCache>
                <c:formatCode>0.0</c:formatCode>
                <c:ptCount val="104"/>
                <c:pt idx="0">
                  <c:v>0</c:v>
                </c:pt>
                <c:pt idx="1">
                  <c:v>4.2499719101122733E-2</c:v>
                </c:pt>
                <c:pt idx="2">
                  <c:v>7.5641221910112216E-2</c:v>
                </c:pt>
                <c:pt idx="3">
                  <c:v>0.11817176966292094</c:v>
                </c:pt>
                <c:pt idx="4">
                  <c:v>0.14427006671348186</c:v>
                </c:pt>
                <c:pt idx="5">
                  <c:v>0.15189919241572947</c:v>
                </c:pt>
                <c:pt idx="6">
                  <c:v>0.17283870259831455</c:v>
                </c:pt>
                <c:pt idx="7">
                  <c:v>0.19513539325842705</c:v>
                </c:pt>
                <c:pt idx="8">
                  <c:v>0.18001432584269683</c:v>
                </c:pt>
                <c:pt idx="9">
                  <c:v>0.14680346734550606</c:v>
                </c:pt>
                <c:pt idx="10">
                  <c:v>0.1331456899578653</c:v>
                </c:pt>
                <c:pt idx="11">
                  <c:v>0.1795173806179767</c:v>
                </c:pt>
                <c:pt idx="12">
                  <c:v>0.26640535463483039</c:v>
                </c:pt>
                <c:pt idx="13">
                  <c:v>0.36556061709560611</c:v>
                </c:pt>
                <c:pt idx="14">
                  <c:v>0.45661150299168368</c:v>
                </c:pt>
                <c:pt idx="15">
                  <c:v>0.47148643099286747</c:v>
                </c:pt>
                <c:pt idx="16">
                  <c:v>0.4611944965658325</c:v>
                </c:pt>
                <c:pt idx="17">
                  <c:v>0.51386724565621045</c:v>
                </c:pt>
                <c:pt idx="18">
                  <c:v>0.61367216736346464</c:v>
                </c:pt>
                <c:pt idx="19">
                  <c:v>0.67750618858527001</c:v>
                </c:pt>
                <c:pt idx="20">
                  <c:v>0.68472813733316817</c:v>
                </c:pt>
                <c:pt idx="21">
                  <c:v>0.73131816524627946</c:v>
                </c:pt>
                <c:pt idx="22">
                  <c:v>0.77253548093033886</c:v>
                </c:pt>
                <c:pt idx="23">
                  <c:v>0.67106222839741936</c:v>
                </c:pt>
                <c:pt idx="24">
                  <c:v>0.50545271476887776</c:v>
                </c:pt>
                <c:pt idx="25">
                  <c:v>0.43564643862596447</c:v>
                </c:pt>
                <c:pt idx="26">
                  <c:v>0.43584893308668698</c:v>
                </c:pt>
                <c:pt idx="27">
                  <c:v>0.34949725858215724</c:v>
                </c:pt>
                <c:pt idx="28">
                  <c:v>0.19819477794828097</c:v>
                </c:pt>
                <c:pt idx="29">
                  <c:v>0.14526814341343272</c:v>
                </c:pt>
                <c:pt idx="30">
                  <c:v>0.16311889740848942</c:v>
                </c:pt>
                <c:pt idx="31">
                  <c:v>0.19433131797281031</c:v>
                </c:pt>
                <c:pt idx="32">
                  <c:v>0.25575454485256865</c:v>
                </c:pt>
                <c:pt idx="33">
                  <c:v>0.31605612155930762</c:v>
                </c:pt>
                <c:pt idx="34">
                  <c:v>0.36519044158121222</c:v>
                </c:pt>
                <c:pt idx="35">
                  <c:v>0.4239912779043582</c:v>
                </c:pt>
                <c:pt idx="36">
                  <c:v>0.49436738782468415</c:v>
                </c:pt>
                <c:pt idx="37">
                  <c:v>0.5616271015044656</c:v>
                </c:pt>
                <c:pt idx="38">
                  <c:v>0.62581033730925728</c:v>
                </c:pt>
                <c:pt idx="39">
                  <c:v>0.6876800949873364</c:v>
                </c:pt>
                <c:pt idx="40">
                  <c:v>0.73585685283008806</c:v>
                </c:pt>
                <c:pt idx="41">
                  <c:v>0.92697493398011588</c:v>
                </c:pt>
                <c:pt idx="42">
                  <c:v>1.3461565574020156</c:v>
                </c:pt>
                <c:pt idx="43">
                  <c:v>1.8104388145905934</c:v>
                </c:pt>
                <c:pt idx="44">
                  <c:v>2.3481428078541784</c:v>
                </c:pt>
                <c:pt idx="45">
                  <c:v>3.0759781199736103</c:v>
                </c:pt>
                <c:pt idx="46">
                  <c:v>3.8796937001383989</c:v>
                </c:pt>
                <c:pt idx="47">
                  <c:v>4.5645428910340966</c:v>
                </c:pt>
                <c:pt idx="48">
                  <c:v>4.4320021782143577</c:v>
                </c:pt>
                <c:pt idx="49">
                  <c:v>3.0177317566529909</c:v>
                </c:pt>
                <c:pt idx="50">
                  <c:v>1.4367271680212341</c:v>
                </c:pt>
                <c:pt idx="51">
                  <c:v>0.68469081851798619</c:v>
                </c:pt>
                <c:pt idx="52">
                  <c:v>0.4337441251291711</c:v>
                </c:pt>
                <c:pt idx="53">
                  <c:v>0.28215756959288507</c:v>
                </c:pt>
                <c:pt idx="54">
                  <c:v>0.22451840801639103</c:v>
                </c:pt>
                <c:pt idx="55">
                  <c:v>0.30197232692290543</c:v>
                </c:pt>
                <c:pt idx="56">
                  <c:v>0.36575560697955867</c:v>
                </c:pt>
                <c:pt idx="57">
                  <c:v>0.29090342749395443</c:v>
                </c:pt>
                <c:pt idx="58">
                  <c:v>0.22786901037866605</c:v>
                </c:pt>
                <c:pt idx="59">
                  <c:v>0.32607502633969776</c:v>
                </c:pt>
                <c:pt idx="60">
                  <c:v>0.61228543134567359</c:v>
                </c:pt>
                <c:pt idx="61">
                  <c:v>1.0358574765548454</c:v>
                </c:pt>
                <c:pt idx="62">
                  <c:v>1.4117231034331506</c:v>
                </c:pt>
                <c:pt idx="63">
                  <c:v>1.6270311399074431</c:v>
                </c:pt>
                <c:pt idx="64">
                  <c:v>1.6770519398547199</c:v>
                </c:pt>
                <c:pt idx="65">
                  <c:v>1.5556207298419864</c:v>
                </c:pt>
                <c:pt idx="66">
                  <c:v>1.3629995368838281</c:v>
                </c:pt>
                <c:pt idx="67">
                  <c:v>1.2025180689678823</c:v>
                </c:pt>
                <c:pt idx="68">
                  <c:v>1.0949505224619209</c:v>
                </c:pt>
                <c:pt idx="69">
                  <c:v>1.069596904303729</c:v>
                </c:pt>
                <c:pt idx="70">
                  <c:v>1.1150174977677492</c:v>
                </c:pt>
                <c:pt idx="71">
                  <c:v>1.1661754316735644</c:v>
                </c:pt>
                <c:pt idx="72">
                  <c:v>1.1860913830100484</c:v>
                </c:pt>
                <c:pt idx="73">
                  <c:v>1.198525438437632</c:v>
                </c:pt>
                <c:pt idx="74">
                  <c:v>1.2374225029835735</c:v>
                </c:pt>
                <c:pt idx="75">
                  <c:v>1.3109512680838429</c:v>
                </c:pt>
                <c:pt idx="76">
                  <c:v>1.3678882703873174</c:v>
                </c:pt>
                <c:pt idx="77">
                  <c:v>1.3632834590169054</c:v>
                </c:pt>
                <c:pt idx="78">
                  <c:v>1.3652589260742589</c:v>
                </c:pt>
                <c:pt idx="79">
                  <c:v>1.3907847415300381</c:v>
                </c:pt>
                <c:pt idx="80">
                  <c:v>1.376422862901544</c:v>
                </c:pt>
                <c:pt idx="81">
                  <c:v>1.3364669213669886</c:v>
                </c:pt>
                <c:pt idx="82">
                  <c:v>1.2866268939393939</c:v>
                </c:pt>
                <c:pt idx="83">
                  <c:v>1.2391668626401018</c:v>
                </c:pt>
                <c:pt idx="84">
                  <c:v>1.2182113562100019</c:v>
                </c:pt>
                <c:pt idx="85">
                  <c:v>1.2112645112085954</c:v>
                </c:pt>
                <c:pt idx="86">
                  <c:v>1.2017403832958118</c:v>
                </c:pt>
                <c:pt idx="87">
                  <c:v>1.1902388894462292</c:v>
                </c:pt>
                <c:pt idx="88">
                  <c:v>1.3545024145230118</c:v>
                </c:pt>
                <c:pt idx="89">
                  <c:v>1.8419128166561578</c:v>
                </c:pt>
                <c:pt idx="90">
                  <c:v>2.3808583600866933</c:v>
                </c:pt>
                <c:pt idx="91">
                  <c:v>2.6885997938484323</c:v>
                </c:pt>
                <c:pt idx="92">
                  <c:v>2.7610196209216893</c:v>
                </c:pt>
                <c:pt idx="93">
                  <c:v>2.6617178639590411</c:v>
                </c:pt>
                <c:pt idx="94">
                  <c:v>2.3465376900670898</c:v>
                </c:pt>
                <c:pt idx="95">
                  <c:v>1.8676332593281197</c:v>
                </c:pt>
                <c:pt idx="96">
                  <c:v>1.4739296828031534</c:v>
                </c:pt>
                <c:pt idx="97">
                  <c:v>1.2331314886495013</c:v>
                </c:pt>
                <c:pt idx="98">
                  <c:v>1.1199898094698479</c:v>
                </c:pt>
                <c:pt idx="99">
                  <c:v>1.0950501614886246</c:v>
                </c:pt>
                <c:pt idx="100">
                  <c:v>1.1053674780851757</c:v>
                </c:pt>
                <c:pt idx="101">
                  <c:v>1.138291354195438</c:v>
                </c:pt>
                <c:pt idx="102">
                  <c:v>1.176562701094259</c:v>
                </c:pt>
                <c:pt idx="103">
                  <c:v>1.2388183600441995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8-1B4E-97F8-A7679896C60D}"/>
            </c:ext>
          </c:extLst>
        </c:ser>
        <c:ser>
          <c:idx val="0"/>
          <c:order val="2"/>
          <c:tx>
            <c:v> Covid-19  voorkomen</c:v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VE!$T$2:$T$105</c:f>
              <c:numCache>
                <c:formatCode>General</c:formatCode>
                <c:ptCount val="104"/>
                <c:pt idx="3" formatCode="0.00">
                  <c:v>2.7090054374532052E-3</c:v>
                </c:pt>
                <c:pt idx="4" formatCode="0.00">
                  <c:v>-2.2858487919307748E-2</c:v>
                </c:pt>
                <c:pt idx="5" formatCode="0.00">
                  <c:v>-4.7887706942848648E-2</c:v>
                </c:pt>
                <c:pt idx="6" formatCode="0.00">
                  <c:v>-0.22312714443955747</c:v>
                </c:pt>
                <c:pt idx="7" formatCode="0.00">
                  <c:v>-0.1947131618803121</c:v>
                </c:pt>
                <c:pt idx="8" formatCode="0.00">
                  <c:v>-6.4054298789685993E-2</c:v>
                </c:pt>
                <c:pt idx="9" formatCode="0.00">
                  <c:v>8.7055220503052755E-2</c:v>
                </c:pt>
                <c:pt idx="10" formatCode="0.00">
                  <c:v>0.18306171200638577</c:v>
                </c:pt>
                <c:pt idx="11" formatCode="0.00">
                  <c:v>0.28778622650866809</c:v>
                </c:pt>
                <c:pt idx="12" formatCode="0.00">
                  <c:v>0.3324165977018671</c:v>
                </c:pt>
                <c:pt idx="13" formatCode="0.00">
                  <c:v>0.42884124961791376</c:v>
                </c:pt>
                <c:pt idx="14" formatCode="0.00">
                  <c:v>0.4838583388856178</c:v>
                </c:pt>
                <c:pt idx="15" formatCode="0.00">
                  <c:v>0.56969362775541432</c:v>
                </c:pt>
                <c:pt idx="16" formatCode="0.00">
                  <c:v>0.60900644229990075</c:v>
                </c:pt>
                <c:pt idx="17" formatCode="0.00">
                  <c:v>0.56818100103771851</c:v>
                </c:pt>
                <c:pt idx="18" formatCode="0.00">
                  <c:v>0.49314024297388498</c:v>
                </c:pt>
                <c:pt idx="19" formatCode="0.00">
                  <c:v>0.46532803780122428</c:v>
                </c:pt>
                <c:pt idx="20" formatCode="0.00">
                  <c:v>0.42993806693281489</c:v>
                </c:pt>
                <c:pt idx="21" formatCode="0.00">
                  <c:v>0.37533711046448187</c:v>
                </c:pt>
                <c:pt idx="22" formatCode="0.00">
                  <c:v>0.35484714633970676</c:v>
                </c:pt>
                <c:pt idx="23" formatCode="0.00">
                  <c:v>0.29704096838641725</c:v>
                </c:pt>
                <c:pt idx="24" formatCode="0.00">
                  <c:v>0.22747636465798679</c:v>
                </c:pt>
                <c:pt idx="25" formatCode="0.00">
                  <c:v>0.11702863319073722</c:v>
                </c:pt>
                <c:pt idx="26" formatCode="0.00">
                  <c:v>0.10479459025822772</c:v>
                </c:pt>
                <c:pt idx="27" formatCode="0.00">
                  <c:v>0.18146893645770015</c:v>
                </c:pt>
                <c:pt idx="28" formatCode="0.00">
                  <c:v>0.23614128298515405</c:v>
                </c:pt>
                <c:pt idx="29" formatCode="0.00">
                  <c:v>0.37223886687285329</c:v>
                </c:pt>
                <c:pt idx="30" formatCode="0.00">
                  <c:v>0.42493384911614118</c:v>
                </c:pt>
                <c:pt idx="31" formatCode="0.00">
                  <c:v>0.48332378237542645</c:v>
                </c:pt>
                <c:pt idx="32" formatCode="0.00">
                  <c:v>0.51151239604397503</c:v>
                </c:pt>
                <c:pt idx="33" formatCode="0.00">
                  <c:v>0.51775388241647036</c:v>
                </c:pt>
                <c:pt idx="34" formatCode="0.00">
                  <c:v>0.50683755519865858</c:v>
                </c:pt>
                <c:pt idx="35" formatCode="0.00">
                  <c:v>0.42475434565074061</c:v>
                </c:pt>
                <c:pt idx="36" formatCode="0.00">
                  <c:v>0.35751285332825733</c:v>
                </c:pt>
                <c:pt idx="37" formatCode="0.00">
                  <c:v>0.34828155443025427</c:v>
                </c:pt>
                <c:pt idx="38" formatCode="0.00">
                  <c:v>0.42889662155090758</c:v>
                </c:pt>
                <c:pt idx="39" formatCode="0.00">
                  <c:v>0.49697151151036079</c:v>
                </c:pt>
                <c:pt idx="40" formatCode="0.00">
                  <c:v>0.3991037217566657</c:v>
                </c:pt>
                <c:pt idx="41" formatCode="0.00">
                  <c:v>0.43329672497600791</c:v>
                </c:pt>
                <c:pt idx="42" formatCode="0.00">
                  <c:v>0.52533892246793368</c:v>
                </c:pt>
                <c:pt idx="43" formatCode="0.00">
                  <c:v>0.80104073387415586</c:v>
                </c:pt>
                <c:pt idx="44" formatCode="0.00">
                  <c:v>0.9135906494245446</c:v>
                </c:pt>
                <c:pt idx="45" formatCode="0.00">
                  <c:v>1.0356580861767093</c:v>
                </c:pt>
                <c:pt idx="46" formatCode="0.00">
                  <c:v>1.1266476930108484</c:v>
                </c:pt>
                <c:pt idx="47" formatCode="0.00">
                  <c:v>1.2507570726831669</c:v>
                </c:pt>
                <c:pt idx="48" formatCode="0.00">
                  <c:v>1.5570290524537826</c:v>
                </c:pt>
                <c:pt idx="49" formatCode="0.00">
                  <c:v>1.9074642897755987</c:v>
                </c:pt>
                <c:pt idx="50" formatCode="0.00">
                  <c:v>2.035621768922284</c:v>
                </c:pt>
                <c:pt idx="51" formatCode="0.00">
                  <c:v>2.1064019881843321</c:v>
                </c:pt>
                <c:pt idx="52" formatCode="0.00">
                  <c:v>1.9398194396321948</c:v>
                </c:pt>
                <c:pt idx="53" formatCode="0.00">
                  <c:v>1.8833802341857502</c:v>
                </c:pt>
                <c:pt idx="54" formatCode="0.00">
                  <c:v>1.5725169940342059</c:v>
                </c:pt>
                <c:pt idx="55" formatCode="0.00">
                  <c:v>1.4978730944458101</c:v>
                </c:pt>
                <c:pt idx="56" formatCode="0.00">
                  <c:v>1.8055593580910219</c:v>
                </c:pt>
                <c:pt idx="57" formatCode="0.00">
                  <c:v>1.9997383027408469</c:v>
                </c:pt>
                <c:pt idx="58" formatCode="0.00">
                  <c:v>2.2194378120030067</c:v>
                </c:pt>
                <c:pt idx="59" formatCode="0.00">
                  <c:v>1.8851123714389775</c:v>
                </c:pt>
                <c:pt idx="60" formatCode="0.00">
                  <c:v>1.592793625711596</c:v>
                </c:pt>
                <c:pt idx="61" formatCode="0.00">
                  <c:v>1.368179729755606</c:v>
                </c:pt>
                <c:pt idx="62" formatCode="0.00">
                  <c:v>1.1785712994859903</c:v>
                </c:pt>
                <c:pt idx="63" formatCode="0.00">
                  <c:v>1.0206088440773853</c:v>
                </c:pt>
                <c:pt idx="64" formatCode="0.00">
                  <c:v>0.78264591539067763</c:v>
                </c:pt>
                <c:pt idx="65" formatCode="0.00">
                  <c:v>0.55703832648912266</c:v>
                </c:pt>
                <c:pt idx="66" formatCode="0.00">
                  <c:v>0.35171914855007036</c:v>
                </c:pt>
                <c:pt idx="67" formatCode="0.00">
                  <c:v>0.15041285969592086</c:v>
                </c:pt>
                <c:pt idx="68" formatCode="0.00">
                  <c:v>5.6215126460159902E-3</c:v>
                </c:pt>
                <c:pt idx="69" formatCode="0.00">
                  <c:v>0.11289986163737394</c:v>
                </c:pt>
                <c:pt idx="70" formatCode="0.00">
                  <c:v>4.8408955747687755E-2</c:v>
                </c:pt>
                <c:pt idx="71" formatCode="0.00">
                  <c:v>0.14741487555036567</c:v>
                </c:pt>
                <c:pt idx="72" formatCode="0.00">
                  <c:v>3.2952168505983058E-2</c:v>
                </c:pt>
                <c:pt idx="73" formatCode="0.00">
                  <c:v>5.7270194051947762E-2</c:v>
                </c:pt>
                <c:pt idx="74" formatCode="0.00">
                  <c:v>-1.8001506461906923E-2</c:v>
                </c:pt>
                <c:pt idx="75" formatCode="0.00">
                  <c:v>-4.8105341011196151E-2</c:v>
                </c:pt>
                <c:pt idx="76" formatCode="0.00">
                  <c:v>-3.7784048042590002E-2</c:v>
                </c:pt>
                <c:pt idx="77" formatCode="0.00">
                  <c:v>2.9571523937922044E-2</c:v>
                </c:pt>
                <c:pt idx="78" formatCode="0.00">
                  <c:v>7.8246466481878149E-2</c:v>
                </c:pt>
                <c:pt idx="79" formatCode="0.00">
                  <c:v>0.10893508938057803</c:v>
                </c:pt>
                <c:pt idx="80" formatCode="0.00">
                  <c:v>0.12073277509283101</c:v>
                </c:pt>
                <c:pt idx="81" formatCode="0.00">
                  <c:v>6.5202024461843866E-2</c:v>
                </c:pt>
                <c:pt idx="82" formatCode="0.00">
                  <c:v>-1.5609633300076357E-2</c:v>
                </c:pt>
                <c:pt idx="83" formatCode="0.00">
                  <c:v>-7.3298905065423151E-2</c:v>
                </c:pt>
                <c:pt idx="84" formatCode="0.00">
                  <c:v>-1.4303729447584309E-2</c:v>
                </c:pt>
                <c:pt idx="85" formatCode="0.00">
                  <c:v>-7.506611462152124E-2</c:v>
                </c:pt>
                <c:pt idx="86" formatCode="0.00">
                  <c:v>-7.0262041604533101E-2</c:v>
                </c:pt>
                <c:pt idx="87" formatCode="0.00">
                  <c:v>-5.2512402198510721E-2</c:v>
                </c:pt>
                <c:pt idx="88" formatCode="0.00">
                  <c:v>5.2455825707410558E-2</c:v>
                </c:pt>
                <c:pt idx="89" formatCode="0.00">
                  <c:v>-1.1407042381566172E-2</c:v>
                </c:pt>
                <c:pt idx="90" formatCode="0.00">
                  <c:v>-2.2225246491209626E-2</c:v>
                </c:pt>
                <c:pt idx="91" formatCode="0.00">
                  <c:v>-0.14545543790770421</c:v>
                </c:pt>
                <c:pt idx="92" formatCode="0.00">
                  <c:v>-5.3562498120544283E-2</c:v>
                </c:pt>
                <c:pt idx="93" formatCode="0.00">
                  <c:v>9.5296923838623274E-2</c:v>
                </c:pt>
                <c:pt idx="94" formatCode="0.00">
                  <c:v>0.24185219789229015</c:v>
                </c:pt>
                <c:pt idx="95" formatCode="0.00">
                  <c:v>0.262340178886382</c:v>
                </c:pt>
                <c:pt idx="96" formatCode="0.00">
                  <c:v>0.11662037183951257</c:v>
                </c:pt>
                <c:pt idx="97" formatCode="0.00">
                  <c:v>2.1734016663034168E-2</c:v>
                </c:pt>
                <c:pt idx="98" formatCode="0.00">
                  <c:v>-9.086686651891597E-2</c:v>
                </c:pt>
                <c:pt idx="99" formatCode="0.00">
                  <c:v>-3.3341585091151212E-2</c:v>
                </c:pt>
                <c:pt idx="100" formatCode="0.00">
                  <c:v>-2.8369392462806706E-2</c:v>
                </c:pt>
                <c:pt idx="101" formatCode="0.00">
                  <c:v>0.12591599793382924</c:v>
                </c:pt>
                <c:pt idx="102" formatCode="0.00">
                  <c:v>0.1633255076254245</c:v>
                </c:pt>
                <c:pt idx="103" formatCode="0.00">
                  <c:v>0.27822055625836423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D08-1B4E-97F8-A7679896C60D}"/>
            </c:ext>
          </c:extLst>
        </c:ser>
        <c:ser>
          <c:idx val="3"/>
          <c:order val="3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08-1B4E-97F8-A7679896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63548102383053839"/>
          <c:y val="0.10459711637921935"/>
          <c:w val="0.30949445249940399"/>
          <c:h val="0.16025757406977739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en Oversterfte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9963305557679078E-2"/>
          <c:y val="8.1849865951742623E-2"/>
          <c:w val="0.89032934651924034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7E-F145-B3B5-E126E91B7B61}"/>
            </c:ext>
          </c:extLst>
        </c:ser>
        <c:ser>
          <c:idx val="3"/>
          <c:order val="1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E-F145-B3B5-E126E91B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2"/>
          <c:tx>
            <c:v> VE</c:v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27E-F145-B3B5-E126E91B7B61}"/>
            </c:ext>
          </c:extLst>
        </c:ser>
        <c:ser>
          <c:idx val="0"/>
          <c:order val="3"/>
          <c:tx>
            <c:v> %vaxx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Corona!$K$2:$K$105</c:f>
              <c:numCache>
                <c:formatCode>0.0%</c:formatCode>
                <c:ptCount val="1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4.6447611132507654E-3</c:v>
                </c:pt>
                <c:pt idx="6">
                  <c:v>0</c:v>
                </c:pt>
                <c:pt idx="7">
                  <c:v>3.7143053033347202E-2</c:v>
                </c:pt>
                <c:pt idx="8">
                  <c:v>4.8137996162931136E-2</c:v>
                </c:pt>
                <c:pt idx="9">
                  <c:v>9.3605700038513817E-2</c:v>
                </c:pt>
                <c:pt idx="10">
                  <c:v>0.137599137196078</c:v>
                </c:pt>
                <c:pt idx="11">
                  <c:v>0.10143599141965583</c:v>
                </c:pt>
                <c:pt idx="12">
                  <c:v>0.1127745537231373</c:v>
                </c:pt>
                <c:pt idx="13">
                  <c:v>0.12183193209175094</c:v>
                </c:pt>
                <c:pt idx="14">
                  <c:v>7.1271204932624746E-2</c:v>
                </c:pt>
                <c:pt idx="15">
                  <c:v>4.520548827237713E-2</c:v>
                </c:pt>
                <c:pt idx="16">
                  <c:v>2.0710477773498548E-2</c:v>
                </c:pt>
                <c:pt idx="17">
                  <c:v>9.9999999999998441E-3</c:v>
                </c:pt>
                <c:pt idx="18">
                  <c:v>1.5355238886749195E-2</c:v>
                </c:pt>
                <c:pt idx="19">
                  <c:v>5.3552388867492123E-3</c:v>
                </c:pt>
                <c:pt idx="20">
                  <c:v>1.0000000000000122E-2</c:v>
                </c:pt>
                <c:pt idx="21">
                  <c:v>9.9999999999999829E-3</c:v>
                </c:pt>
                <c:pt idx="22">
                  <c:v>3.0740549518815915E-3</c:v>
                </c:pt>
                <c:pt idx="23">
                  <c:v>6.9259450481183923E-3</c:v>
                </c:pt>
                <c:pt idx="24">
                  <c:v>9.9999999999999829E-3</c:v>
                </c:pt>
                <c:pt idx="25">
                  <c:v>4.6447611132506318E-3</c:v>
                </c:pt>
                <c:pt idx="26">
                  <c:v>9.3620754600705097E-2</c:v>
                </c:pt>
                <c:pt idx="27">
                  <c:v>8.1940599707354997E-2</c:v>
                </c:pt>
                <c:pt idx="28">
                  <c:v>6.1906973415267304E-2</c:v>
                </c:pt>
                <c:pt idx="29">
                  <c:v>5.705089213390916E-2</c:v>
                </c:pt>
                <c:pt idx="30">
                  <c:v>5.801531706552971E-2</c:v>
                </c:pt>
                <c:pt idx="31">
                  <c:v>5.0459684235371255E-2</c:v>
                </c:pt>
                <c:pt idx="32">
                  <c:v>2.0909891873373762E-2</c:v>
                </c:pt>
                <c:pt idx="33">
                  <c:v>1.8353483830555739E-2</c:v>
                </c:pt>
                <c:pt idx="34">
                  <c:v>1.3403844237843415E-2</c:v>
                </c:pt>
                <c:pt idx="35">
                  <c:v>8.5165058137397515E-3</c:v>
                </c:pt>
                <c:pt idx="36">
                  <c:v>1.0179954119487177E-2</c:v>
                </c:pt>
                <c:pt idx="37">
                  <c:v>9.1157904869241264E-3</c:v>
                </c:pt>
                <c:pt idx="38">
                  <c:v>7.9351939976340467E-3</c:v>
                </c:pt>
                <c:pt idx="39">
                  <c:v>7.1162568577016801E-3</c:v>
                </c:pt>
                <c:pt idx="40">
                  <c:v>7.1949680262517381E-3</c:v>
                </c:pt>
                <c:pt idx="41">
                  <c:v>7.4164675059801488E-3</c:v>
                </c:pt>
                <c:pt idx="42">
                  <c:v>7.7342958165333604E-3</c:v>
                </c:pt>
                <c:pt idx="43">
                  <c:v>8.5291507487595258E-3</c:v>
                </c:pt>
                <c:pt idx="44">
                  <c:v>8.323919191050938E-3</c:v>
                </c:pt>
                <c:pt idx="45">
                  <c:v>7.8218868551815732E-3</c:v>
                </c:pt>
                <c:pt idx="46">
                  <c:v>0.11740496134360724</c:v>
                </c:pt>
                <c:pt idx="47">
                  <c:v>0.2297231956539838</c:v>
                </c:pt>
                <c:pt idx="48">
                  <c:v>0.27135892813137624</c:v>
                </c:pt>
                <c:pt idx="49">
                  <c:v>0.16180250261146281</c:v>
                </c:pt>
                <c:pt idx="50">
                  <c:v>6.1951551799175192E-2</c:v>
                </c:pt>
                <c:pt idx="51">
                  <c:v>3.8653141954946846E-2</c:v>
                </c:pt>
                <c:pt idx="52">
                  <c:v>2.2506718703435014E-2</c:v>
                </c:pt>
                <c:pt idx="53">
                  <c:v>1.170242088381776E-2</c:v>
                </c:pt>
                <c:pt idx="54">
                  <c:v>7.3032261675242717E-3</c:v>
                </c:pt>
                <c:pt idx="55">
                  <c:v>6.240370823366306E-3</c:v>
                </c:pt>
                <c:pt idx="56">
                  <c:v>5.9770564497414764E-3</c:v>
                </c:pt>
                <c:pt idx="57">
                  <c:v>4.9147498289106601E-3</c:v>
                </c:pt>
                <c:pt idx="58">
                  <c:v>3.7111490078342679E-3</c:v>
                </c:pt>
                <c:pt idx="59">
                  <c:v>4.3011339906340144E-3</c:v>
                </c:pt>
                <c:pt idx="60">
                  <c:v>8.4412958318982965E-3</c:v>
                </c:pt>
                <c:pt idx="61">
                  <c:v>1.8109330727318407E-2</c:v>
                </c:pt>
                <c:pt idx="62">
                  <c:v>2.6127355788406845E-2</c:v>
                </c:pt>
                <c:pt idx="63">
                  <c:v>3.2559038754379578E-2</c:v>
                </c:pt>
                <c:pt idx="64">
                  <c:v>3.0180338072744072E-2</c:v>
                </c:pt>
                <c:pt idx="65">
                  <c:v>1.7144397315259928E-2</c:v>
                </c:pt>
                <c:pt idx="66">
                  <c:v>8.9348701799616039E-3</c:v>
                </c:pt>
                <c:pt idx="67">
                  <c:v>4.7377206536795844E-3</c:v>
                </c:pt>
                <c:pt idx="68">
                  <c:v>2.6956978411191226E-3</c:v>
                </c:pt>
                <c:pt idx="69">
                  <c:v>1.6185680654199998E-3</c:v>
                </c:pt>
                <c:pt idx="70">
                  <c:v>1.6920255353441206E-3</c:v>
                </c:pt>
                <c:pt idx="71">
                  <c:v>1.3909694879124313E-3</c:v>
                </c:pt>
                <c:pt idx="72">
                  <c:v>9.6014470565724565E-4</c:v>
                </c:pt>
                <c:pt idx="73">
                  <c:v>9.4345694415380241E-4</c:v>
                </c:pt>
                <c:pt idx="74">
                  <c:v>5.9185065682325203E-4</c:v>
                </c:pt>
                <c:pt idx="75">
                  <c:v>1.2097215360396731E-3</c:v>
                </c:pt>
                <c:pt idx="76">
                  <c:v>1.416657982511349E-3</c:v>
                </c:pt>
                <c:pt idx="77">
                  <c:v>1.3675093628318067E-3</c:v>
                </c:pt>
                <c:pt idx="78">
                  <c:v>1.2724045271484987E-3</c:v>
                </c:pt>
                <c:pt idx="79">
                  <c:v>3.3990915418406218E-3</c:v>
                </c:pt>
                <c:pt idx="80">
                  <c:v>1.7144302918458666E-3</c:v>
                </c:pt>
                <c:pt idx="81">
                  <c:v>1.879286585695123E-3</c:v>
                </c:pt>
                <c:pt idx="82">
                  <c:v>1.4188761709609001E-3</c:v>
                </c:pt>
                <c:pt idx="83">
                  <c:v>7.0398347283245997E-4</c:v>
                </c:pt>
                <c:pt idx="84">
                  <c:v>4.7161262664748732E-4</c:v>
                </c:pt>
                <c:pt idx="85">
                  <c:v>2.2987743010879826E-4</c:v>
                </c:pt>
                <c:pt idx="86">
                  <c:v>1.4770508456590385E-4</c:v>
                </c:pt>
                <c:pt idx="87">
                  <c:v>0</c:v>
                </c:pt>
                <c:pt idx="88">
                  <c:v>0</c:v>
                </c:pt>
                <c:pt idx="89">
                  <c:v>0.17581685567827762</c:v>
                </c:pt>
                <c:pt idx="90">
                  <c:v>0.14382884145083652</c:v>
                </c:pt>
                <c:pt idx="91">
                  <c:v>0.10172250766400251</c:v>
                </c:pt>
                <c:pt idx="92">
                  <c:v>7.7514812301990865E-2</c:v>
                </c:pt>
                <c:pt idx="93">
                  <c:v>6.2625912019278321E-2</c:v>
                </c:pt>
                <c:pt idx="94">
                  <c:v>4.228141048647787E-2</c:v>
                </c:pt>
                <c:pt idx="95">
                  <c:v>2.6653558469989649E-2</c:v>
                </c:pt>
                <c:pt idx="96">
                  <c:v>2.0344501532800655E-2</c:v>
                </c:pt>
                <c:pt idx="97">
                  <c:v>1.0172250766400189E-2</c:v>
                </c:pt>
                <c:pt idx="98">
                  <c:v>1.0172250766400189E-2</c:v>
                </c:pt>
                <c:pt idx="99">
                  <c:v>7.0480086709648043E-3</c:v>
                </c:pt>
                <c:pt idx="100">
                  <c:v>3.1242420954353842E-3</c:v>
                </c:pt>
                <c:pt idx="101">
                  <c:v>7.0480086709648043E-3</c:v>
                </c:pt>
                <c:pt idx="102">
                  <c:v>0</c:v>
                </c:pt>
                <c:pt idx="103">
                  <c:v>3.1242420954355229E-3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E-F145-B3B5-E126E91B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76911"/>
        <c:axId val="122276335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ax val="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>
                    <a:solidFill>
                      <a:schemeClr val="tx1"/>
                    </a:solidFill>
                  </a:rPr>
                  <a:t>Overlijdens / 100.000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22276335"/>
        <c:scaling>
          <c:orientation val="minMax"/>
          <c:max val="0.8"/>
          <c:min val="-0.2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676911"/>
        <c:crosses val="max"/>
        <c:crossBetween val="between"/>
      </c:valAx>
      <c:catAx>
        <c:axId val="12267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63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1"/>
        <c:delete val="1"/>
      </c:legendEntry>
      <c:layout>
        <c:manualLayout>
          <c:xMode val="edge"/>
          <c:yMode val="edge"/>
          <c:x val="0.7784642541924095"/>
          <c:y val="9.9235186084313184E-2"/>
          <c:w val="0.15732634087162167"/>
          <c:h val="0.16025757406977739"/>
        </c:manualLayout>
      </c:layout>
      <c:overlay val="0"/>
      <c:spPr>
        <a:solidFill>
          <a:schemeClr val="bg1">
            <a:lumMod val="85000"/>
            <a:alpha val="62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en Oversterfte 1e 4 maanden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5629747517217891E-2"/>
          <c:y val="8.1849865951742623E-2"/>
          <c:w val="0.84266826973194986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AF-3544-BCCD-3EFD97D9DB57}"/>
            </c:ext>
          </c:extLst>
        </c:ser>
        <c:ser>
          <c:idx val="3"/>
          <c:order val="1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F-3544-BCCD-3EFD97D9D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2"/>
          <c:tx>
            <c:v> VE</c:v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3AF-3544-BCCD-3EFD97D9D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76911"/>
        <c:axId val="122276335"/>
      </c:lineChart>
      <c:dateAx>
        <c:axId val="46311839"/>
        <c:scaling>
          <c:orientation val="minMax"/>
          <c:max val="443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1"/>
        <c:majorTimeUnit val="months"/>
      </c:dateAx>
      <c:valAx>
        <c:axId val="99973903"/>
        <c:scaling>
          <c:orientation val="minMax"/>
          <c:max val="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Oversterfte / 100.000 /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22276335"/>
        <c:scaling>
          <c:orientation val="minMax"/>
          <c:max val="0.8"/>
          <c:min val="-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rgbClr val="0070C0"/>
                    </a:solidFill>
                  </a:rPr>
                  <a:t>Vaccin Effectiviteit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676911"/>
        <c:crosses val="max"/>
        <c:crossBetween val="between"/>
      </c:valAx>
      <c:catAx>
        <c:axId val="12267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63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en Oversterfte Delta variant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5629747517217891E-2"/>
          <c:y val="8.1849865951742623E-2"/>
          <c:w val="0.84266826973194986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183-454C-84D5-BB2F3FD63FBB}"/>
            </c:ext>
          </c:extLst>
        </c:ser>
        <c:ser>
          <c:idx val="3"/>
          <c:order val="1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3-454C-84D5-BB2F3FD6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2"/>
          <c:tx>
            <c:v> VE</c:v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183-454C-84D5-BB2F3FD6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76911"/>
        <c:axId val="122276335"/>
      </c:lineChart>
      <c:dateAx>
        <c:axId val="46311839"/>
        <c:scaling>
          <c:orientation val="minMax"/>
          <c:max val="44593"/>
          <c:min val="444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1"/>
        <c:majorTimeUnit val="months"/>
      </c:dateAx>
      <c:valAx>
        <c:axId val="99973903"/>
        <c:scaling>
          <c:orientation val="minMax"/>
          <c:max val="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Oversterfte / 100.000 /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22276335"/>
        <c:scaling>
          <c:orientation val="minMax"/>
          <c:max val="0.8"/>
          <c:min val="-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rgbClr val="0070C0"/>
                    </a:solidFill>
                  </a:rPr>
                  <a:t>Vaccin Effectiviteit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676911"/>
        <c:crosses val="max"/>
        <c:crossBetween val="between"/>
      </c:valAx>
      <c:catAx>
        <c:axId val="12267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63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en Oversterfte Omikron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5629747517217891E-2"/>
          <c:y val="8.1849865951742623E-2"/>
          <c:w val="0.84266826973194986"/>
          <c:h val="0.85595638681893982"/>
        </c:manualLayout>
      </c:layout>
      <c:lineChart>
        <c:grouping val="standard"/>
        <c:varyColors val="0"/>
        <c:ser>
          <c:idx val="2"/>
          <c:order val="0"/>
          <c:tx>
            <c:v> Oversterfte</c:v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VE!$P$2:$P$105</c:f>
              <c:numCache>
                <c:formatCode>0.0</c:formatCode>
                <c:ptCount val="104"/>
                <c:pt idx="0">
                  <c:v>5.2830052956542097</c:v>
                </c:pt>
                <c:pt idx="1">
                  <c:v>4.1652507322151111</c:v>
                </c:pt>
                <c:pt idx="2">
                  <c:v>3.3336897641612073</c:v>
                </c:pt>
                <c:pt idx="3">
                  <c:v>2.9521384775351618</c:v>
                </c:pt>
                <c:pt idx="4">
                  <c:v>2.3765472205563398</c:v>
                </c:pt>
                <c:pt idx="5">
                  <c:v>2.0524704566094023</c:v>
                </c:pt>
                <c:pt idx="6">
                  <c:v>1.2622597613263913</c:v>
                </c:pt>
                <c:pt idx="7">
                  <c:v>0.49398377206563987</c:v>
                </c:pt>
                <c:pt idx="8">
                  <c:v>4.6307211162163152E-2</c:v>
                </c:pt>
                <c:pt idx="9">
                  <c:v>-0.16250637000551535</c:v>
                </c:pt>
                <c:pt idx="10">
                  <c:v>-0.16386533330282207</c:v>
                </c:pt>
                <c:pt idx="11">
                  <c:v>-0.16354799746158588</c:v>
                </c:pt>
                <c:pt idx="12">
                  <c:v>0.19614923836193091</c:v>
                </c:pt>
                <c:pt idx="13">
                  <c:v>0.51621408817121706</c:v>
                </c:pt>
                <c:pt idx="14">
                  <c:v>0.60536712691584504</c:v>
                </c:pt>
                <c:pt idx="15">
                  <c:v>0.68983082317643329</c:v>
                </c:pt>
                <c:pt idx="16">
                  <c:v>0.59313750302876356</c:v>
                </c:pt>
                <c:pt idx="17">
                  <c:v>0.51144393343168826</c:v>
                </c:pt>
                <c:pt idx="18">
                  <c:v>0.41618724002124985</c:v>
                </c:pt>
                <c:pt idx="19">
                  <c:v>0.20580450714240639</c:v>
                </c:pt>
                <c:pt idx="20">
                  <c:v>0.34059795828155287</c:v>
                </c:pt>
                <c:pt idx="21">
                  <c:v>0.28096994420498511</c:v>
                </c:pt>
                <c:pt idx="22">
                  <c:v>0.52490741103748695</c:v>
                </c:pt>
                <c:pt idx="23">
                  <c:v>8.7603357062553764E-3</c:v>
                </c:pt>
                <c:pt idx="24">
                  <c:v>-5.9397910289957945E-2</c:v>
                </c:pt>
                <c:pt idx="25">
                  <c:v>-3.1206940398734284E-2</c:v>
                </c:pt>
                <c:pt idx="26">
                  <c:v>0.40859361152099344</c:v>
                </c:pt>
                <c:pt idx="27">
                  <c:v>0.42195717634827962</c:v>
                </c:pt>
                <c:pt idx="28">
                  <c:v>0.5943234201488905</c:v>
                </c:pt>
                <c:pt idx="29">
                  <c:v>0.77170717338369332</c:v>
                </c:pt>
                <c:pt idx="30">
                  <c:v>0.88654738802774125</c:v>
                </c:pt>
                <c:pt idx="31">
                  <c:v>0.83411378364802113</c:v>
                </c:pt>
                <c:pt idx="32">
                  <c:v>0.72905916556867911</c:v>
                </c:pt>
                <c:pt idx="33">
                  <c:v>0.71252942866988134</c:v>
                </c:pt>
                <c:pt idx="34">
                  <c:v>0.98211597951346052</c:v>
                </c:pt>
                <c:pt idx="35">
                  <c:v>0.85738480637792414</c:v>
                </c:pt>
                <c:pt idx="36">
                  <c:v>0.77798614625436124</c:v>
                </c:pt>
                <c:pt idx="37">
                  <c:v>0.62198545555762996</c:v>
                </c:pt>
                <c:pt idx="38">
                  <c:v>0.76950962466452111</c:v>
                </c:pt>
                <c:pt idx="39">
                  <c:v>0.95852526819580108</c:v>
                </c:pt>
                <c:pt idx="40">
                  <c:v>1.1799404950218435</c:v>
                </c:pt>
                <c:pt idx="41">
                  <c:v>1.6157759035925501</c:v>
                </c:pt>
                <c:pt idx="42">
                  <c:v>2.3076711757213784</c:v>
                </c:pt>
                <c:pt idx="43">
                  <c:v>3.100671566213471</c:v>
                </c:pt>
                <c:pt idx="44">
                  <c:v>4.0813959037810514</c:v>
                </c:pt>
                <c:pt idx="45">
                  <c:v>5.1884892243279426</c:v>
                </c:pt>
                <c:pt idx="46">
                  <c:v>6.1844991129713067</c:v>
                </c:pt>
                <c:pt idx="47">
                  <c:v>6.7700751237385814</c:v>
                </c:pt>
                <c:pt idx="48">
                  <c:v>6.3779449387547045</c:v>
                </c:pt>
                <c:pt idx="49">
                  <c:v>5.0811246528373539</c:v>
                </c:pt>
                <c:pt idx="50">
                  <c:v>3.6659254104479557</c:v>
                </c:pt>
                <c:pt idx="51">
                  <c:v>2.3379293675908461</c:v>
                </c:pt>
                <c:pt idx="52">
                  <c:v>1.0456992469411266</c:v>
                </c:pt>
                <c:pt idx="53">
                  <c:v>-3.7202165215881231E-3</c:v>
                </c:pt>
                <c:pt idx="54">
                  <c:v>-0.47059705333933294</c:v>
                </c:pt>
                <c:pt idx="55">
                  <c:v>-0.23996224412168174</c:v>
                </c:pt>
                <c:pt idx="56">
                  <c:v>-0.1131664733358404</c:v>
                </c:pt>
                <c:pt idx="57">
                  <c:v>0.24298294144587207</c:v>
                </c:pt>
                <c:pt idx="58">
                  <c:v>0.41420159548035002</c:v>
                </c:pt>
                <c:pt idx="59">
                  <c:v>0.43910871864822293</c:v>
                </c:pt>
                <c:pt idx="60">
                  <c:v>0.54331984474482387</c:v>
                </c:pt>
                <c:pt idx="61">
                  <c:v>1.1188617658284057</c:v>
                </c:pt>
                <c:pt idx="62">
                  <c:v>1.9769994525628374</c:v>
                </c:pt>
                <c:pt idx="63">
                  <c:v>2.4400177506476064</c:v>
                </c:pt>
                <c:pt idx="64">
                  <c:v>2.5191485529388626</c:v>
                </c:pt>
                <c:pt idx="65">
                  <c:v>2.4520513293043851</c:v>
                </c:pt>
                <c:pt idx="66">
                  <c:v>1.9837417468262055</c:v>
                </c:pt>
                <c:pt idx="67">
                  <c:v>1.3329155124131085</c:v>
                </c:pt>
                <c:pt idx="68">
                  <c:v>0.7706332677857598</c:v>
                </c:pt>
                <c:pt idx="69">
                  <c:v>0.73271436731475281</c:v>
                </c:pt>
                <c:pt idx="70">
                  <c:v>0.73550196103642529</c:v>
                </c:pt>
                <c:pt idx="71">
                  <c:v>0.50511123575226557</c:v>
                </c:pt>
                <c:pt idx="72">
                  <c:v>0.35012285414991345</c:v>
                </c:pt>
                <c:pt idx="73">
                  <c:v>0.27397577387332928</c:v>
                </c:pt>
                <c:pt idx="74">
                  <c:v>0.57237731332818498</c:v>
                </c:pt>
                <c:pt idx="75">
                  <c:v>1.0056176409229316</c:v>
                </c:pt>
                <c:pt idx="76">
                  <c:v>1.4053388140847041</c:v>
                </c:pt>
                <c:pt idx="77">
                  <c:v>1.4180051582466329</c:v>
                </c:pt>
                <c:pt idx="78">
                  <c:v>1.39818323971724</c:v>
                </c:pt>
                <c:pt idx="79">
                  <c:v>1.6089344886492787</c:v>
                </c:pt>
                <c:pt idx="80">
                  <c:v>1.9353127172472504</c:v>
                </c:pt>
                <c:pt idx="81">
                  <c:v>1.706471941171176</c:v>
                </c:pt>
                <c:pt idx="82">
                  <c:v>1.3155229281688059</c:v>
                </c:pt>
                <c:pt idx="83">
                  <c:v>1.1802095417453948</c:v>
                </c:pt>
                <c:pt idx="84">
                  <c:v>1.2822325628611122</c:v>
                </c:pt>
                <c:pt idx="85">
                  <c:v>1.1784794456095082</c:v>
                </c:pt>
                <c:pt idx="86">
                  <c:v>0.83434736271900301</c:v>
                </c:pt>
                <c:pt idx="87">
                  <c:v>0.31661287395521093</c:v>
                </c:pt>
                <c:pt idx="88">
                  <c:v>0.29341396751123089</c:v>
                </c:pt>
                <c:pt idx="89">
                  <c:v>0.66156945494938724</c:v>
                </c:pt>
                <c:pt idx="90">
                  <c:v>1.4360674924706915</c:v>
                </c:pt>
                <c:pt idx="91">
                  <c:v>1.8324351971952204</c:v>
                </c:pt>
                <c:pt idx="92">
                  <c:v>1.978319345540499</c:v>
                </c:pt>
                <c:pt idx="93">
                  <c:v>1.8142036814638274</c:v>
                </c:pt>
                <c:pt idx="94">
                  <c:v>1.5072333348885445</c:v>
                </c:pt>
                <c:pt idx="95">
                  <c:v>0.97177979396965541</c:v>
                </c:pt>
                <c:pt idx="96">
                  <c:v>0.64468700587806527</c:v>
                </c:pt>
                <c:pt idx="97">
                  <c:v>0.8148245816735189</c:v>
                </c:pt>
                <c:pt idx="98">
                  <c:v>1.1492707102835231</c:v>
                </c:pt>
                <c:pt idx="99">
                  <c:v>1.7457132970393359</c:v>
                </c:pt>
                <c:pt idx="100">
                  <c:v>2.7148151311223869</c:v>
                </c:pt>
                <c:pt idx="101">
                  <c:v>4.043479875952924</c:v>
                </c:pt>
                <c:pt idx="102">
                  <c:v>4.9113039628262971</c:v>
                </c:pt>
                <c:pt idx="103">
                  <c:v>3.456517224631996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F46-7340-BC17-411FFC8F3DE9}"/>
            </c:ext>
          </c:extLst>
        </c:ser>
        <c:ser>
          <c:idx val="3"/>
          <c:order val="1"/>
          <c:tx>
            <c:v>zero</c:v>
          </c:tx>
          <c:spPr>
            <a:ln w="4445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6-7340-BC17-411FFC8F3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839"/>
        <c:axId val="99973903"/>
      </c:lineChart>
      <c:lineChart>
        <c:grouping val="standard"/>
        <c:varyColors val="0"/>
        <c:ser>
          <c:idx val="4"/>
          <c:order val="2"/>
          <c:tx>
            <c:v> VE</c:v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F46-7340-BC17-411FFC8F3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76911"/>
        <c:axId val="122276335"/>
      </c:lineChart>
      <c:dateAx>
        <c:axId val="46311839"/>
        <c:scaling>
          <c:orientation val="minMax"/>
          <c:min val="446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ax val="8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chemeClr val="tx1"/>
                    </a:solidFill>
                  </a:rPr>
                  <a:t>Oversterfte / 100.000 /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</c:valAx>
      <c:valAx>
        <c:axId val="122276335"/>
        <c:scaling>
          <c:orientation val="minMax"/>
          <c:max val="0.8"/>
          <c:min val="-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rgbClr val="0070C0"/>
                    </a:solidFill>
                  </a:rPr>
                  <a:t>Vaccin Effectiviteit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676911"/>
        <c:crosses val="max"/>
        <c:crossBetween val="between"/>
      </c:valAx>
      <c:catAx>
        <c:axId val="12267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633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mRNA vaccins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9963305557679078E-2"/>
          <c:y val="8.1849865951742623E-2"/>
          <c:w val="0.89032934651924034"/>
          <c:h val="0.85595638681893982"/>
        </c:manualLayout>
      </c:layout>
      <c:lineChart>
        <c:grouping val="standard"/>
        <c:varyColors val="0"/>
        <c:ser>
          <c:idx val="3"/>
          <c:order val="0"/>
          <c:tx>
            <c:v>zero</c:v>
          </c:tx>
          <c:spPr>
            <a:ln w="5080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E-0E41-9533-BBAF74C25857}"/>
            </c:ext>
          </c:extLst>
        </c:ser>
        <c:ser>
          <c:idx val="4"/>
          <c:order val="1"/>
          <c:tx>
            <c:v> VE</c:v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ACE-0E41-9533-BBAF74C25857}"/>
            </c:ext>
          </c:extLst>
        </c:ser>
        <c:ser>
          <c:idx val="0"/>
          <c:order val="2"/>
          <c:tx>
            <c:v>beloofd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VE!$X$2:$X$105</c:f>
              <c:numCache>
                <c:formatCode>General</c:formatCode>
                <c:ptCount val="104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  <c:pt idx="57">
                  <c:v>0.95</c:v>
                </c:pt>
                <c:pt idx="58">
                  <c:v>0.95</c:v>
                </c:pt>
                <c:pt idx="59">
                  <c:v>0.95</c:v>
                </c:pt>
                <c:pt idx="60">
                  <c:v>0.95</c:v>
                </c:pt>
                <c:pt idx="61">
                  <c:v>0.95</c:v>
                </c:pt>
                <c:pt idx="62">
                  <c:v>0.95</c:v>
                </c:pt>
                <c:pt idx="63">
                  <c:v>0.95</c:v>
                </c:pt>
                <c:pt idx="64">
                  <c:v>0.95</c:v>
                </c:pt>
                <c:pt idx="65">
                  <c:v>0.95</c:v>
                </c:pt>
                <c:pt idx="66">
                  <c:v>0.95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0.95</c:v>
                </c:pt>
                <c:pt idx="77">
                  <c:v>0.95</c:v>
                </c:pt>
                <c:pt idx="78">
                  <c:v>0.95</c:v>
                </c:pt>
                <c:pt idx="79">
                  <c:v>0.95</c:v>
                </c:pt>
                <c:pt idx="80">
                  <c:v>0.95</c:v>
                </c:pt>
                <c:pt idx="81">
                  <c:v>0.95</c:v>
                </c:pt>
                <c:pt idx="82">
                  <c:v>0.95</c:v>
                </c:pt>
                <c:pt idx="83">
                  <c:v>0.95</c:v>
                </c:pt>
                <c:pt idx="84">
                  <c:v>0.95</c:v>
                </c:pt>
                <c:pt idx="85">
                  <c:v>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0.95</c:v>
                </c:pt>
                <c:pt idx="92">
                  <c:v>0.95</c:v>
                </c:pt>
                <c:pt idx="93">
                  <c:v>0.95</c:v>
                </c:pt>
                <c:pt idx="94">
                  <c:v>0.95</c:v>
                </c:pt>
                <c:pt idx="95">
                  <c:v>0.95</c:v>
                </c:pt>
                <c:pt idx="96">
                  <c:v>0.95</c:v>
                </c:pt>
                <c:pt idx="97">
                  <c:v>0.95</c:v>
                </c:pt>
                <c:pt idx="98">
                  <c:v>0.95</c:v>
                </c:pt>
                <c:pt idx="99">
                  <c:v>0.95</c:v>
                </c:pt>
                <c:pt idx="100">
                  <c:v>0.95</c:v>
                </c:pt>
                <c:pt idx="101">
                  <c:v>0.95</c:v>
                </c:pt>
                <c:pt idx="102">
                  <c:v>0.95</c:v>
                </c:pt>
                <c:pt idx="103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CE-0E41-9533-BBAF74C2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2"/>
        <c:majorTimeUnit val="months"/>
      </c:dateAx>
      <c:valAx>
        <c:axId val="99973903"/>
        <c:scaling>
          <c:orientation val="minMax"/>
          <c:max val="1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  <c:majorUnit val="0.25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nl-NL" sz="1600" b="1">
                <a:solidFill>
                  <a:schemeClr val="tx1"/>
                </a:solidFill>
              </a:rPr>
              <a:t>VE mRNA vaccins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9963305557679078E-2"/>
          <c:y val="8.1849865951742623E-2"/>
          <c:w val="0.89032934651924034"/>
          <c:h val="0.85595638681893982"/>
        </c:manualLayout>
      </c:layout>
      <c:lineChart>
        <c:grouping val="standard"/>
        <c:varyColors val="0"/>
        <c:ser>
          <c:idx val="3"/>
          <c:order val="0"/>
          <c:tx>
            <c:v>zero</c:v>
          </c:tx>
          <c:spPr>
            <a:ln w="50800" cap="rnd">
              <a:solidFill>
                <a:schemeClr val="tx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VE!$B$2:$B$105</c:f>
              <c:numCache>
                <c:formatCode>[$-413]d\ mmm\ yy;@</c:formatCode>
                <c:ptCount val="104"/>
                <c:pt idx="0">
                  <c:v>44200</c:v>
                </c:pt>
                <c:pt idx="1">
                  <c:v>44207</c:v>
                </c:pt>
                <c:pt idx="2">
                  <c:v>44214</c:v>
                </c:pt>
                <c:pt idx="3">
                  <c:v>44221</c:v>
                </c:pt>
                <c:pt idx="4">
                  <c:v>44228</c:v>
                </c:pt>
                <c:pt idx="5">
                  <c:v>44235</c:v>
                </c:pt>
                <c:pt idx="6">
                  <c:v>44242</c:v>
                </c:pt>
                <c:pt idx="7">
                  <c:v>44249</c:v>
                </c:pt>
                <c:pt idx="8">
                  <c:v>44256</c:v>
                </c:pt>
                <c:pt idx="9">
                  <c:v>44263</c:v>
                </c:pt>
                <c:pt idx="10">
                  <c:v>44270</c:v>
                </c:pt>
                <c:pt idx="11">
                  <c:v>44277</c:v>
                </c:pt>
                <c:pt idx="12">
                  <c:v>44284</c:v>
                </c:pt>
                <c:pt idx="13">
                  <c:v>44291</c:v>
                </c:pt>
                <c:pt idx="14">
                  <c:v>44298</c:v>
                </c:pt>
                <c:pt idx="15">
                  <c:v>44305</c:v>
                </c:pt>
                <c:pt idx="16">
                  <c:v>44312</c:v>
                </c:pt>
                <c:pt idx="17">
                  <c:v>44319</c:v>
                </c:pt>
                <c:pt idx="18">
                  <c:v>44326</c:v>
                </c:pt>
                <c:pt idx="19">
                  <c:v>44333</c:v>
                </c:pt>
                <c:pt idx="20">
                  <c:v>44340</c:v>
                </c:pt>
                <c:pt idx="21">
                  <c:v>44347</c:v>
                </c:pt>
                <c:pt idx="22">
                  <c:v>44354</c:v>
                </c:pt>
                <c:pt idx="23">
                  <c:v>44361</c:v>
                </c:pt>
                <c:pt idx="24">
                  <c:v>44368</c:v>
                </c:pt>
                <c:pt idx="25">
                  <c:v>44375</c:v>
                </c:pt>
                <c:pt idx="26">
                  <c:v>44382</c:v>
                </c:pt>
                <c:pt idx="27">
                  <c:v>44389</c:v>
                </c:pt>
                <c:pt idx="28">
                  <c:v>44396</c:v>
                </c:pt>
                <c:pt idx="29">
                  <c:v>44403</c:v>
                </c:pt>
                <c:pt idx="30">
                  <c:v>44410</c:v>
                </c:pt>
                <c:pt idx="31">
                  <c:v>44417</c:v>
                </c:pt>
                <c:pt idx="32">
                  <c:v>44424</c:v>
                </c:pt>
                <c:pt idx="33">
                  <c:v>44431</c:v>
                </c:pt>
                <c:pt idx="34">
                  <c:v>44438</c:v>
                </c:pt>
                <c:pt idx="35">
                  <c:v>44445</c:v>
                </c:pt>
                <c:pt idx="36">
                  <c:v>44452</c:v>
                </c:pt>
                <c:pt idx="37">
                  <c:v>44459</c:v>
                </c:pt>
                <c:pt idx="38">
                  <c:v>44466</c:v>
                </c:pt>
                <c:pt idx="39">
                  <c:v>44473</c:v>
                </c:pt>
                <c:pt idx="40">
                  <c:v>44480</c:v>
                </c:pt>
                <c:pt idx="41">
                  <c:v>44487</c:v>
                </c:pt>
                <c:pt idx="42">
                  <c:v>44494</c:v>
                </c:pt>
                <c:pt idx="43">
                  <c:v>44501</c:v>
                </c:pt>
                <c:pt idx="44">
                  <c:v>44508</c:v>
                </c:pt>
                <c:pt idx="45">
                  <c:v>44515</c:v>
                </c:pt>
                <c:pt idx="46">
                  <c:v>44522</c:v>
                </c:pt>
                <c:pt idx="47">
                  <c:v>44529</c:v>
                </c:pt>
                <c:pt idx="48">
                  <c:v>44536</c:v>
                </c:pt>
                <c:pt idx="49">
                  <c:v>44543</c:v>
                </c:pt>
                <c:pt idx="50">
                  <c:v>44550</c:v>
                </c:pt>
                <c:pt idx="51">
                  <c:v>44557</c:v>
                </c:pt>
                <c:pt idx="52">
                  <c:v>44564</c:v>
                </c:pt>
                <c:pt idx="53">
                  <c:v>44571</c:v>
                </c:pt>
                <c:pt idx="54">
                  <c:v>44578</c:v>
                </c:pt>
                <c:pt idx="55">
                  <c:v>44585</c:v>
                </c:pt>
                <c:pt idx="56">
                  <c:v>44592</c:v>
                </c:pt>
                <c:pt idx="57">
                  <c:v>44599</c:v>
                </c:pt>
                <c:pt idx="58">
                  <c:v>44606</c:v>
                </c:pt>
                <c:pt idx="59">
                  <c:v>44613</c:v>
                </c:pt>
                <c:pt idx="60">
                  <c:v>44620</c:v>
                </c:pt>
                <c:pt idx="61">
                  <c:v>44627</c:v>
                </c:pt>
                <c:pt idx="62">
                  <c:v>44634</c:v>
                </c:pt>
                <c:pt idx="63">
                  <c:v>44641</c:v>
                </c:pt>
                <c:pt idx="64">
                  <c:v>44648</c:v>
                </c:pt>
                <c:pt idx="65">
                  <c:v>44655</c:v>
                </c:pt>
                <c:pt idx="66">
                  <c:v>44662</c:v>
                </c:pt>
                <c:pt idx="67">
                  <c:v>44669</c:v>
                </c:pt>
                <c:pt idx="68">
                  <c:v>44676</c:v>
                </c:pt>
                <c:pt idx="69">
                  <c:v>44683</c:v>
                </c:pt>
                <c:pt idx="70">
                  <c:v>44690</c:v>
                </c:pt>
                <c:pt idx="71">
                  <c:v>44697</c:v>
                </c:pt>
                <c:pt idx="72">
                  <c:v>44704</c:v>
                </c:pt>
                <c:pt idx="73">
                  <c:v>44711</c:v>
                </c:pt>
                <c:pt idx="74">
                  <c:v>44718</c:v>
                </c:pt>
                <c:pt idx="75">
                  <c:v>44725</c:v>
                </c:pt>
                <c:pt idx="76">
                  <c:v>44732</c:v>
                </c:pt>
                <c:pt idx="77">
                  <c:v>44739</c:v>
                </c:pt>
                <c:pt idx="78">
                  <c:v>44746</c:v>
                </c:pt>
                <c:pt idx="79">
                  <c:v>44753</c:v>
                </c:pt>
                <c:pt idx="80">
                  <c:v>44760</c:v>
                </c:pt>
                <c:pt idx="81">
                  <c:v>44767</c:v>
                </c:pt>
                <c:pt idx="82">
                  <c:v>44774</c:v>
                </c:pt>
                <c:pt idx="83">
                  <c:v>44781</c:v>
                </c:pt>
                <c:pt idx="84">
                  <c:v>44788</c:v>
                </c:pt>
                <c:pt idx="85">
                  <c:v>44795</c:v>
                </c:pt>
                <c:pt idx="86">
                  <c:v>44802</c:v>
                </c:pt>
                <c:pt idx="87">
                  <c:v>44809</c:v>
                </c:pt>
                <c:pt idx="88">
                  <c:v>44816</c:v>
                </c:pt>
                <c:pt idx="89">
                  <c:v>44823</c:v>
                </c:pt>
                <c:pt idx="90">
                  <c:v>44830</c:v>
                </c:pt>
                <c:pt idx="91">
                  <c:v>44837</c:v>
                </c:pt>
                <c:pt idx="92">
                  <c:v>44844</c:v>
                </c:pt>
                <c:pt idx="93">
                  <c:v>44851</c:v>
                </c:pt>
                <c:pt idx="94">
                  <c:v>44858</c:v>
                </c:pt>
                <c:pt idx="95">
                  <c:v>44865</c:v>
                </c:pt>
                <c:pt idx="96">
                  <c:v>44872</c:v>
                </c:pt>
                <c:pt idx="97">
                  <c:v>44879</c:v>
                </c:pt>
                <c:pt idx="98">
                  <c:v>44886</c:v>
                </c:pt>
                <c:pt idx="99">
                  <c:v>44893</c:v>
                </c:pt>
                <c:pt idx="100">
                  <c:v>44900</c:v>
                </c:pt>
                <c:pt idx="101">
                  <c:v>44907</c:v>
                </c:pt>
                <c:pt idx="102">
                  <c:v>44914</c:v>
                </c:pt>
                <c:pt idx="103">
                  <c:v>44921</c:v>
                </c:pt>
              </c:numCache>
            </c:numRef>
          </c:cat>
          <c:val>
            <c:numRef>
              <c:f>VE!$S$2:$S$105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8-EC4E-946A-52A74F4C868C}"/>
            </c:ext>
          </c:extLst>
        </c:ser>
        <c:ser>
          <c:idx val="4"/>
          <c:order val="1"/>
          <c:tx>
            <c:v> VE</c:v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VE!$O$2:$O$105</c:f>
              <c:numCache>
                <c:formatCode>General</c:formatCode>
                <c:ptCount val="104"/>
                <c:pt idx="4" formatCode="0.0%">
                  <c:v>3.8618414213775765E-2</c:v>
                </c:pt>
                <c:pt idx="5" formatCode="0.0%">
                  <c:v>-0.1584080558738088</c:v>
                </c:pt>
                <c:pt idx="6" formatCode="0.0%">
                  <c:v>-0.36314671339247762</c:v>
                </c:pt>
                <c:pt idx="7" formatCode="0.0%">
                  <c:v>-0.28782018302858903</c:v>
                </c:pt>
                <c:pt idx="8" formatCode="0.0%">
                  <c:v>-9.804702814789848E-2</c:v>
                </c:pt>
                <c:pt idx="9" formatCode="0.0%">
                  <c:v>0.1406132162378006</c:v>
                </c:pt>
                <c:pt idx="10" formatCode="0.0%">
                  <c:v>0.31469813745975989</c:v>
                </c:pt>
                <c:pt idx="11" formatCode="0.0%">
                  <c:v>0.38492903956760705</c:v>
                </c:pt>
                <c:pt idx="12" formatCode="0.0%">
                  <c:v>0.45840935386214515</c:v>
                </c:pt>
                <c:pt idx="13" formatCode="0.0%">
                  <c:v>0.51270574547234427</c:v>
                </c:pt>
                <c:pt idx="14" formatCode="0.0%">
                  <c:v>0.54033161077849656</c:v>
                </c:pt>
                <c:pt idx="15" formatCode="0.0%">
                  <c:v>0.57277027975609451</c:v>
                </c:pt>
                <c:pt idx="16" formatCode="0.0%">
                  <c:v>0.56944071412331554</c:v>
                </c:pt>
                <c:pt idx="17" formatCode="0.0%">
                  <c:v>0.52234241520475821</c:v>
                </c:pt>
                <c:pt idx="18" formatCode="0.0%">
                  <c:v>0.48030092121959472</c:v>
                </c:pt>
                <c:pt idx="19" formatCode="0.0%">
                  <c:v>0.53933009882953686</c:v>
                </c:pt>
                <c:pt idx="20" formatCode="0.0%">
                  <c:v>0.61171586803127087</c:v>
                </c:pt>
                <c:pt idx="21" formatCode="0.0%">
                  <c:v>0.59126155396233449</c:v>
                </c:pt>
                <c:pt idx="22" formatCode="0.0%">
                  <c:v>0.66102617366932481</c:v>
                </c:pt>
                <c:pt idx="23" formatCode="0.0%">
                  <c:v>0.77732005113362668</c:v>
                </c:pt>
                <c:pt idx="24" formatCode="0.0%">
                  <c:v>0.67772095109206332</c:v>
                </c:pt>
                <c:pt idx="25" formatCode="0.0%">
                  <c:v>0.56814057745262181</c:v>
                </c:pt>
                <c:pt idx="26" formatCode="0.0%">
                  <c:v>0.6485097843637595</c:v>
                </c:pt>
                <c:pt idx="27" formatCode="0.0%">
                  <c:v>0.66829069226637161</c:v>
                </c:pt>
                <c:pt idx="28" formatCode="0.0%">
                  <c:v>0.5928984560417121</c:v>
                </c:pt>
                <c:pt idx="29" formatCode="0.0%">
                  <c:v>0.57396049599088372</c:v>
                </c:pt>
                <c:pt idx="30" formatCode="0.0%">
                  <c:v>0.58333653853091172</c:v>
                </c:pt>
                <c:pt idx="31" formatCode="0.0%">
                  <c:v>0.59076010200207918</c:v>
                </c:pt>
                <c:pt idx="32" formatCode="0.0%">
                  <c:v>0.62273926898571097</c:v>
                </c:pt>
                <c:pt idx="33" formatCode="0.0%">
                  <c:v>0.64882359849228932</c:v>
                </c:pt>
                <c:pt idx="34" formatCode="0.0%">
                  <c:v>0.63066734329352747</c:v>
                </c:pt>
                <c:pt idx="35" formatCode="0.0%">
                  <c:v>0.58684254950631032</c:v>
                </c:pt>
                <c:pt idx="36" formatCode="0.0%">
                  <c:v>0.54216634870354108</c:v>
                </c:pt>
                <c:pt idx="37" formatCode="0.0%">
                  <c:v>0.57159151135363462</c:v>
                </c:pt>
                <c:pt idx="38" formatCode="0.0%">
                  <c:v>0.67122481624072439</c:v>
                </c:pt>
                <c:pt idx="39" formatCode="0.0%">
                  <c:v>0.68118946169876793</c:v>
                </c:pt>
                <c:pt idx="40" formatCode="0.0%">
                  <c:v>0.49733537160765318</c:v>
                </c:pt>
                <c:pt idx="41" formatCode="0.0%">
                  <c:v>0.30919308458592931</c:v>
                </c:pt>
                <c:pt idx="42" formatCode="0.0%">
                  <c:v>0.29868127172317893</c:v>
                </c:pt>
                <c:pt idx="43" formatCode="0.0%">
                  <c:v>0.31600419577999062</c:v>
                </c:pt>
                <c:pt idx="44" formatCode="0.0%">
                  <c:v>0.28114020286799241</c:v>
                </c:pt>
                <c:pt idx="45" formatCode="0.0%">
                  <c:v>0.23940078408553112</c:v>
                </c:pt>
                <c:pt idx="46" formatCode="0.0%">
                  <c:v>0.20984296598759336</c:v>
                </c:pt>
                <c:pt idx="47" formatCode="0.0%">
                  <c:v>0.21565000250105271</c:v>
                </c:pt>
                <c:pt idx="48" formatCode="0.0%">
                  <c:v>0.27134467827719266</c:v>
                </c:pt>
                <c:pt idx="49" formatCode="0.0%">
                  <c:v>0.37924662751914096</c:v>
                </c:pt>
                <c:pt idx="50" formatCode="0.0%">
                  <c:v>0.47628040424190543</c:v>
                </c:pt>
                <c:pt idx="51" formatCode="0.0%">
                  <c:v>0.55899703811976353</c:v>
                </c:pt>
                <c:pt idx="52" formatCode="0.0%">
                  <c:v>0.65112831524810755</c:v>
                </c:pt>
                <c:pt idx="53" formatCode="0.0%">
                  <c:v>0.70389412355996583</c:v>
                </c:pt>
                <c:pt idx="54" formatCode="0.0%">
                  <c:v>0.70045579348718989</c:v>
                </c:pt>
                <c:pt idx="55" formatCode="0.0%">
                  <c:v>0.66504751638966142</c:v>
                </c:pt>
                <c:pt idx="56" formatCode="0.0%">
                  <c:v>0.66430596741269254</c:v>
                </c:pt>
                <c:pt idx="57" formatCode="0.0%">
                  <c:v>0.68636331408864248</c:v>
                </c:pt>
                <c:pt idx="58" formatCode="0.0%">
                  <c:v>0.68124447081332185</c:v>
                </c:pt>
                <c:pt idx="59" formatCode="0.0%">
                  <c:v>0.67298706568564781</c:v>
                </c:pt>
                <c:pt idx="60" formatCode="0.0%">
                  <c:v>0.5989598322372478</c:v>
                </c:pt>
                <c:pt idx="61" formatCode="0.0%">
                  <c:v>0.48823086824575834</c:v>
                </c:pt>
                <c:pt idx="62" formatCode="0.0%">
                  <c:v>0.43104490711092436</c:v>
                </c:pt>
                <c:pt idx="63" formatCode="0.0%">
                  <c:v>0.36001890376893897</c:v>
                </c:pt>
                <c:pt idx="64" formatCode="0.0%">
                  <c:v>0.31384250784636369</c:v>
                </c:pt>
                <c:pt idx="65" formatCode="0.0%">
                  <c:v>0.31013108997135169</c:v>
                </c:pt>
                <c:pt idx="66" formatCode="0.0%">
                  <c:v>0.1772397955682935</c:v>
                </c:pt>
                <c:pt idx="67" formatCode="0.0%">
                  <c:v>7.8195803662489849E-2</c:v>
                </c:pt>
                <c:pt idx="68" formatCode="0.0%">
                  <c:v>-3.1917937227224552E-2</c:v>
                </c:pt>
                <c:pt idx="69" formatCode="0.0%">
                  <c:v>-0.12299491116539352</c:v>
                </c:pt>
                <c:pt idx="70" formatCode="0.0%">
                  <c:v>0.11383989401802372</c:v>
                </c:pt>
                <c:pt idx="71" formatCode="0.0%">
                  <c:v>0.30300468905532429</c:v>
                </c:pt>
                <c:pt idx="72" formatCode="0.0%">
                  <c:v>-0.20966750074494941</c:v>
                </c:pt>
                <c:pt idx="73" formatCode="0.0%">
                  <c:v>-0.71103287711719088</c:v>
                </c:pt>
                <c:pt idx="74" formatCode="0.0%">
                  <c:v>-0.29236442775529886</c:v>
                </c:pt>
                <c:pt idx="75" formatCode="0.0%">
                  <c:v>-0.27356565324008825</c:v>
                </c:pt>
                <c:pt idx="76" formatCode="0.0%">
                  <c:v>-0.56910017495416465</c:v>
                </c:pt>
                <c:pt idx="77" formatCode="0.0%">
                  <c:v>-0.14203006508778629</c:v>
                </c:pt>
                <c:pt idx="78" formatCode="0.0%">
                  <c:v>0.12916423438380686</c:v>
                </c:pt>
                <c:pt idx="79" formatCode="0.0%">
                  <c:v>7.3412497989623529E-2</c:v>
                </c:pt>
                <c:pt idx="80" formatCode="0.0%">
                  <c:v>0.12988595611681383</c:v>
                </c:pt>
                <c:pt idx="81" formatCode="0.0%">
                  <c:v>3.4078422661743366E-2</c:v>
                </c:pt>
                <c:pt idx="82" formatCode="0.0%">
                  <c:v>-0.1575197668534693</c:v>
                </c:pt>
                <c:pt idx="83" formatCode="0.0%">
                  <c:v>-0.10274485084243773</c:v>
                </c:pt>
                <c:pt idx="84" formatCode="0.0%">
                  <c:v>-2.8658767147220994E-2</c:v>
                </c:pt>
                <c:pt idx="85" formatCode="0.0%">
                  <c:v>-0.35865515752073757</c:v>
                </c:pt>
                <c:pt idx="86" formatCode="0.0%">
                  <c:v>-0.63808284685853678</c:v>
                </c:pt>
                <c:pt idx="87" formatCode="0.0%">
                  <c:v>-0.28234514809981609</c:v>
                </c:pt>
                <c:pt idx="88" formatCode="0.0%">
                  <c:v>0.11721639188544503</c:v>
                </c:pt>
                <c:pt idx="89" formatCode="0.0%">
                  <c:v>-2.3432354395032065E-2</c:v>
                </c:pt>
                <c:pt idx="90" formatCode="0.0%">
                  <c:v>-9.1002328545630687E-2</c:v>
                </c:pt>
                <c:pt idx="91" formatCode="0.0%">
                  <c:v>-8.8123483735390487E-2</c:v>
                </c:pt>
                <c:pt idx="92" formatCode="0.0%">
                  <c:v>-8.3899732899591156E-2</c:v>
                </c:pt>
                <c:pt idx="93" formatCode="0.0%">
                  <c:v>7.3147707574013301E-2</c:v>
                </c:pt>
                <c:pt idx="94" formatCode="0.0%">
                  <c:v>0.12526559844662549</c:v>
                </c:pt>
                <c:pt idx="95" formatCode="0.0%">
                  <c:v>0.18303812105385536</c:v>
                </c:pt>
                <c:pt idx="96" formatCode="0.0%">
                  <c:v>0.10599757082482845</c:v>
                </c:pt>
                <c:pt idx="97" formatCode="0.0%">
                  <c:v>-0.10548735016740682</c:v>
                </c:pt>
                <c:pt idx="98" formatCode="0.0%">
                  <c:v>-0.10711021852041369</c:v>
                </c:pt>
                <c:pt idx="99" formatCode="0.0%">
                  <c:v>-0.18065673370114452</c:v>
                </c:pt>
                <c:pt idx="100" formatCode="0.0%">
                  <c:v>-0.12035543055337569</c:v>
                </c:pt>
                <c:pt idx="101" formatCode="0.0%">
                  <c:v>-6.2200664644524563E-3</c:v>
                </c:pt>
                <c:pt idx="102" formatCode="0.0%">
                  <c:v>0.17160393203598295</c:v>
                </c:pt>
                <c:pt idx="103" formatCode="0.0%">
                  <c:v>0.13896301498281483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A88-EC4E-946A-52A74F4C868C}"/>
            </c:ext>
          </c:extLst>
        </c:ser>
        <c:ser>
          <c:idx val="0"/>
          <c:order val="2"/>
          <c:tx>
            <c:v>beloofd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VE!$X$2:$X$105</c:f>
              <c:numCache>
                <c:formatCode>General</c:formatCode>
                <c:ptCount val="104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0.95</c:v>
                </c:pt>
                <c:pt idx="56">
                  <c:v>0.95</c:v>
                </c:pt>
                <c:pt idx="57">
                  <c:v>0.95</c:v>
                </c:pt>
                <c:pt idx="58">
                  <c:v>0.95</c:v>
                </c:pt>
                <c:pt idx="59">
                  <c:v>0.95</c:v>
                </c:pt>
                <c:pt idx="60">
                  <c:v>0.95</c:v>
                </c:pt>
                <c:pt idx="61">
                  <c:v>0.95</c:v>
                </c:pt>
                <c:pt idx="62">
                  <c:v>0.95</c:v>
                </c:pt>
                <c:pt idx="63">
                  <c:v>0.95</c:v>
                </c:pt>
                <c:pt idx="64">
                  <c:v>0.95</c:v>
                </c:pt>
                <c:pt idx="65">
                  <c:v>0.95</c:v>
                </c:pt>
                <c:pt idx="66">
                  <c:v>0.95</c:v>
                </c:pt>
                <c:pt idx="67">
                  <c:v>0.95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0.95</c:v>
                </c:pt>
                <c:pt idx="77">
                  <c:v>0.95</c:v>
                </c:pt>
                <c:pt idx="78">
                  <c:v>0.95</c:v>
                </c:pt>
                <c:pt idx="79">
                  <c:v>0.95</c:v>
                </c:pt>
                <c:pt idx="80">
                  <c:v>0.95</c:v>
                </c:pt>
                <c:pt idx="81">
                  <c:v>0.95</c:v>
                </c:pt>
                <c:pt idx="82">
                  <c:v>0.95</c:v>
                </c:pt>
                <c:pt idx="83">
                  <c:v>0.95</c:v>
                </c:pt>
                <c:pt idx="84">
                  <c:v>0.95</c:v>
                </c:pt>
                <c:pt idx="85">
                  <c:v>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0.95</c:v>
                </c:pt>
                <c:pt idx="92">
                  <c:v>0.95</c:v>
                </c:pt>
                <c:pt idx="93">
                  <c:v>0.95</c:v>
                </c:pt>
                <c:pt idx="94">
                  <c:v>0.95</c:v>
                </c:pt>
                <c:pt idx="95">
                  <c:v>0.95</c:v>
                </c:pt>
                <c:pt idx="96">
                  <c:v>0.95</c:v>
                </c:pt>
                <c:pt idx="97">
                  <c:v>0.95</c:v>
                </c:pt>
                <c:pt idx="98">
                  <c:v>0.95</c:v>
                </c:pt>
                <c:pt idx="99">
                  <c:v>0.95</c:v>
                </c:pt>
                <c:pt idx="100">
                  <c:v>0.95</c:v>
                </c:pt>
                <c:pt idx="101">
                  <c:v>0.95</c:v>
                </c:pt>
                <c:pt idx="102">
                  <c:v>0.95</c:v>
                </c:pt>
                <c:pt idx="103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8-EC4E-946A-52A74F4C8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1839"/>
        <c:axId val="99973903"/>
      </c:lineChart>
      <c:dateAx>
        <c:axId val="46311839"/>
        <c:scaling>
          <c:orientation val="minMax"/>
          <c:max val="443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973903"/>
        <c:crossesAt val="-2"/>
        <c:auto val="1"/>
        <c:lblOffset val="100"/>
        <c:baseTimeUnit val="days"/>
        <c:majorUnit val="1"/>
        <c:majorTimeUnit val="months"/>
      </c:dateAx>
      <c:valAx>
        <c:axId val="99973903"/>
        <c:scaling>
          <c:orientation val="minMax"/>
          <c:max val="1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311839"/>
        <c:crosses val="autoZero"/>
        <c:crossBetween val="between"/>
        <c:majorUnit val="0.25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12552674035002E-2"/>
          <c:y val="9.3833780160857902E-2"/>
          <c:w val="0.84106491849069309"/>
          <c:h val="0.84397247260982444"/>
        </c:manualLayout>
      </c:layout>
      <c:lineChart>
        <c:grouping val="standard"/>
        <c:varyColors val="0"/>
        <c:ser>
          <c:idx val="1"/>
          <c:order val="1"/>
          <c:tx>
            <c:v> Oversterfte gevaccineerd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VaxOvst!$B$54:$B$102</c:f>
              <c:numCache>
                <c:formatCode>[$-413]d\ mmm\ yy;@</c:formatCode>
                <c:ptCount val="49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</c:numCache>
            </c:numRef>
          </c:cat>
          <c:val>
            <c:numRef>
              <c:f>VaxOvst!$I$54:$I$102</c:f>
              <c:numCache>
                <c:formatCode>0.0%</c:formatCode>
                <c:ptCount val="49"/>
                <c:pt idx="0">
                  <c:v>-1.3353686201990272E-2</c:v>
                </c:pt>
                <c:pt idx="1">
                  <c:v>-8.9069844133788975E-2</c:v>
                </c:pt>
                <c:pt idx="2">
                  <c:v>-7.0025652808998001E-2</c:v>
                </c:pt>
                <c:pt idx="3">
                  <c:v>-6.312300650244218E-2</c:v>
                </c:pt>
                <c:pt idx="4">
                  <c:v>-4.1735030549583933E-2</c:v>
                </c:pt>
                <c:pt idx="5">
                  <c:v>-5.2968345610772648E-2</c:v>
                </c:pt>
                <c:pt idx="6">
                  <c:v>-1.3609699986315345E-2</c:v>
                </c:pt>
                <c:pt idx="7">
                  <c:v>-9.5681078663037104E-3</c:v>
                </c:pt>
                <c:pt idx="8">
                  <c:v>-3.6074094495141068E-2</c:v>
                </c:pt>
                <c:pt idx="9">
                  <c:v>1.4887114519295827E-2</c:v>
                </c:pt>
                <c:pt idx="10">
                  <c:v>8.8280349027924587E-2</c:v>
                </c:pt>
                <c:pt idx="11">
                  <c:v>0.10527606774471449</c:v>
                </c:pt>
                <c:pt idx="12">
                  <c:v>0.10053539234769646</c:v>
                </c:pt>
                <c:pt idx="13">
                  <c:v>0.12268718107424469</c:v>
                </c:pt>
                <c:pt idx="14">
                  <c:v>0.1223119384775227</c:v>
                </c:pt>
                <c:pt idx="15">
                  <c:v>4.8341279593431222E-2</c:v>
                </c:pt>
                <c:pt idx="16">
                  <c:v>3.5341195860155418E-2</c:v>
                </c:pt>
                <c:pt idx="17">
                  <c:v>4.1694705522839631E-2</c:v>
                </c:pt>
                <c:pt idx="18">
                  <c:v>4.4427488551644974E-2</c:v>
                </c:pt>
                <c:pt idx="19">
                  <c:v>3.088041552998148E-2</c:v>
                </c:pt>
                <c:pt idx="20">
                  <c:v>-4.9219080708823011E-4</c:v>
                </c:pt>
                <c:pt idx="21">
                  <c:v>2.513980555719483E-2</c:v>
                </c:pt>
                <c:pt idx="22">
                  <c:v>2.5545985594663541E-2</c:v>
                </c:pt>
                <c:pt idx="23">
                  <c:v>5.8163825471761847E-2</c:v>
                </c:pt>
                <c:pt idx="24">
                  <c:v>0.10713488363775724</c:v>
                </c:pt>
                <c:pt idx="25">
                  <c:v>9.9355670857999914E-2</c:v>
                </c:pt>
                <c:pt idx="26">
                  <c:v>6.0468711117453736E-2</c:v>
                </c:pt>
                <c:pt idx="27">
                  <c:v>0.10549089433990795</c:v>
                </c:pt>
                <c:pt idx="28">
                  <c:v>0.14094558451131284</c:v>
                </c:pt>
                <c:pt idx="29">
                  <c:v>0.12082830178348726</c:v>
                </c:pt>
                <c:pt idx="30">
                  <c:v>5.8795203759862372E-2</c:v>
                </c:pt>
                <c:pt idx="31">
                  <c:v>6.6052613267759963E-2</c:v>
                </c:pt>
                <c:pt idx="32">
                  <c:v>9.3925031856430669E-2</c:v>
                </c:pt>
                <c:pt idx="33">
                  <c:v>7.7065117081059356E-2</c:v>
                </c:pt>
                <c:pt idx="34">
                  <c:v>5.0036905393445671E-2</c:v>
                </c:pt>
                <c:pt idx="35">
                  <c:v>3.3884408032832852E-2</c:v>
                </c:pt>
                <c:pt idx="36">
                  <c:v>-1.8920181733109599E-2</c:v>
                </c:pt>
                <c:pt idx="37">
                  <c:v>4.205272133307332E-2</c:v>
                </c:pt>
                <c:pt idx="38">
                  <c:v>0.10002274365483073</c:v>
                </c:pt>
                <c:pt idx="39">
                  <c:v>0.12817510081203937</c:v>
                </c:pt>
                <c:pt idx="40">
                  <c:v>0.118725093326102</c:v>
                </c:pt>
                <c:pt idx="41">
                  <c:v>0.1226795549702451</c:v>
                </c:pt>
                <c:pt idx="42">
                  <c:v>8.7576344682788979E-2</c:v>
                </c:pt>
                <c:pt idx="43">
                  <c:v>5.2645167787548616E-2</c:v>
                </c:pt>
                <c:pt idx="44">
                  <c:v>2.8114559844005585E-2</c:v>
                </c:pt>
                <c:pt idx="45">
                  <c:v>4.280140466326765E-2</c:v>
                </c:pt>
                <c:pt idx="46">
                  <c:v>9.7554174496583726E-2</c:v>
                </c:pt>
                <c:pt idx="47">
                  <c:v>9.2827675953078961E-2</c:v>
                </c:pt>
                <c:pt idx="48">
                  <c:v>0.13782700826482383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FE0-AF44-9EAA-762CD325018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VaxOvst!$N$54:$N$102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0-AF44-9EAA-762CD3250183}"/>
            </c:ext>
          </c:extLst>
        </c:ser>
        <c:ser>
          <c:idx val="3"/>
          <c:order val="3"/>
          <c:tx>
            <c:v> Oversterfte ongevaccineerd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VaxOvst!$K$54:$K$102</c:f>
              <c:numCache>
                <c:formatCode>0.0%</c:formatCode>
                <c:ptCount val="49"/>
                <c:pt idx="0">
                  <c:v>0.61283525364815794</c:v>
                </c:pt>
                <c:pt idx="1">
                  <c:v>0.42505014698767252</c:v>
                </c:pt>
                <c:pt idx="2">
                  <c:v>0.35358421394159134</c:v>
                </c:pt>
                <c:pt idx="3">
                  <c:v>0.3202158567292831</c:v>
                </c:pt>
                <c:pt idx="4">
                  <c:v>0.38499223793112319</c:v>
                </c:pt>
                <c:pt idx="5">
                  <c:v>0.40379959465899729</c:v>
                </c:pt>
                <c:pt idx="6">
                  <c:v>0.44966120984775215</c:v>
                </c:pt>
                <c:pt idx="7">
                  <c:v>0.38128351495145268</c:v>
                </c:pt>
                <c:pt idx="8">
                  <c:v>0.30427809553058266</c:v>
                </c:pt>
                <c:pt idx="9">
                  <c:v>0.38133222711604975</c:v>
                </c:pt>
                <c:pt idx="10">
                  <c:v>0.47020785419450056</c:v>
                </c:pt>
                <c:pt idx="11">
                  <c:v>0.47570619729323682</c:v>
                </c:pt>
                <c:pt idx="12">
                  <c:v>0.41430542901790024</c:v>
                </c:pt>
                <c:pt idx="13">
                  <c:v>0.34328675573978445</c:v>
                </c:pt>
                <c:pt idx="14">
                  <c:v>0.26645039596569209</c:v>
                </c:pt>
                <c:pt idx="15">
                  <c:v>0.12705006547299541</c:v>
                </c:pt>
                <c:pt idx="16">
                  <c:v>4.5442029683174207E-2</c:v>
                </c:pt>
                <c:pt idx="17">
                  <c:v>4.586847360610246E-2</c:v>
                </c:pt>
                <c:pt idx="18">
                  <c:v>0.11193204838453449</c:v>
                </c:pt>
                <c:pt idx="19">
                  <c:v>9.5743570745935425E-2</c:v>
                </c:pt>
                <c:pt idx="20">
                  <c:v>1.4991430449624192E-2</c:v>
                </c:pt>
                <c:pt idx="21">
                  <c:v>2.0955926228297769E-2</c:v>
                </c:pt>
                <c:pt idx="22">
                  <c:v>1.9123836452097268E-2</c:v>
                </c:pt>
                <c:pt idx="23">
                  <c:v>4.8757566397743674E-2</c:v>
                </c:pt>
                <c:pt idx="24">
                  <c:v>0.10473153761310681</c:v>
                </c:pt>
                <c:pt idx="25">
                  <c:v>0.1147623694098743</c:v>
                </c:pt>
                <c:pt idx="26">
                  <c:v>6.0303885550005751E-2</c:v>
                </c:pt>
                <c:pt idx="27">
                  <c:v>9.5937363203259671E-2</c:v>
                </c:pt>
                <c:pt idx="28">
                  <c:v>0.15301539606362727</c:v>
                </c:pt>
                <c:pt idx="29">
                  <c:v>0.14262405101717979</c:v>
                </c:pt>
                <c:pt idx="30">
                  <c:v>7.7628397136886448E-2</c:v>
                </c:pt>
                <c:pt idx="31">
                  <c:v>7.8111121987893953E-2</c:v>
                </c:pt>
                <c:pt idx="32">
                  <c:v>0.11981903792321048</c:v>
                </c:pt>
                <c:pt idx="33">
                  <c:v>0.10026321049825052</c:v>
                </c:pt>
                <c:pt idx="34">
                  <c:v>2.2154355542897693E-2</c:v>
                </c:pt>
                <c:pt idx="35">
                  <c:v>5.9482037709795727E-3</c:v>
                </c:pt>
                <c:pt idx="36">
                  <c:v>-1.136802574643918E-2</c:v>
                </c:pt>
                <c:pt idx="37">
                  <c:v>3.8687223474220718E-2</c:v>
                </c:pt>
                <c:pt idx="38">
                  <c:v>7.5718141071702133E-2</c:v>
                </c:pt>
                <c:pt idx="39">
                  <c:v>7.7479428626034477E-2</c:v>
                </c:pt>
                <c:pt idx="40">
                  <c:v>5.4339281906781174E-2</c:v>
                </c:pt>
                <c:pt idx="41">
                  <c:v>0.10319894356214121</c:v>
                </c:pt>
                <c:pt idx="42">
                  <c:v>0.11173945263413557</c:v>
                </c:pt>
                <c:pt idx="43">
                  <c:v>7.3755876188392092E-2</c:v>
                </c:pt>
                <c:pt idx="44">
                  <c:v>-2.8152888808985147E-3</c:v>
                </c:pt>
                <c:pt idx="45">
                  <c:v>-5.7253497272553321E-2</c:v>
                </c:pt>
                <c:pt idx="46">
                  <c:v>-4.0716006605152968E-2</c:v>
                </c:pt>
                <c:pt idx="47">
                  <c:v>-2.0716893337259283E-2</c:v>
                </c:pt>
                <c:pt idx="48">
                  <c:v>7.2415861179185567E-2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FE0-AF44-9EAA-762CD3250183}"/>
            </c:ext>
          </c:extLst>
        </c:ser>
        <c:ser>
          <c:idx val="4"/>
          <c:order val="4"/>
          <c:tx>
            <c:v> Covid gevaccineerd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VaxOvst!$L$54:$L$102</c:f>
              <c:numCache>
                <c:formatCode>0.0%</c:formatCode>
                <c:ptCount val="49"/>
                <c:pt idx="0">
                  <c:v>1.4741899932870587E-2</c:v>
                </c:pt>
                <c:pt idx="1">
                  <c:v>1.1268396029957231E-2</c:v>
                </c:pt>
                <c:pt idx="2">
                  <c:v>8.8766117950086799E-3</c:v>
                </c:pt>
                <c:pt idx="3">
                  <c:v>1.0364495182090391E-2</c:v>
                </c:pt>
                <c:pt idx="4">
                  <c:v>1.300580966901373E-2</c:v>
                </c:pt>
                <c:pt idx="5">
                  <c:v>1.34661427493974E-2</c:v>
                </c:pt>
                <c:pt idx="6">
                  <c:v>1.5707478224293341E-2</c:v>
                </c:pt>
                <c:pt idx="7">
                  <c:v>1.319631501948022E-2</c:v>
                </c:pt>
                <c:pt idx="8">
                  <c:v>1.3524355647784021E-2</c:v>
                </c:pt>
                <c:pt idx="9">
                  <c:v>2.0220448966103668E-2</c:v>
                </c:pt>
                <c:pt idx="10">
                  <c:v>2.6293491692566527E-2</c:v>
                </c:pt>
                <c:pt idx="11">
                  <c:v>2.6211135069070773E-2</c:v>
                </c:pt>
                <c:pt idx="12">
                  <c:v>2.4041783876178512E-2</c:v>
                </c:pt>
                <c:pt idx="13">
                  <c:v>2.0374298101240043E-2</c:v>
                </c:pt>
                <c:pt idx="14">
                  <c:v>1.6743662010139188E-2</c:v>
                </c:pt>
                <c:pt idx="15">
                  <c:v>1.3238545159060018E-2</c:v>
                </c:pt>
                <c:pt idx="16">
                  <c:v>8.625917141311501E-3</c:v>
                </c:pt>
                <c:pt idx="17">
                  <c:v>5.9338792865356628E-3</c:v>
                </c:pt>
                <c:pt idx="18">
                  <c:v>4.3483207436719896E-3</c:v>
                </c:pt>
                <c:pt idx="19">
                  <c:v>4.1942615743105205E-3</c:v>
                </c:pt>
                <c:pt idx="20">
                  <c:v>3.149687991887252E-3</c:v>
                </c:pt>
                <c:pt idx="21">
                  <c:v>2.5811368933745687E-3</c:v>
                </c:pt>
                <c:pt idx="22">
                  <c:v>2.2014511428011126E-3</c:v>
                </c:pt>
                <c:pt idx="23">
                  <c:v>6.2488088625079546E-3</c:v>
                </c:pt>
                <c:pt idx="24">
                  <c:v>6.1868752061779581E-3</c:v>
                </c:pt>
                <c:pt idx="25">
                  <c:v>1.2541552311902539E-2</c:v>
                </c:pt>
                <c:pt idx="26">
                  <c:v>8.7035652389545418E-3</c:v>
                </c:pt>
                <c:pt idx="27">
                  <c:v>1.3454752145858799E-2</c:v>
                </c:pt>
                <c:pt idx="28">
                  <c:v>1.5228663841723954E-2</c:v>
                </c:pt>
                <c:pt idx="29">
                  <c:v>1.5340395726381767E-2</c:v>
                </c:pt>
                <c:pt idx="30">
                  <c:v>1.2860563509230401E-2</c:v>
                </c:pt>
                <c:pt idx="31">
                  <c:v>1.1192592841560579E-2</c:v>
                </c:pt>
                <c:pt idx="32">
                  <c:v>8.5981942274881394E-3</c:v>
                </c:pt>
                <c:pt idx="33">
                  <c:v>7.1341760987307353E-3</c:v>
                </c:pt>
                <c:pt idx="34">
                  <c:v>5.6764792068417121E-3</c:v>
                </c:pt>
                <c:pt idx="35">
                  <c:v>6.0430502501144876E-3</c:v>
                </c:pt>
                <c:pt idx="36">
                  <c:v>4.5993187302526039E-3</c:v>
                </c:pt>
                <c:pt idx="37">
                  <c:v>4.5624143798278895E-3</c:v>
                </c:pt>
                <c:pt idx="38">
                  <c:v>8.8493051625002945E-3</c:v>
                </c:pt>
                <c:pt idx="39">
                  <c:v>1.3834848477537794E-2</c:v>
                </c:pt>
                <c:pt idx="40">
                  <c:v>1.6309651052004208E-2</c:v>
                </c:pt>
                <c:pt idx="41">
                  <c:v>1.7777012169361603E-2</c:v>
                </c:pt>
                <c:pt idx="42">
                  <c:v>1.31561070451335E-2</c:v>
                </c:pt>
                <c:pt idx="43">
                  <c:v>8.2490213911302016E-3</c:v>
                </c:pt>
                <c:pt idx="44">
                  <c:v>7.3359023987372108E-3</c:v>
                </c:pt>
                <c:pt idx="45">
                  <c:v>5.9813904009674221E-3</c:v>
                </c:pt>
                <c:pt idx="46">
                  <c:v>5.2003683547942221E-3</c:v>
                </c:pt>
                <c:pt idx="47">
                  <c:v>6.6070722707996842E-3</c:v>
                </c:pt>
                <c:pt idx="48">
                  <c:v>6.5589811638753102E-3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E0-AF44-9EAA-762CD3250183}"/>
            </c:ext>
          </c:extLst>
        </c:ser>
        <c:ser>
          <c:idx val="5"/>
          <c:order val="5"/>
          <c:tx>
            <c:v> Covid ongevaccineerd</c:v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VaxOvst!$M$54:$M$102</c:f>
              <c:numCache>
                <c:formatCode>0.0%</c:formatCode>
                <c:ptCount val="49"/>
                <c:pt idx="0">
                  <c:v>7.6208356953757092E-2</c:v>
                </c:pt>
                <c:pt idx="1">
                  <c:v>5.7736985908302507E-2</c:v>
                </c:pt>
                <c:pt idx="2">
                  <c:v>4.5877142148460712E-2</c:v>
                </c:pt>
                <c:pt idx="3">
                  <c:v>3.9971547260265167E-2</c:v>
                </c:pt>
                <c:pt idx="4">
                  <c:v>5.3517149246144341E-2</c:v>
                </c:pt>
                <c:pt idx="5">
                  <c:v>7.1271033043190782E-2</c:v>
                </c:pt>
                <c:pt idx="6">
                  <c:v>6.6733024383330966E-2</c:v>
                </c:pt>
                <c:pt idx="7">
                  <c:v>6.104913726874666E-2</c:v>
                </c:pt>
                <c:pt idx="8">
                  <c:v>4.9422759176441511E-2</c:v>
                </c:pt>
                <c:pt idx="9">
                  <c:v>5.2691544344618695E-2</c:v>
                </c:pt>
                <c:pt idx="10">
                  <c:v>7.1108794972573247E-2</c:v>
                </c:pt>
                <c:pt idx="11">
                  <c:v>6.0696533165002869E-2</c:v>
                </c:pt>
                <c:pt idx="12">
                  <c:v>4.8941449481779017E-2</c:v>
                </c:pt>
                <c:pt idx="13">
                  <c:v>4.380509549995118E-2</c:v>
                </c:pt>
                <c:pt idx="14">
                  <c:v>2.9258476051050916E-2</c:v>
                </c:pt>
                <c:pt idx="15">
                  <c:v>1.7593614843137047E-2</c:v>
                </c:pt>
                <c:pt idx="16">
                  <c:v>1.5224780212221824E-2</c:v>
                </c:pt>
                <c:pt idx="17">
                  <c:v>5.764550225009212E-3</c:v>
                </c:pt>
                <c:pt idx="18">
                  <c:v>1.034677346186566E-2</c:v>
                </c:pt>
                <c:pt idx="19">
                  <c:v>6.5277416272811334E-3</c:v>
                </c:pt>
                <c:pt idx="20">
                  <c:v>6.587087867648821E-3</c:v>
                </c:pt>
                <c:pt idx="21">
                  <c:v>1.9931264176649781E-3</c:v>
                </c:pt>
                <c:pt idx="22">
                  <c:v>4.6877054054750966E-3</c:v>
                </c:pt>
                <c:pt idx="23">
                  <c:v>7.4194914161539874E-3</c:v>
                </c:pt>
                <c:pt idx="24">
                  <c:v>5.4300947585118036E-3</c:v>
                </c:pt>
                <c:pt idx="25">
                  <c:v>1.9788828319531028E-2</c:v>
                </c:pt>
                <c:pt idx="26">
                  <c:v>1.37051615527429E-2</c:v>
                </c:pt>
                <c:pt idx="27">
                  <c:v>1.7183843756455014E-2</c:v>
                </c:pt>
                <c:pt idx="28">
                  <c:v>2.4790111825509064E-2</c:v>
                </c:pt>
                <c:pt idx="29">
                  <c:v>2.3426376127329517E-2</c:v>
                </c:pt>
                <c:pt idx="30">
                  <c:v>1.4459230480839353E-2</c:v>
                </c:pt>
                <c:pt idx="31">
                  <c:v>1.5118294071098768E-2</c:v>
                </c:pt>
                <c:pt idx="32">
                  <c:v>1.1645356467449599E-2</c:v>
                </c:pt>
                <c:pt idx="33">
                  <c:v>9.5488203167626781E-3</c:v>
                </c:pt>
                <c:pt idx="34">
                  <c:v>4.7485931826464333E-3</c:v>
                </c:pt>
                <c:pt idx="35">
                  <c:v>8.0883903347686217E-3</c:v>
                </c:pt>
                <c:pt idx="36">
                  <c:v>6.6913165473574676E-3</c:v>
                </c:pt>
                <c:pt idx="37">
                  <c:v>7.9651515259871516E-3</c:v>
                </c:pt>
                <c:pt idx="38">
                  <c:v>9.2123535794233855E-3</c:v>
                </c:pt>
                <c:pt idx="39">
                  <c:v>1.8256603949773607E-2</c:v>
                </c:pt>
                <c:pt idx="40">
                  <c:v>1.7438038380135589E-2</c:v>
                </c:pt>
                <c:pt idx="41">
                  <c:v>2.5584781782207772E-2</c:v>
                </c:pt>
                <c:pt idx="42">
                  <c:v>2.4069778578423552E-2</c:v>
                </c:pt>
                <c:pt idx="43">
                  <c:v>1.4428576751443651E-2</c:v>
                </c:pt>
                <c:pt idx="44">
                  <c:v>1.1807445633021045E-2</c:v>
                </c:pt>
                <c:pt idx="45">
                  <c:v>7.3900255368165562E-3</c:v>
                </c:pt>
                <c:pt idx="46">
                  <c:v>5.4951260753088741E-3</c:v>
                </c:pt>
                <c:pt idx="47">
                  <c:v>6.0570630933569295E-3</c:v>
                </c:pt>
                <c:pt idx="48">
                  <c:v>1.0823355640283179E-2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FFE0-AF44-9EAA-762CD3250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63424"/>
        <c:axId val="1370025120"/>
      </c:lineChart>
      <c:lineChart>
        <c:grouping val="standard"/>
        <c:varyColors val="0"/>
        <c:ser>
          <c:idx val="0"/>
          <c:order val="0"/>
          <c:tx>
            <c:v> Vaccinaties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VaxOvst!$B$54:$B$102</c:f>
              <c:numCache>
                <c:formatCode>[$-413]d\ mmm\ yy;@</c:formatCode>
                <c:ptCount val="49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</c:numCache>
            </c:numRef>
          </c:cat>
          <c:val>
            <c:numRef>
              <c:f>VaxOvst!$H$54:$H$102</c:f>
              <c:numCache>
                <c:formatCode>0</c:formatCode>
                <c:ptCount val="49"/>
                <c:pt idx="0">
                  <c:v>1887225</c:v>
                </c:pt>
                <c:pt idx="1">
                  <c:v>1134811</c:v>
                </c:pt>
                <c:pt idx="2">
                  <c:v>469035</c:v>
                </c:pt>
                <c:pt idx="3">
                  <c:v>288519</c:v>
                </c:pt>
                <c:pt idx="4">
                  <c:v>220642</c:v>
                </c:pt>
                <c:pt idx="5">
                  <c:v>134939</c:v>
                </c:pt>
                <c:pt idx="6">
                  <c:v>72749</c:v>
                </c:pt>
                <c:pt idx="7">
                  <c:v>57933</c:v>
                </c:pt>
                <c:pt idx="8">
                  <c:v>85689</c:v>
                </c:pt>
                <c:pt idx="9">
                  <c:v>190818</c:v>
                </c:pt>
                <c:pt idx="10">
                  <c:v>295418</c:v>
                </c:pt>
                <c:pt idx="11">
                  <c:v>349558</c:v>
                </c:pt>
                <c:pt idx="12">
                  <c:v>383544</c:v>
                </c:pt>
                <c:pt idx="13">
                  <c:v>320757</c:v>
                </c:pt>
                <c:pt idx="14">
                  <c:v>235594</c:v>
                </c:pt>
                <c:pt idx="15">
                  <c:v>180870</c:v>
                </c:pt>
                <c:pt idx="16">
                  <c:v>110041</c:v>
                </c:pt>
                <c:pt idx="17">
                  <c:v>84547</c:v>
                </c:pt>
                <c:pt idx="18">
                  <c:v>65697</c:v>
                </c:pt>
                <c:pt idx="19">
                  <c:v>71612</c:v>
                </c:pt>
                <c:pt idx="20">
                  <c:v>51904</c:v>
                </c:pt>
                <c:pt idx="21">
                  <c:v>47909</c:v>
                </c:pt>
                <c:pt idx="22">
                  <c:v>44750</c:v>
                </c:pt>
                <c:pt idx="23">
                  <c:v>75114</c:v>
                </c:pt>
                <c:pt idx="24">
                  <c:v>104049</c:v>
                </c:pt>
                <c:pt idx="25">
                  <c:v>95079</c:v>
                </c:pt>
                <c:pt idx="26">
                  <c:v>85743</c:v>
                </c:pt>
                <c:pt idx="27">
                  <c:v>122877</c:v>
                </c:pt>
                <c:pt idx="28">
                  <c:v>92671</c:v>
                </c:pt>
                <c:pt idx="29">
                  <c:v>86613</c:v>
                </c:pt>
                <c:pt idx="30">
                  <c:v>57962</c:v>
                </c:pt>
                <c:pt idx="31">
                  <c:v>33588</c:v>
                </c:pt>
                <c:pt idx="32">
                  <c:v>25873</c:v>
                </c:pt>
                <c:pt idx="33">
                  <c:v>17034</c:v>
                </c:pt>
                <c:pt idx="34">
                  <c:v>13818</c:v>
                </c:pt>
                <c:pt idx="35">
                  <c:v>0</c:v>
                </c:pt>
                <c:pt idx="36">
                  <c:v>0</c:v>
                </c:pt>
                <c:pt idx="37">
                  <c:v>231262.59999999998</c:v>
                </c:pt>
                <c:pt idx="38">
                  <c:v>456469.38000000006</c:v>
                </c:pt>
                <c:pt idx="39">
                  <c:v>567355.92999999993</c:v>
                </c:pt>
                <c:pt idx="40">
                  <c:v>620017.10000000009</c:v>
                </c:pt>
                <c:pt idx="41">
                  <c:v>591518.34000000008</c:v>
                </c:pt>
                <c:pt idx="42">
                  <c:v>546688.69999999995</c:v>
                </c:pt>
                <c:pt idx="43">
                  <c:v>305627.0999999998</c:v>
                </c:pt>
                <c:pt idx="44">
                  <c:v>226347.8600000001</c:v>
                </c:pt>
                <c:pt idx="45">
                  <c:v>116938.74999999988</c:v>
                </c:pt>
                <c:pt idx="46">
                  <c:v>92909.039999999921</c:v>
                </c:pt>
                <c:pt idx="47">
                  <c:v>68626.349999999977</c:v>
                </c:pt>
                <c:pt idx="48">
                  <c:v>45922.830000000307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FE0-AF44-9EAA-762CD3250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393760"/>
        <c:axId val="1662781696"/>
      </c:lineChart>
      <c:dateAx>
        <c:axId val="1885363424"/>
        <c:scaling>
          <c:orientation val="minMax"/>
          <c:min val="447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0025120"/>
        <c:crossesAt val="-0.1"/>
        <c:auto val="1"/>
        <c:lblOffset val="100"/>
        <c:baseTimeUnit val="days"/>
        <c:majorUnit val="1"/>
        <c:majorTimeUnit val="months"/>
      </c:dateAx>
      <c:valAx>
        <c:axId val="1370025120"/>
        <c:scaling>
          <c:orientation val="minMax"/>
          <c:max val="0.25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5363424"/>
        <c:crosses val="autoZero"/>
        <c:crossBetween val="between"/>
        <c:majorUnit val="0.05"/>
      </c:valAx>
      <c:valAx>
        <c:axId val="1662781696"/>
        <c:scaling>
          <c:orientation val="minMax"/>
          <c:max val="3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b="1">
                    <a:solidFill>
                      <a:srgbClr val="0070C0"/>
                    </a:solidFill>
                  </a:rPr>
                  <a:t>Vaccinaties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0393760"/>
        <c:crosses val="max"/>
        <c:crossBetween val="between"/>
        <c:majorUnit val="500000"/>
      </c:valAx>
      <c:dateAx>
        <c:axId val="1370393760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1662781696"/>
        <c:crosses val="autoZero"/>
        <c:auto val="1"/>
        <c:lblOffset val="100"/>
        <c:baseTimeUnit val="days"/>
      </c:date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1"/>
        <c:delete val="1"/>
      </c:legendEntry>
      <c:layout>
        <c:manualLayout>
          <c:xMode val="edge"/>
          <c:yMode val="edge"/>
          <c:x val="3.0581039755351682E-3"/>
          <c:y val="1.6752865677313127E-3"/>
          <c:w val="0.99694189602446481"/>
          <c:h val="8.1816934411348727E-2"/>
        </c:manualLayout>
      </c:layout>
      <c:overlay val="0"/>
      <c:spPr>
        <a:solidFill>
          <a:schemeClr val="bg1">
            <a:lumMod val="8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Gevaccineerde oversterfte</a:t>
            </a:r>
            <a:r>
              <a:rPr lang="nl-NL" sz="1600" b="1" baseline="0"/>
              <a:t> t.o.v. ongevaccineerd</a:t>
            </a:r>
            <a:endParaRPr lang="nl-N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5312552674035002E-2"/>
          <c:y val="9.3833780160857902E-2"/>
          <c:w val="0.84106491849069309"/>
          <c:h val="0.84397247260982444"/>
        </c:manualLayout>
      </c:layout>
      <c:lineChart>
        <c:grouping val="standard"/>
        <c:varyColors val="0"/>
        <c:ser>
          <c:idx val="1"/>
          <c:order val="1"/>
          <c:tx>
            <c:v> Extra oversterfte gevaccineerd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VaxOvst!$B$54:$B$102</c:f>
              <c:numCache>
                <c:formatCode>[$-413]d\ mmm\ yy;@</c:formatCode>
                <c:ptCount val="49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</c:numCache>
            </c:numRef>
          </c:cat>
          <c:val>
            <c:numRef>
              <c:f>VaxOvst!$AF$54:$AF$102</c:f>
              <c:numCache>
                <c:formatCode>General</c:formatCode>
                <c:ptCount val="49"/>
                <c:pt idx="12" formatCode="0.0%">
                  <c:v>-0.31377003667020376</c:v>
                </c:pt>
                <c:pt idx="13" formatCode="0.0%">
                  <c:v>-0.22059957466553975</c:v>
                </c:pt>
                <c:pt idx="14" formatCode="0.0%">
                  <c:v>-0.14413845748816939</c:v>
                </c:pt>
                <c:pt idx="15" formatCode="0.0%">
                  <c:v>-7.8708785879564189E-2</c:v>
                </c:pt>
                <c:pt idx="16" formatCode="0.0%">
                  <c:v>-1.0100833823018789E-2</c:v>
                </c:pt>
                <c:pt idx="17" formatCode="0.0%">
                  <c:v>-4.1737680832628285E-3</c:v>
                </c:pt>
                <c:pt idx="18" formatCode="0.0%">
                  <c:v>-6.7504559832889527E-2</c:v>
                </c:pt>
                <c:pt idx="19" formatCode="0.0%">
                  <c:v>-6.4863155215953941E-2</c:v>
                </c:pt>
                <c:pt idx="20" formatCode="0.0%">
                  <c:v>-1.5483621256712422E-2</c:v>
                </c:pt>
                <c:pt idx="21" formatCode="0.0%">
                  <c:v>4.1838793288970604E-3</c:v>
                </c:pt>
                <c:pt idx="22" formatCode="0.0%">
                  <c:v>6.4221491425662733E-3</c:v>
                </c:pt>
                <c:pt idx="23" formatCode="0.0%">
                  <c:v>9.4062590740181737E-3</c:v>
                </c:pt>
                <c:pt idx="24" formatCode="0.0%">
                  <c:v>2.4033460246504212E-3</c:v>
                </c:pt>
                <c:pt idx="25" formatCode="0.0%">
                  <c:v>-1.540669855187439E-2</c:v>
                </c:pt>
                <c:pt idx="26" formatCode="0.0%">
                  <c:v>1.6482556744798482E-4</c:v>
                </c:pt>
                <c:pt idx="27" formatCode="0.0%">
                  <c:v>9.55353113664828E-3</c:v>
                </c:pt>
                <c:pt idx="28" formatCode="0.0%">
                  <c:v>-1.206981155231443E-2</c:v>
                </c:pt>
                <c:pt idx="29" formatCode="0.0%">
                  <c:v>-2.1795749233692527E-2</c:v>
                </c:pt>
                <c:pt idx="30" formatCode="0.0%">
                  <c:v>-1.8833193377024077E-2</c:v>
                </c:pt>
                <c:pt idx="31" formatCode="0.0%">
                  <c:v>-1.205850872013399E-2</c:v>
                </c:pt>
                <c:pt idx="32" formatCode="0.0%">
                  <c:v>-2.5894006066779815E-2</c:v>
                </c:pt>
                <c:pt idx="33" formatCode="0.0%">
                  <c:v>-2.319809341719116E-2</c:v>
                </c:pt>
                <c:pt idx="34" formatCode="0.0%">
                  <c:v>2.7882549850547979E-2</c:v>
                </c:pt>
                <c:pt idx="35" formatCode="0.0%">
                  <c:v>2.7936204261853281E-2</c:v>
                </c:pt>
                <c:pt idx="36" formatCode="0.0%">
                  <c:v>-7.5521559866704186E-3</c:v>
                </c:pt>
                <c:pt idx="37" formatCode="0.0%">
                  <c:v>3.3654978588526022E-3</c:v>
                </c:pt>
                <c:pt idx="38" formatCode="0.0%">
                  <c:v>2.4304602583128596E-2</c:v>
                </c:pt>
                <c:pt idx="39" formatCode="0.0%">
                  <c:v>5.0695672186004889E-2</c:v>
                </c:pt>
                <c:pt idx="40" formatCode="0.0%">
                  <c:v>6.4385811419320815E-2</c:v>
                </c:pt>
                <c:pt idx="41" formatCode="0.0%">
                  <c:v>1.9480611408103893E-2</c:v>
                </c:pt>
                <c:pt idx="42" formatCode="0.0%">
                  <c:v>-2.4163107951346588E-2</c:v>
                </c:pt>
                <c:pt idx="43" formatCode="0.0%">
                  <c:v>-2.1110708400843475E-2</c:v>
                </c:pt>
                <c:pt idx="44" formatCode="0.0%">
                  <c:v>3.0929848724904098E-2</c:v>
                </c:pt>
                <c:pt idx="45" formatCode="0.0%">
                  <c:v>0.10005490193582098</c:v>
                </c:pt>
                <c:pt idx="46" formatCode="0.0%">
                  <c:v>0.13827018110173669</c:v>
                </c:pt>
                <c:pt idx="47" formatCode="0.0%">
                  <c:v>0.11354456929033824</c:v>
                </c:pt>
                <c:pt idx="48" formatCode="0.0%">
                  <c:v>6.5411147085638263E-2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7D-A74F-9360-80200B292B7E}"/>
            </c:ext>
          </c:extLst>
        </c:ser>
        <c:ser>
          <c:idx val="2"/>
          <c:order val="2"/>
          <c:tx>
            <c:v>zero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VaxOvst!$N$54:$N$102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D-A74F-9360-80200B292B7E}"/>
            </c:ext>
          </c:extLst>
        </c:ser>
        <c:ser>
          <c:idx val="3"/>
          <c:order val="3"/>
          <c:tx>
            <c:v> Corona sterfte gevaccineerd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VaxOvst!$L$54:$L$102</c:f>
              <c:numCache>
                <c:formatCode>0.0%</c:formatCode>
                <c:ptCount val="49"/>
                <c:pt idx="0">
                  <c:v>1.4741899932870587E-2</c:v>
                </c:pt>
                <c:pt idx="1">
                  <c:v>1.1268396029957231E-2</c:v>
                </c:pt>
                <c:pt idx="2">
                  <c:v>8.8766117950086799E-3</c:v>
                </c:pt>
                <c:pt idx="3">
                  <c:v>1.0364495182090391E-2</c:v>
                </c:pt>
                <c:pt idx="4">
                  <c:v>1.300580966901373E-2</c:v>
                </c:pt>
                <c:pt idx="5">
                  <c:v>1.34661427493974E-2</c:v>
                </c:pt>
                <c:pt idx="6">
                  <c:v>1.5707478224293341E-2</c:v>
                </c:pt>
                <c:pt idx="7">
                  <c:v>1.319631501948022E-2</c:v>
                </c:pt>
                <c:pt idx="8">
                  <c:v>1.3524355647784021E-2</c:v>
                </c:pt>
                <c:pt idx="9">
                  <c:v>2.0220448966103668E-2</c:v>
                </c:pt>
                <c:pt idx="10">
                  <c:v>2.6293491692566527E-2</c:v>
                </c:pt>
                <c:pt idx="11">
                  <c:v>2.6211135069070773E-2</c:v>
                </c:pt>
                <c:pt idx="12">
                  <c:v>2.4041783876178512E-2</c:v>
                </c:pt>
                <c:pt idx="13">
                  <c:v>2.0374298101240043E-2</c:v>
                </c:pt>
                <c:pt idx="14">
                  <c:v>1.6743662010139188E-2</c:v>
                </c:pt>
                <c:pt idx="15">
                  <c:v>1.3238545159060018E-2</c:v>
                </c:pt>
                <c:pt idx="16">
                  <c:v>8.625917141311501E-3</c:v>
                </c:pt>
                <c:pt idx="17">
                  <c:v>5.9338792865356628E-3</c:v>
                </c:pt>
                <c:pt idx="18">
                  <c:v>4.3483207436719896E-3</c:v>
                </c:pt>
                <c:pt idx="19">
                  <c:v>4.1942615743105205E-3</c:v>
                </c:pt>
                <c:pt idx="20">
                  <c:v>3.149687991887252E-3</c:v>
                </c:pt>
                <c:pt idx="21">
                  <c:v>2.5811368933745687E-3</c:v>
                </c:pt>
                <c:pt idx="22">
                  <c:v>2.2014511428011126E-3</c:v>
                </c:pt>
                <c:pt idx="23">
                  <c:v>6.2488088625079546E-3</c:v>
                </c:pt>
                <c:pt idx="24">
                  <c:v>6.1868752061779581E-3</c:v>
                </c:pt>
                <c:pt idx="25">
                  <c:v>1.2541552311902539E-2</c:v>
                </c:pt>
                <c:pt idx="26">
                  <c:v>8.7035652389545418E-3</c:v>
                </c:pt>
                <c:pt idx="27">
                  <c:v>1.3454752145858799E-2</c:v>
                </c:pt>
                <c:pt idx="28">
                  <c:v>1.5228663841723954E-2</c:v>
                </c:pt>
                <c:pt idx="29">
                  <c:v>1.5340395726381767E-2</c:v>
                </c:pt>
                <c:pt idx="30">
                  <c:v>1.2860563509230401E-2</c:v>
                </c:pt>
                <c:pt idx="31">
                  <c:v>1.1192592841560579E-2</c:v>
                </c:pt>
                <c:pt idx="32">
                  <c:v>8.5981942274881394E-3</c:v>
                </c:pt>
                <c:pt idx="33">
                  <c:v>7.1341760987307353E-3</c:v>
                </c:pt>
                <c:pt idx="34">
                  <c:v>5.6764792068417121E-3</c:v>
                </c:pt>
                <c:pt idx="35">
                  <c:v>6.0430502501144876E-3</c:v>
                </c:pt>
                <c:pt idx="36">
                  <c:v>4.5993187302526039E-3</c:v>
                </c:pt>
                <c:pt idx="37">
                  <c:v>4.5624143798278895E-3</c:v>
                </c:pt>
                <c:pt idx="38">
                  <c:v>8.8493051625002945E-3</c:v>
                </c:pt>
                <c:pt idx="39">
                  <c:v>1.3834848477537794E-2</c:v>
                </c:pt>
                <c:pt idx="40">
                  <c:v>1.6309651052004208E-2</c:v>
                </c:pt>
                <c:pt idx="41">
                  <c:v>1.7777012169361603E-2</c:v>
                </c:pt>
                <c:pt idx="42">
                  <c:v>1.31561070451335E-2</c:v>
                </c:pt>
                <c:pt idx="43">
                  <c:v>8.2490213911302016E-3</c:v>
                </c:pt>
                <c:pt idx="44">
                  <c:v>7.3359023987372108E-3</c:v>
                </c:pt>
                <c:pt idx="45">
                  <c:v>5.9813904009674221E-3</c:v>
                </c:pt>
                <c:pt idx="46">
                  <c:v>5.2003683547942221E-3</c:v>
                </c:pt>
                <c:pt idx="47">
                  <c:v>6.6070722707996842E-3</c:v>
                </c:pt>
                <c:pt idx="48">
                  <c:v>6.5589811638753102E-3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D7D-A74F-9360-80200B292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63424"/>
        <c:axId val="1370025120"/>
      </c:lineChart>
      <c:lineChart>
        <c:grouping val="standard"/>
        <c:varyColors val="0"/>
        <c:ser>
          <c:idx val="0"/>
          <c:order val="0"/>
          <c:tx>
            <c:v> Vaccinaties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VaxOvst!$B$54:$B$102</c:f>
              <c:numCache>
                <c:formatCode>[$-413]d\ mmm\ yy;@</c:formatCode>
                <c:ptCount val="49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44746</c:v>
                </c:pt>
                <c:pt idx="27">
                  <c:v>44753</c:v>
                </c:pt>
                <c:pt idx="28">
                  <c:v>44760</c:v>
                </c:pt>
                <c:pt idx="29">
                  <c:v>44767</c:v>
                </c:pt>
                <c:pt idx="30">
                  <c:v>44774</c:v>
                </c:pt>
                <c:pt idx="31">
                  <c:v>44781</c:v>
                </c:pt>
                <c:pt idx="32">
                  <c:v>44788</c:v>
                </c:pt>
                <c:pt idx="33">
                  <c:v>44795</c:v>
                </c:pt>
                <c:pt idx="34">
                  <c:v>44802</c:v>
                </c:pt>
                <c:pt idx="35">
                  <c:v>44809</c:v>
                </c:pt>
                <c:pt idx="36">
                  <c:v>44816</c:v>
                </c:pt>
                <c:pt idx="37">
                  <c:v>44823</c:v>
                </c:pt>
                <c:pt idx="38">
                  <c:v>44830</c:v>
                </c:pt>
                <c:pt idx="39">
                  <c:v>44837</c:v>
                </c:pt>
                <c:pt idx="40">
                  <c:v>44844</c:v>
                </c:pt>
                <c:pt idx="41">
                  <c:v>44851</c:v>
                </c:pt>
                <c:pt idx="42">
                  <c:v>44858</c:v>
                </c:pt>
                <c:pt idx="43">
                  <c:v>44865</c:v>
                </c:pt>
                <c:pt idx="44">
                  <c:v>44872</c:v>
                </c:pt>
                <c:pt idx="45">
                  <c:v>44879</c:v>
                </c:pt>
                <c:pt idx="46">
                  <c:v>44886</c:v>
                </c:pt>
                <c:pt idx="47">
                  <c:v>44893</c:v>
                </c:pt>
                <c:pt idx="48">
                  <c:v>44900</c:v>
                </c:pt>
              </c:numCache>
            </c:numRef>
          </c:cat>
          <c:val>
            <c:numRef>
              <c:f>VaxOvst!$H$54:$H$102</c:f>
              <c:numCache>
                <c:formatCode>0</c:formatCode>
                <c:ptCount val="49"/>
                <c:pt idx="0">
                  <c:v>1887225</c:v>
                </c:pt>
                <c:pt idx="1">
                  <c:v>1134811</c:v>
                </c:pt>
                <c:pt idx="2">
                  <c:v>469035</c:v>
                </c:pt>
                <c:pt idx="3">
                  <c:v>288519</c:v>
                </c:pt>
                <c:pt idx="4">
                  <c:v>220642</c:v>
                </c:pt>
                <c:pt idx="5">
                  <c:v>134939</c:v>
                </c:pt>
                <c:pt idx="6">
                  <c:v>72749</c:v>
                </c:pt>
                <c:pt idx="7">
                  <c:v>57933</c:v>
                </c:pt>
                <c:pt idx="8">
                  <c:v>85689</c:v>
                </c:pt>
                <c:pt idx="9">
                  <c:v>190818</c:v>
                </c:pt>
                <c:pt idx="10">
                  <c:v>295418</c:v>
                </c:pt>
                <c:pt idx="11">
                  <c:v>349558</c:v>
                </c:pt>
                <c:pt idx="12">
                  <c:v>383544</c:v>
                </c:pt>
                <c:pt idx="13">
                  <c:v>320757</c:v>
                </c:pt>
                <c:pt idx="14">
                  <c:v>235594</c:v>
                </c:pt>
                <c:pt idx="15">
                  <c:v>180870</c:v>
                </c:pt>
                <c:pt idx="16">
                  <c:v>110041</c:v>
                </c:pt>
                <c:pt idx="17">
                  <c:v>84547</c:v>
                </c:pt>
                <c:pt idx="18">
                  <c:v>65697</c:v>
                </c:pt>
                <c:pt idx="19">
                  <c:v>71612</c:v>
                </c:pt>
                <c:pt idx="20">
                  <c:v>51904</c:v>
                </c:pt>
                <c:pt idx="21">
                  <c:v>47909</c:v>
                </c:pt>
                <c:pt idx="22">
                  <c:v>44750</c:v>
                </c:pt>
                <c:pt idx="23">
                  <c:v>75114</c:v>
                </c:pt>
                <c:pt idx="24">
                  <c:v>104049</c:v>
                </c:pt>
                <c:pt idx="25">
                  <c:v>95079</c:v>
                </c:pt>
                <c:pt idx="26">
                  <c:v>85743</c:v>
                </c:pt>
                <c:pt idx="27">
                  <c:v>122877</c:v>
                </c:pt>
                <c:pt idx="28">
                  <c:v>92671</c:v>
                </c:pt>
                <c:pt idx="29">
                  <c:v>86613</c:v>
                </c:pt>
                <c:pt idx="30">
                  <c:v>57962</c:v>
                </c:pt>
                <c:pt idx="31">
                  <c:v>33588</c:v>
                </c:pt>
                <c:pt idx="32">
                  <c:v>25873</c:v>
                </c:pt>
                <c:pt idx="33">
                  <c:v>17034</c:v>
                </c:pt>
                <c:pt idx="34">
                  <c:v>13818</c:v>
                </c:pt>
                <c:pt idx="35">
                  <c:v>0</c:v>
                </c:pt>
                <c:pt idx="36">
                  <c:v>0</c:v>
                </c:pt>
                <c:pt idx="37">
                  <c:v>231262.59999999998</c:v>
                </c:pt>
                <c:pt idx="38">
                  <c:v>456469.38000000006</c:v>
                </c:pt>
                <c:pt idx="39">
                  <c:v>567355.92999999993</c:v>
                </c:pt>
                <c:pt idx="40">
                  <c:v>620017.10000000009</c:v>
                </c:pt>
                <c:pt idx="41">
                  <c:v>591518.34000000008</c:v>
                </c:pt>
                <c:pt idx="42">
                  <c:v>546688.69999999995</c:v>
                </c:pt>
                <c:pt idx="43">
                  <c:v>305627.0999999998</c:v>
                </c:pt>
                <c:pt idx="44">
                  <c:v>226347.8600000001</c:v>
                </c:pt>
                <c:pt idx="45">
                  <c:v>116938.74999999988</c:v>
                </c:pt>
                <c:pt idx="46">
                  <c:v>92909.039999999921</c:v>
                </c:pt>
                <c:pt idx="47">
                  <c:v>68626.349999999977</c:v>
                </c:pt>
                <c:pt idx="48">
                  <c:v>45922.830000000307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D7D-A74F-9360-80200B292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393760"/>
        <c:axId val="1662781696"/>
      </c:lineChart>
      <c:dateAx>
        <c:axId val="1885363424"/>
        <c:scaling>
          <c:orientation val="minMax"/>
          <c:min val="447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0025120"/>
        <c:crossesAt val="-0.1"/>
        <c:auto val="1"/>
        <c:lblOffset val="100"/>
        <c:baseTimeUnit val="days"/>
        <c:majorUnit val="1"/>
        <c:majorTimeUnit val="months"/>
      </c:dateAx>
      <c:valAx>
        <c:axId val="1370025120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5363424"/>
        <c:crosses val="autoZero"/>
        <c:crossBetween val="between"/>
        <c:majorUnit val="0.05"/>
      </c:valAx>
      <c:valAx>
        <c:axId val="1662781696"/>
        <c:scaling>
          <c:orientation val="minMax"/>
          <c:max val="3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b="1">
                    <a:solidFill>
                      <a:srgbClr val="0070C0"/>
                    </a:solidFill>
                  </a:rPr>
                  <a:t>Vaccinaties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70393760"/>
        <c:crosses val="max"/>
        <c:crossBetween val="between"/>
        <c:majorUnit val="500000"/>
      </c:valAx>
      <c:dateAx>
        <c:axId val="1370393760"/>
        <c:scaling>
          <c:orientation val="minMax"/>
        </c:scaling>
        <c:delete val="1"/>
        <c:axPos val="b"/>
        <c:numFmt formatCode="[$-413]d\ mmm\ yy;@" sourceLinked="1"/>
        <c:majorTickMark val="out"/>
        <c:minorTickMark val="none"/>
        <c:tickLblPos val="nextTo"/>
        <c:crossAx val="1662781696"/>
        <c:crosses val="autoZero"/>
        <c:auto val="1"/>
        <c:lblOffset val="100"/>
        <c:baseTimeUnit val="days"/>
      </c:date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1"/>
        <c:delete val="1"/>
      </c:legendEntry>
      <c:layout>
        <c:manualLayout>
          <c:xMode val="edge"/>
          <c:yMode val="edge"/>
          <c:x val="7.7324802972175852E-2"/>
          <c:y val="0.13755974785979919"/>
          <c:w val="0.31379307661039202"/>
          <c:h val="0.15956601707125118"/>
        </c:manualLayout>
      </c:layout>
      <c:overlay val="0"/>
      <c:spPr>
        <a:solidFill>
          <a:schemeClr val="bg1">
            <a:lumMod val="75000"/>
            <a:alpha val="35000"/>
          </a:schemeClr>
        </a:solidFill>
        <a:ln>
          <a:solidFill>
            <a:schemeClr val="bg1">
              <a:lumMod val="6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Oversterfte</a:t>
            </a:r>
            <a:r>
              <a:rPr lang="nl-NL" sz="1600" b="1" baseline="0"/>
              <a:t> griep 2018 vs 2022/23</a:t>
            </a:r>
            <a:endParaRPr lang="nl-N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8430258952031189E-2"/>
          <c:y val="0.10751151592006621"/>
          <c:w val="0.92214545356962652"/>
          <c:h val="0.82002183813758667"/>
        </c:manualLayout>
      </c:layout>
      <c:lineChart>
        <c:grouping val="standard"/>
        <c:varyColors val="0"/>
        <c:ser>
          <c:idx val="1"/>
          <c:order val="0"/>
          <c:tx>
            <c:v>2018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Oversterfte!$A$390:$A$441</c:f>
              <c:numCache>
                <c:formatCode>[$-413]d/mmm/yy;@</c:formatCode>
                <c:ptCount val="52"/>
                <c:pt idx="0">
                  <c:v>45082</c:v>
                </c:pt>
                <c:pt idx="1">
                  <c:v>45089</c:v>
                </c:pt>
                <c:pt idx="2">
                  <c:v>45096</c:v>
                </c:pt>
                <c:pt idx="3">
                  <c:v>45103</c:v>
                </c:pt>
                <c:pt idx="4">
                  <c:v>45110</c:v>
                </c:pt>
                <c:pt idx="5">
                  <c:v>45117</c:v>
                </c:pt>
                <c:pt idx="6">
                  <c:v>45124</c:v>
                </c:pt>
                <c:pt idx="7">
                  <c:v>45131</c:v>
                </c:pt>
                <c:pt idx="8">
                  <c:v>45138</c:v>
                </c:pt>
                <c:pt idx="9">
                  <c:v>45145</c:v>
                </c:pt>
                <c:pt idx="10">
                  <c:v>45152</c:v>
                </c:pt>
                <c:pt idx="11">
                  <c:v>45159</c:v>
                </c:pt>
                <c:pt idx="12">
                  <c:v>45166</c:v>
                </c:pt>
                <c:pt idx="13">
                  <c:v>45173</c:v>
                </c:pt>
                <c:pt idx="14">
                  <c:v>45180</c:v>
                </c:pt>
                <c:pt idx="15">
                  <c:v>45187</c:v>
                </c:pt>
                <c:pt idx="16">
                  <c:v>45194</c:v>
                </c:pt>
                <c:pt idx="17">
                  <c:v>45201</c:v>
                </c:pt>
                <c:pt idx="18">
                  <c:v>45208</c:v>
                </c:pt>
                <c:pt idx="19">
                  <c:v>45215</c:v>
                </c:pt>
                <c:pt idx="20">
                  <c:v>45222</c:v>
                </c:pt>
                <c:pt idx="21">
                  <c:v>45229</c:v>
                </c:pt>
                <c:pt idx="22">
                  <c:v>45236</c:v>
                </c:pt>
                <c:pt idx="23">
                  <c:v>45243</c:v>
                </c:pt>
                <c:pt idx="24">
                  <c:v>45250</c:v>
                </c:pt>
                <c:pt idx="25">
                  <c:v>45257</c:v>
                </c:pt>
                <c:pt idx="26">
                  <c:v>45264</c:v>
                </c:pt>
                <c:pt idx="27">
                  <c:v>45271</c:v>
                </c:pt>
                <c:pt idx="28">
                  <c:v>45278</c:v>
                </c:pt>
                <c:pt idx="29">
                  <c:v>45285</c:v>
                </c:pt>
                <c:pt idx="30">
                  <c:v>45292</c:v>
                </c:pt>
                <c:pt idx="31">
                  <c:v>45299</c:v>
                </c:pt>
                <c:pt idx="32">
                  <c:v>45306</c:v>
                </c:pt>
                <c:pt idx="33">
                  <c:v>45313</c:v>
                </c:pt>
                <c:pt idx="34">
                  <c:v>45320</c:v>
                </c:pt>
                <c:pt idx="35">
                  <c:v>45327</c:v>
                </c:pt>
                <c:pt idx="36">
                  <c:v>45334</c:v>
                </c:pt>
                <c:pt idx="37">
                  <c:v>45341</c:v>
                </c:pt>
                <c:pt idx="38">
                  <c:v>45348</c:v>
                </c:pt>
                <c:pt idx="39">
                  <c:v>45355</c:v>
                </c:pt>
                <c:pt idx="40">
                  <c:v>45362</c:v>
                </c:pt>
                <c:pt idx="41">
                  <c:v>45369</c:v>
                </c:pt>
                <c:pt idx="42">
                  <c:v>45376</c:v>
                </c:pt>
                <c:pt idx="43">
                  <c:v>45383</c:v>
                </c:pt>
                <c:pt idx="44">
                  <c:v>45390</c:v>
                </c:pt>
                <c:pt idx="45">
                  <c:v>45397</c:v>
                </c:pt>
                <c:pt idx="46">
                  <c:v>45404</c:v>
                </c:pt>
                <c:pt idx="47">
                  <c:v>45411</c:v>
                </c:pt>
                <c:pt idx="48">
                  <c:v>45418</c:v>
                </c:pt>
                <c:pt idx="49">
                  <c:v>45425</c:v>
                </c:pt>
                <c:pt idx="50">
                  <c:v>45432</c:v>
                </c:pt>
                <c:pt idx="51">
                  <c:v>45439</c:v>
                </c:pt>
              </c:numCache>
            </c:numRef>
          </c:cat>
          <c:val>
            <c:numRef>
              <c:f>Oversterfte!$E$77:$E$135</c:f>
              <c:numCache>
                <c:formatCode>0.0%</c:formatCode>
                <c:ptCount val="59"/>
                <c:pt idx="0">
                  <c:v>-2.3730670263919174E-2</c:v>
                </c:pt>
                <c:pt idx="1">
                  <c:v>-2.6718956800044893E-2</c:v>
                </c:pt>
                <c:pt idx="2">
                  <c:v>-1.3258986875526334E-2</c:v>
                </c:pt>
                <c:pt idx="3">
                  <c:v>-2.3845532048131887E-3</c:v>
                </c:pt>
                <c:pt idx="4">
                  <c:v>-1.2712962877147717E-2</c:v>
                </c:pt>
                <c:pt idx="5">
                  <c:v>-1.3038911010483104E-2</c:v>
                </c:pt>
                <c:pt idx="6">
                  <c:v>-2.8248423600725932E-2</c:v>
                </c:pt>
                <c:pt idx="7">
                  <c:v>-3.0168268108786089E-2</c:v>
                </c:pt>
                <c:pt idx="8">
                  <c:v>-3.4168830829053934E-2</c:v>
                </c:pt>
                <c:pt idx="9">
                  <c:v>-4.1068302568906701E-2</c:v>
                </c:pt>
                <c:pt idx="10">
                  <c:v>-4.0856763302643498E-2</c:v>
                </c:pt>
                <c:pt idx="11">
                  <c:v>-5.6001805378671263E-2</c:v>
                </c:pt>
                <c:pt idx="12">
                  <c:v>-5.8333242185014088E-2</c:v>
                </c:pt>
                <c:pt idx="13">
                  <c:v>-4.5447929484680134E-2</c:v>
                </c:pt>
                <c:pt idx="14">
                  <c:v>-3.6303435528949282E-2</c:v>
                </c:pt>
                <c:pt idx="15">
                  <c:v>-3.2754306517878799E-2</c:v>
                </c:pt>
                <c:pt idx="16">
                  <c:v>-4.9354775279372196E-2</c:v>
                </c:pt>
                <c:pt idx="17">
                  <c:v>-5.2669292299095193E-2</c:v>
                </c:pt>
                <c:pt idx="18">
                  <c:v>-5.7465923331301044E-2</c:v>
                </c:pt>
                <c:pt idx="19">
                  <c:v>-6.2533247127415134E-2</c:v>
                </c:pt>
                <c:pt idx="20">
                  <c:v>-7.5711606323484948E-2</c:v>
                </c:pt>
                <c:pt idx="21">
                  <c:v>-7.406102759578484E-2</c:v>
                </c:pt>
                <c:pt idx="22">
                  <c:v>-5.5518088008835821E-2</c:v>
                </c:pt>
                <c:pt idx="23">
                  <c:v>-4.2362186585264361E-2</c:v>
                </c:pt>
                <c:pt idx="24">
                  <c:v>-4.0155863707071776E-2</c:v>
                </c:pt>
                <c:pt idx="25">
                  <c:v>-3.4979180503662624E-2</c:v>
                </c:pt>
                <c:pt idx="26">
                  <c:v>-8.5489433598538202E-3</c:v>
                </c:pt>
                <c:pt idx="27">
                  <c:v>6.7114243339941359E-3</c:v>
                </c:pt>
                <c:pt idx="28">
                  <c:v>2.0419848702815935E-2</c:v>
                </c:pt>
                <c:pt idx="29">
                  <c:v>2.8652689940044711E-2</c:v>
                </c:pt>
                <c:pt idx="30">
                  <c:v>5.3608807596971446E-2</c:v>
                </c:pt>
                <c:pt idx="31">
                  <c:v>6.7183684973513874E-2</c:v>
                </c:pt>
                <c:pt idx="32">
                  <c:v>6.3186465420832491E-2</c:v>
                </c:pt>
                <c:pt idx="33">
                  <c:v>6.720627511117172E-2</c:v>
                </c:pt>
                <c:pt idx="34">
                  <c:v>8.3482110685865557E-2</c:v>
                </c:pt>
                <c:pt idx="35">
                  <c:v>0.12097664808797993</c:v>
                </c:pt>
                <c:pt idx="36">
                  <c:v>0.15449244521604397</c:v>
                </c:pt>
                <c:pt idx="37">
                  <c:v>0.20389061227011565</c:v>
                </c:pt>
                <c:pt idx="38">
                  <c:v>0.25571790332867855</c:v>
                </c:pt>
                <c:pt idx="39">
                  <c:v>0.26720037271428365</c:v>
                </c:pt>
                <c:pt idx="40">
                  <c:v>0.22035366888245159</c:v>
                </c:pt>
                <c:pt idx="41">
                  <c:v>0.1344581727988324</c:v>
                </c:pt>
                <c:pt idx="42">
                  <c:v>6.7130054022624314E-2</c:v>
                </c:pt>
                <c:pt idx="43">
                  <c:v>1.2904381253013894E-2</c:v>
                </c:pt>
                <c:pt idx="44">
                  <c:v>-3.0105633045739773E-2</c:v>
                </c:pt>
                <c:pt idx="45">
                  <c:v>-6.3693438447313358E-2</c:v>
                </c:pt>
                <c:pt idx="46">
                  <c:v>-7.9301346079997184E-2</c:v>
                </c:pt>
                <c:pt idx="47">
                  <c:v>-8.4149045245353771E-2</c:v>
                </c:pt>
                <c:pt idx="48">
                  <c:v>-8.2007826358439409E-2</c:v>
                </c:pt>
                <c:pt idx="49">
                  <c:v>-6.9988063500112274E-2</c:v>
                </c:pt>
                <c:pt idx="50">
                  <c:v>-4.5580452046238742E-2</c:v>
                </c:pt>
                <c:pt idx="51">
                  <c:v>-2.8687332002201943E-2</c:v>
                </c:pt>
                <c:pt idx="52">
                  <c:v>-3.5077455245785497E-2</c:v>
                </c:pt>
                <c:pt idx="53">
                  <c:v>-4.9391598585024225E-2</c:v>
                </c:pt>
                <c:pt idx="54">
                  <c:v>-5.0741331930507588E-2</c:v>
                </c:pt>
                <c:pt idx="55">
                  <c:v>-2.497140270920159E-2</c:v>
                </c:pt>
                <c:pt idx="56">
                  <c:v>-1.224136372457928E-2</c:v>
                </c:pt>
                <c:pt idx="57">
                  <c:v>1.2744054149540656E-3</c:v>
                </c:pt>
                <c:pt idx="58">
                  <c:v>8.1801946285656821E-3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E5-D74F-939D-91BC81EE0B0E}"/>
            </c:ext>
          </c:extLst>
        </c:ser>
        <c:ser>
          <c:idx val="2"/>
          <c:order val="1"/>
          <c:tx>
            <c:v>2022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Oversterfte!$A$390:$A$441</c:f>
              <c:numCache>
                <c:formatCode>[$-413]d/mmm/yy;@</c:formatCode>
                <c:ptCount val="52"/>
                <c:pt idx="0">
                  <c:v>45082</c:v>
                </c:pt>
                <c:pt idx="1">
                  <c:v>45089</c:v>
                </c:pt>
                <c:pt idx="2">
                  <c:v>45096</c:v>
                </c:pt>
                <c:pt idx="3">
                  <c:v>45103</c:v>
                </c:pt>
                <c:pt idx="4">
                  <c:v>45110</c:v>
                </c:pt>
                <c:pt idx="5">
                  <c:v>45117</c:v>
                </c:pt>
                <c:pt idx="6">
                  <c:v>45124</c:v>
                </c:pt>
                <c:pt idx="7">
                  <c:v>45131</c:v>
                </c:pt>
                <c:pt idx="8">
                  <c:v>45138</c:v>
                </c:pt>
                <c:pt idx="9">
                  <c:v>45145</c:v>
                </c:pt>
                <c:pt idx="10">
                  <c:v>45152</c:v>
                </c:pt>
                <c:pt idx="11">
                  <c:v>45159</c:v>
                </c:pt>
                <c:pt idx="12">
                  <c:v>45166</c:v>
                </c:pt>
                <c:pt idx="13">
                  <c:v>45173</c:v>
                </c:pt>
                <c:pt idx="14">
                  <c:v>45180</c:v>
                </c:pt>
                <c:pt idx="15">
                  <c:v>45187</c:v>
                </c:pt>
                <c:pt idx="16">
                  <c:v>45194</c:v>
                </c:pt>
                <c:pt idx="17">
                  <c:v>45201</c:v>
                </c:pt>
                <c:pt idx="18">
                  <c:v>45208</c:v>
                </c:pt>
                <c:pt idx="19">
                  <c:v>45215</c:v>
                </c:pt>
                <c:pt idx="20">
                  <c:v>45222</c:v>
                </c:pt>
                <c:pt idx="21">
                  <c:v>45229</c:v>
                </c:pt>
                <c:pt idx="22">
                  <c:v>45236</c:v>
                </c:pt>
                <c:pt idx="23">
                  <c:v>45243</c:v>
                </c:pt>
                <c:pt idx="24">
                  <c:v>45250</c:v>
                </c:pt>
                <c:pt idx="25">
                  <c:v>45257</c:v>
                </c:pt>
                <c:pt idx="26">
                  <c:v>45264</c:v>
                </c:pt>
                <c:pt idx="27">
                  <c:v>45271</c:v>
                </c:pt>
                <c:pt idx="28">
                  <c:v>45278</c:v>
                </c:pt>
                <c:pt idx="29">
                  <c:v>45285</c:v>
                </c:pt>
                <c:pt idx="30">
                  <c:v>45292</c:v>
                </c:pt>
                <c:pt idx="31">
                  <c:v>45299</c:v>
                </c:pt>
                <c:pt idx="32">
                  <c:v>45306</c:v>
                </c:pt>
                <c:pt idx="33">
                  <c:v>45313</c:v>
                </c:pt>
                <c:pt idx="34">
                  <c:v>45320</c:v>
                </c:pt>
                <c:pt idx="35">
                  <c:v>45327</c:v>
                </c:pt>
                <c:pt idx="36">
                  <c:v>45334</c:v>
                </c:pt>
                <c:pt idx="37">
                  <c:v>45341</c:v>
                </c:pt>
                <c:pt idx="38">
                  <c:v>45348</c:v>
                </c:pt>
                <c:pt idx="39">
                  <c:v>45355</c:v>
                </c:pt>
                <c:pt idx="40">
                  <c:v>45362</c:v>
                </c:pt>
                <c:pt idx="41">
                  <c:v>45369</c:v>
                </c:pt>
                <c:pt idx="42">
                  <c:v>45376</c:v>
                </c:pt>
                <c:pt idx="43">
                  <c:v>45383</c:v>
                </c:pt>
                <c:pt idx="44">
                  <c:v>45390</c:v>
                </c:pt>
                <c:pt idx="45">
                  <c:v>45397</c:v>
                </c:pt>
                <c:pt idx="46">
                  <c:v>45404</c:v>
                </c:pt>
                <c:pt idx="47">
                  <c:v>45411</c:v>
                </c:pt>
                <c:pt idx="48">
                  <c:v>45418</c:v>
                </c:pt>
                <c:pt idx="49">
                  <c:v>45425</c:v>
                </c:pt>
                <c:pt idx="50">
                  <c:v>45432</c:v>
                </c:pt>
                <c:pt idx="51">
                  <c:v>45439</c:v>
                </c:pt>
              </c:numCache>
            </c:numRef>
          </c:cat>
          <c:val>
            <c:numRef>
              <c:f>Oversterfte!$E$338:$E$390</c:f>
              <c:numCache>
                <c:formatCode>0.0%</c:formatCode>
                <c:ptCount val="53"/>
                <c:pt idx="0">
                  <c:v>3.2499578181469792E-2</c:v>
                </c:pt>
                <c:pt idx="1">
                  <c:v>5.9724576196620756E-2</c:v>
                </c:pt>
                <c:pt idx="2">
                  <c:v>8.5160833083787704E-2</c:v>
                </c:pt>
                <c:pt idx="3">
                  <c:v>8.6426895718491242E-2</c:v>
                </c:pt>
                <c:pt idx="4">
                  <c:v>8.5550720678006412E-2</c:v>
                </c:pt>
                <c:pt idx="5">
                  <c:v>9.9190842861147252E-2</c:v>
                </c:pt>
                <c:pt idx="6">
                  <c:v>0.12012088994933379</c:v>
                </c:pt>
                <c:pt idx="7">
                  <c:v>0.10563945205990111</c:v>
                </c:pt>
                <c:pt idx="8">
                  <c:v>8.0720628813179707E-2</c:v>
                </c:pt>
                <c:pt idx="9">
                  <c:v>7.1975916806434351E-2</c:v>
                </c:pt>
                <c:pt idx="10">
                  <c:v>7.8189353535957837E-2</c:v>
                </c:pt>
                <c:pt idx="11">
                  <c:v>7.1307610750757575E-2</c:v>
                </c:pt>
                <c:pt idx="12">
                  <c:v>4.9360654525449008E-2</c:v>
                </c:pt>
                <c:pt idx="13">
                  <c:v>1.681896123822061E-2</c:v>
                </c:pt>
                <c:pt idx="14">
                  <c:v>1.524317059535309E-2</c:v>
                </c:pt>
                <c:pt idx="15">
                  <c:v>3.7651523344458121E-2</c:v>
                </c:pt>
                <c:pt idx="16">
                  <c:v>8.4337860846006807E-2</c:v>
                </c:pt>
                <c:pt idx="17">
                  <c:v>0.10739469186632887</c:v>
                </c:pt>
                <c:pt idx="18">
                  <c:v>0.11504752656566307</c:v>
                </c:pt>
                <c:pt idx="19">
                  <c:v>0.10422124507440389</c:v>
                </c:pt>
                <c:pt idx="20">
                  <c:v>8.523696020669716E-2</c:v>
                </c:pt>
                <c:pt idx="21">
                  <c:v>5.3388500155582573E-2</c:v>
                </c:pt>
                <c:pt idx="22">
                  <c:v>3.410025995973013E-2</c:v>
                </c:pt>
                <c:pt idx="23">
                  <c:v>4.343688278752704E-2</c:v>
                </c:pt>
                <c:pt idx="24">
                  <c:v>6.1887615685322847E-2</c:v>
                </c:pt>
                <c:pt idx="25">
                  <c:v>9.4714755157122618E-2</c:v>
                </c:pt>
                <c:pt idx="26">
                  <c:v>0.14778580713057643</c:v>
                </c:pt>
                <c:pt idx="27">
                  <c:v>0.22006238379370399</c:v>
                </c:pt>
                <c:pt idx="28">
                  <c:v>0.26638092247915723</c:v>
                </c:pt>
                <c:pt idx="29">
                  <c:v>0.26279382369566501</c:v>
                </c:pt>
                <c:pt idx="30">
                  <c:v>0.22190999522449006</c:v>
                </c:pt>
                <c:pt idx="31">
                  <c:v>0.17123757448371776</c:v>
                </c:pt>
                <c:pt idx="32">
                  <c:v>0.10977775696578529</c:v>
                </c:pt>
                <c:pt idx="33">
                  <c:v>8.4016492114868502E-2</c:v>
                </c:pt>
                <c:pt idx="34">
                  <c:v>6.1340658094673511E-2</c:v>
                </c:pt>
                <c:pt idx="35">
                  <c:v>7.3592592403339083E-2</c:v>
                </c:pt>
                <c:pt idx="36">
                  <c:v>5.8361296327789906E-2</c:v>
                </c:pt>
                <c:pt idx="37">
                  <c:v>6.8197654307323205E-2</c:v>
                </c:pt>
                <c:pt idx="38">
                  <c:v>9.7323054573568366E-2</c:v>
                </c:pt>
                <c:pt idx="39">
                  <c:v>0.12712019846418729</c:v>
                </c:pt>
                <c:pt idx="40">
                  <c:v>0.14105206012642874</c:v>
                </c:pt>
                <c:pt idx="41">
                  <c:v>0.10709440442734831</c:v>
                </c:pt>
                <c:pt idx="42">
                  <c:v>7.3326263624423238E-2</c:v>
                </c:pt>
                <c:pt idx="43">
                  <c:v>2.8561854744555255E-2</c:v>
                </c:pt>
                <c:pt idx="44">
                  <c:v>2.1752830313911051E-2</c:v>
                </c:pt>
                <c:pt idx="45">
                  <c:v>-8.3900541194890776E-3</c:v>
                </c:pt>
                <c:pt idx="46">
                  <c:v>-4.045715692693342E-3</c:v>
                </c:pt>
                <c:pt idx="47">
                  <c:v>-1.9936743515833764E-2</c:v>
                </c:pt>
                <c:pt idx="48">
                  <c:v>-9.1046246824923165E-3</c:v>
                </c:pt>
                <c:pt idx="49">
                  <c:v>-4.9519786780473094E-3</c:v>
                </c:pt>
                <c:pt idx="50">
                  <c:v>-9.166731724614692E-3</c:v>
                </c:pt>
                <c:pt idx="51">
                  <c:v>1.9253505412864389E-2</c:v>
                </c:pt>
                <c:pt idx="52">
                  <c:v>5.4213608884446256E-2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CE5-D74F-939D-91BC81EE0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262223"/>
        <c:axId val="133743568"/>
      </c:lineChart>
      <c:dateAx>
        <c:axId val="1749262223"/>
        <c:scaling>
          <c:orientation val="minMax"/>
          <c:max val="454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743568"/>
        <c:crossesAt val="-400"/>
        <c:auto val="1"/>
        <c:lblOffset val="100"/>
        <c:baseTimeUnit val="days"/>
        <c:majorUnit val="2"/>
        <c:majorTimeUnit val="months"/>
      </c:dateAx>
      <c:valAx>
        <c:axId val="133743568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49262223"/>
        <c:crosses val="autoZero"/>
        <c:crossBetween val="between"/>
        <c:majorUnit val="0.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Ondersterfte na oversterfte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6013009243409785E-2"/>
          <c:y val="8.9511981733990553E-2"/>
          <c:w val="0.89210612252840549"/>
          <c:h val="0.84744937370633544"/>
        </c:manualLayout>
      </c:layout>
      <c:areaChart>
        <c:grouping val="stacked"/>
        <c:varyColors val="0"/>
        <c:ser>
          <c:idx val="2"/>
          <c:order val="0"/>
          <c:tx>
            <c:v> Overig</c:v>
          </c:tx>
          <c:spPr>
            <a:solidFill>
              <a:schemeClr val="bg1">
                <a:alpha val="1000"/>
              </a:schemeClr>
            </a:solidFill>
            <a:ln w="25400">
              <a:noFill/>
            </a:ln>
            <a:effectLst/>
          </c:spP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Oversterfte!$H$212:$H$409</c:f>
              <c:numCache>
                <c:formatCode>0</c:formatCode>
                <c:ptCount val="198"/>
                <c:pt idx="0">
                  <c:v>-9.9808261775178835</c:v>
                </c:pt>
                <c:pt idx="1">
                  <c:v>2.7789470924870039</c:v>
                </c:pt>
                <c:pt idx="2">
                  <c:v>-6.4529096646246638</c:v>
                </c:pt>
                <c:pt idx="3">
                  <c:v>-17.834884752915919</c:v>
                </c:pt>
                <c:pt idx="4">
                  <c:v>-12.006130275724088</c:v>
                </c:pt>
                <c:pt idx="5">
                  <c:v>-4.7201804627739614</c:v>
                </c:pt>
                <c:pt idx="6">
                  <c:v>-10.773472395034219</c:v>
                </c:pt>
                <c:pt idx="7">
                  <c:v>-21.148047606235568</c:v>
                </c:pt>
                <c:pt idx="8">
                  <c:v>-17.332722531504437</c:v>
                </c:pt>
                <c:pt idx="9">
                  <c:v>-10.251302984072758</c:v>
                </c:pt>
                <c:pt idx="10">
                  <c:v>-2.9764192826964013</c:v>
                </c:pt>
                <c:pt idx="11">
                  <c:v>1.1995828386366014</c:v>
                </c:pt>
                <c:pt idx="12">
                  <c:v>7.372401993686708</c:v>
                </c:pt>
                <c:pt idx="13">
                  <c:v>-13.509245979064644</c:v>
                </c:pt>
                <c:pt idx="14">
                  <c:v>-26.64288060975008</c:v>
                </c:pt>
                <c:pt idx="15">
                  <c:v>-16.085745753334663</c:v>
                </c:pt>
                <c:pt idx="16">
                  <c:v>-29.896832236530983</c:v>
                </c:pt>
                <c:pt idx="17">
                  <c:v>9.8282679250916587</c:v>
                </c:pt>
                <c:pt idx="18">
                  <c:v>-20.113193942592943</c:v>
                </c:pt>
                <c:pt idx="19">
                  <c:v>-31.673106911329096</c:v>
                </c:pt>
                <c:pt idx="20">
                  <c:v>-36.230210910115616</c:v>
                </c:pt>
                <c:pt idx="21">
                  <c:v>-26.482117891049565</c:v>
                </c:pt>
                <c:pt idx="22">
                  <c:v>-26.373084466854543</c:v>
                </c:pt>
                <c:pt idx="23">
                  <c:v>-22.378976244690435</c:v>
                </c:pt>
                <c:pt idx="24">
                  <c:v>-18.149434798530542</c:v>
                </c:pt>
                <c:pt idx="25">
                  <c:v>-20.185828780424718</c:v>
                </c:pt>
                <c:pt idx="26">
                  <c:v>-20.30499822487986</c:v>
                </c:pt>
                <c:pt idx="27">
                  <c:v>-22.888799950916514</c:v>
                </c:pt>
                <c:pt idx="28">
                  <c:v>-24.883746415566879</c:v>
                </c:pt>
                <c:pt idx="29">
                  <c:v>-18.515029010530625</c:v>
                </c:pt>
                <c:pt idx="30">
                  <c:v>-14.822072497393865</c:v>
                </c:pt>
                <c:pt idx="31">
                  <c:v>1.6986627899201006</c:v>
                </c:pt>
                <c:pt idx="32">
                  <c:v>25.62934444787582</c:v>
                </c:pt>
                <c:pt idx="33">
                  <c:v>15.202040796748358</c:v>
                </c:pt>
                <c:pt idx="34">
                  <c:v>-9.0229662042083376</c:v>
                </c:pt>
                <c:pt idx="35">
                  <c:v>-16.050395590333615</c:v>
                </c:pt>
                <c:pt idx="36">
                  <c:v>-19.700418657668788</c:v>
                </c:pt>
                <c:pt idx="37">
                  <c:v>-26.609197434401608</c:v>
                </c:pt>
                <c:pt idx="38">
                  <c:v>-12.65807394367479</c:v>
                </c:pt>
                <c:pt idx="39">
                  <c:v>-8.8671155426667401</c:v>
                </c:pt>
                <c:pt idx="40">
                  <c:v>-5.5744348814298839</c:v>
                </c:pt>
                <c:pt idx="41">
                  <c:v>-4.8655592868135358</c:v>
                </c:pt>
                <c:pt idx="42">
                  <c:v>9.5328763452322534</c:v>
                </c:pt>
                <c:pt idx="43">
                  <c:v>1.0379824753162978</c:v>
                </c:pt>
                <c:pt idx="44">
                  <c:v>10.745454794032852</c:v>
                </c:pt>
                <c:pt idx="45">
                  <c:v>4.8929852218917631</c:v>
                </c:pt>
                <c:pt idx="46">
                  <c:v>-21.783457493922178</c:v>
                </c:pt>
                <c:pt idx="47">
                  <c:v>-7.4790364386398593</c:v>
                </c:pt>
                <c:pt idx="48">
                  <c:v>0.4291534817653968</c:v>
                </c:pt>
                <c:pt idx="49">
                  <c:v>6.8099058936424726</c:v>
                </c:pt>
                <c:pt idx="50">
                  <c:v>17.634354608788925</c:v>
                </c:pt>
                <c:pt idx="51">
                  <c:v>17.077572711873728</c:v>
                </c:pt>
                <c:pt idx="52">
                  <c:v>2.9193331353836669</c:v>
                </c:pt>
                <c:pt idx="53">
                  <c:v>5.4076501144199653</c:v>
                </c:pt>
                <c:pt idx="54">
                  <c:v>5.5629668571988873</c:v>
                </c:pt>
                <c:pt idx="55">
                  <c:v>3.8575281437962019</c:v>
                </c:pt>
                <c:pt idx="56">
                  <c:v>-1.7049335515154382</c:v>
                </c:pt>
                <c:pt idx="57">
                  <c:v>-12.556550056987668</c:v>
                </c:pt>
                <c:pt idx="58">
                  <c:v>-26.386694995663365</c:v>
                </c:pt>
                <c:pt idx="59">
                  <c:v>-44.213255663727317</c:v>
                </c:pt>
                <c:pt idx="60">
                  <c:v>-44.98951585352922</c:v>
                </c:pt>
                <c:pt idx="61">
                  <c:v>-38.460939115738839</c:v>
                </c:pt>
                <c:pt idx="62">
                  <c:v>-40.664714836012422</c:v>
                </c:pt>
                <c:pt idx="63">
                  <c:v>-37.500645163470573</c:v>
                </c:pt>
                <c:pt idx="64">
                  <c:v>-20.230523536849965</c:v>
                </c:pt>
                <c:pt idx="65">
                  <c:v>-12.584585290717085</c:v>
                </c:pt>
                <c:pt idx="66">
                  <c:v>-10.189326143043624</c:v>
                </c:pt>
                <c:pt idx="67">
                  <c:v>-5.5666995373738271</c:v>
                </c:pt>
                <c:pt idx="68">
                  <c:v>-5.6689902533950427</c:v>
                </c:pt>
                <c:pt idx="69">
                  <c:v>-14.55651939834247</c:v>
                </c:pt>
                <c:pt idx="70">
                  <c:v>-11.218193411632358</c:v>
                </c:pt>
                <c:pt idx="71">
                  <c:v>-10.749195622333316</c:v>
                </c:pt>
                <c:pt idx="72">
                  <c:v>-11.135833190718147</c:v>
                </c:pt>
                <c:pt idx="73">
                  <c:v>-1.2546949410808725</c:v>
                </c:pt>
                <c:pt idx="74">
                  <c:v>3.1638676298388679</c:v>
                </c:pt>
                <c:pt idx="75">
                  <c:v>-3.8563612849185347</c:v>
                </c:pt>
                <c:pt idx="76">
                  <c:v>-11.501052235824366</c:v>
                </c:pt>
                <c:pt idx="77">
                  <c:v>-6.0932770348532745</c:v>
                </c:pt>
                <c:pt idx="78">
                  <c:v>5.2284652348352632</c:v>
                </c:pt>
                <c:pt idx="79">
                  <c:v>6.6892776115787775</c:v>
                </c:pt>
                <c:pt idx="80">
                  <c:v>4.8425147901856622</c:v>
                </c:pt>
                <c:pt idx="81">
                  <c:v>12.605761768406555</c:v>
                </c:pt>
                <c:pt idx="82">
                  <c:v>14.796709166790833</c:v>
                </c:pt>
                <c:pt idx="83">
                  <c:v>9.3117800044822658</c:v>
                </c:pt>
                <c:pt idx="84">
                  <c:v>8.626078540196449</c:v>
                </c:pt>
                <c:pt idx="85">
                  <c:v>9.0075190550092472</c:v>
                </c:pt>
                <c:pt idx="86">
                  <c:v>11.623708281879104</c:v>
                </c:pt>
                <c:pt idx="87">
                  <c:v>17.863013839244623</c:v>
                </c:pt>
                <c:pt idx="88">
                  <c:v>7.5126810519913896</c:v>
                </c:pt>
                <c:pt idx="89">
                  <c:v>3.8654333499240616</c:v>
                </c:pt>
                <c:pt idx="90">
                  <c:v>13.111707001501633</c:v>
                </c:pt>
                <c:pt idx="91">
                  <c:v>16.946100678861367</c:v>
                </c:pt>
                <c:pt idx="92">
                  <c:v>16.852335670614661</c:v>
                </c:pt>
                <c:pt idx="93">
                  <c:v>28.495309160722755</c:v>
                </c:pt>
                <c:pt idx="94">
                  <c:v>40.148823719136928</c:v>
                </c:pt>
                <c:pt idx="95">
                  <c:v>51.409005277905905</c:v>
                </c:pt>
                <c:pt idx="96">
                  <c:v>75.229136529830868</c:v>
                </c:pt>
                <c:pt idx="97">
                  <c:v>94.383061451387078</c:v>
                </c:pt>
                <c:pt idx="98">
                  <c:v>102.50003094326445</c:v>
                </c:pt>
                <c:pt idx="99">
                  <c:v>119.95671654325398</c:v>
                </c:pt>
                <c:pt idx="100">
                  <c:v>97.840690228523087</c:v>
                </c:pt>
                <c:pt idx="101">
                  <c:v>73.163953492896496</c:v>
                </c:pt>
                <c:pt idx="102">
                  <c:v>50.647955310386777</c:v>
                </c:pt>
                <c:pt idx="103">
                  <c:v>23.570996293678654</c:v>
                </c:pt>
                <c:pt idx="104">
                  <c:v>6.6412497509365451</c:v>
                </c:pt>
                <c:pt idx="105">
                  <c:v>-15.920667374230316</c:v>
                </c:pt>
                <c:pt idx="106">
                  <c:v>-21.057749287791061</c:v>
                </c:pt>
                <c:pt idx="107">
                  <c:v>-17.087009941301353</c:v>
                </c:pt>
                <c:pt idx="108">
                  <c:v>-11.468970309542751</c:v>
                </c:pt>
                <c:pt idx="109">
                  <c:v>-6.1715072842203131</c:v>
                </c:pt>
                <c:pt idx="110">
                  <c:v>-1.526945010392053</c:v>
                </c:pt>
                <c:pt idx="111">
                  <c:v>1.6252460182793609</c:v>
                </c:pt>
                <c:pt idx="112">
                  <c:v>4.5854098644246832E-2</c:v>
                </c:pt>
                <c:pt idx="113">
                  <c:v>12.774860450130211</c:v>
                </c:pt>
                <c:pt idx="114">
                  <c:v>38.953325633427212</c:v>
                </c:pt>
                <c:pt idx="115">
                  <c:v>46.752507304221467</c:v>
                </c:pt>
                <c:pt idx="116">
                  <c:v>45.481629916493631</c:v>
                </c:pt>
                <c:pt idx="117">
                  <c:v>49.695725814727624</c:v>
                </c:pt>
                <c:pt idx="118">
                  <c:v>42.803537540818979</c:v>
                </c:pt>
                <c:pt idx="119">
                  <c:v>21.818327430452577</c:v>
                </c:pt>
                <c:pt idx="120">
                  <c:v>12.823011269716469</c:v>
                </c:pt>
                <c:pt idx="121">
                  <c:v>13.971032222151493</c:v>
                </c:pt>
                <c:pt idx="122">
                  <c:v>15.737247998928071</c:v>
                </c:pt>
                <c:pt idx="123">
                  <c:v>10.5616754788158</c:v>
                </c:pt>
                <c:pt idx="124">
                  <c:v>4.7432226929265333</c:v>
                </c:pt>
                <c:pt idx="125">
                  <c:v>5.4405382719794968</c:v>
                </c:pt>
                <c:pt idx="126">
                  <c:v>10.851394536983078</c:v>
                </c:pt>
                <c:pt idx="127">
                  <c:v>22.534878106680953</c:v>
                </c:pt>
                <c:pt idx="128">
                  <c:v>34.590662617447691</c:v>
                </c:pt>
                <c:pt idx="129">
                  <c:v>32.481067607312625</c:v>
                </c:pt>
                <c:pt idx="130">
                  <c:v>28.281608649702648</c:v>
                </c:pt>
                <c:pt idx="131">
                  <c:v>36.252887847834586</c:v>
                </c:pt>
                <c:pt idx="132">
                  <c:v>45.233817943294362</c:v>
                </c:pt>
                <c:pt idx="133">
                  <c:v>39.106174676336281</c:v>
                </c:pt>
                <c:pt idx="134">
                  <c:v>25.580473497793136</c:v>
                </c:pt>
                <c:pt idx="135">
                  <c:v>25.374596823318743</c:v>
                </c:pt>
                <c:pt idx="136">
                  <c:v>27.856599574980319</c:v>
                </c:pt>
                <c:pt idx="137">
                  <c:v>27.187408036030092</c:v>
                </c:pt>
                <c:pt idx="138">
                  <c:v>18.499128600599452</c:v>
                </c:pt>
                <c:pt idx="139">
                  <c:v>6.2875416655273453</c:v>
                </c:pt>
                <c:pt idx="140">
                  <c:v>1.1259288072034386</c:v>
                </c:pt>
                <c:pt idx="141">
                  <c:v>13.87881134791972</c:v>
                </c:pt>
                <c:pt idx="142">
                  <c:v>34.05846542349947</c:v>
                </c:pt>
                <c:pt idx="143">
                  <c:v>40.93136555518403</c:v>
                </c:pt>
                <c:pt idx="144">
                  <c:v>44.088852629588359</c:v>
                </c:pt>
                <c:pt idx="145">
                  <c:v>39.589180228605187</c:v>
                </c:pt>
                <c:pt idx="146">
                  <c:v>30.992379699087827</c:v>
                </c:pt>
                <c:pt idx="147">
                  <c:v>18.002242056399464</c:v>
                </c:pt>
                <c:pt idx="148">
                  <c:v>10.608286625416294</c:v>
                </c:pt>
                <c:pt idx="149">
                  <c:v>14.942015088881298</c:v>
                </c:pt>
                <c:pt idx="150">
                  <c:v>28.311749618974705</c:v>
                </c:pt>
                <c:pt idx="151">
                  <c:v>38.951782156345118</c:v>
                </c:pt>
                <c:pt idx="152">
                  <c:v>63.235847245709245</c:v>
                </c:pt>
                <c:pt idx="153">
                  <c:v>101.81921600098444</c:v>
                </c:pt>
                <c:pt idx="154">
                  <c:v>123.78085090663157</c:v>
                </c:pt>
                <c:pt idx="155">
                  <c:v>118.8131317753664</c:v>
                </c:pt>
                <c:pt idx="156">
                  <c:v>101.11692208775797</c:v>
                </c:pt>
                <c:pt idx="157">
                  <c:v>77.092834123795214</c:v>
                </c:pt>
                <c:pt idx="158">
                  <c:v>49.010184556115782</c:v>
                </c:pt>
                <c:pt idx="159">
                  <c:v>32.223633478862816</c:v>
                </c:pt>
                <c:pt idx="160">
                  <c:v>31.269288058509527</c:v>
                </c:pt>
                <c:pt idx="161">
                  <c:v>29.854753465725935</c:v>
                </c:pt>
                <c:pt idx="162">
                  <c:v>28.042518133159842</c:v>
                </c:pt>
                <c:pt idx="163">
                  <c:v>27.71882052455107</c:v>
                </c:pt>
                <c:pt idx="164">
                  <c:v>40.061940682922739</c:v>
                </c:pt>
                <c:pt idx="165">
                  <c:v>59.981341286547902</c:v>
                </c:pt>
                <c:pt idx="166">
                  <c:v>60.38547602283095</c:v>
                </c:pt>
                <c:pt idx="167">
                  <c:v>45.487782371533584</c:v>
                </c:pt>
                <c:pt idx="168">
                  <c:v>28.082483431140076</c:v>
                </c:pt>
                <c:pt idx="169">
                  <c:v>10.555835843221381</c:v>
                </c:pt>
                <c:pt idx="170">
                  <c:v>2.6042421322870237</c:v>
                </c:pt>
                <c:pt idx="171">
                  <c:v>-2.4457163084166567E-2</c:v>
                </c:pt>
                <c:pt idx="172">
                  <c:v>-8.8624418283172162</c:v>
                </c:pt>
                <c:pt idx="173">
                  <c:v>-8.6550448028395088</c:v>
                </c:pt>
                <c:pt idx="174">
                  <c:v>-4.3884294863032327</c:v>
                </c:pt>
                <c:pt idx="175">
                  <c:v>-4.7563823817257758</c:v>
                </c:pt>
                <c:pt idx="176">
                  <c:v>-2.8478667721904389</c:v>
                </c:pt>
                <c:pt idx="177">
                  <c:v>3.9511122945454895</c:v>
                </c:pt>
                <c:pt idx="178">
                  <c:v>23.196761402775447</c:v>
                </c:pt>
                <c:pt idx="179">
                  <c:v>35.222280381880665</c:v>
                </c:pt>
                <c:pt idx="180">
                  <c:v>24.503535079609925</c:v>
                </c:pt>
                <c:pt idx="181">
                  <c:v>7.5212572398725239</c:v>
                </c:pt>
                <c:pt idx="182">
                  <c:v>2.4806465665665072</c:v>
                </c:pt>
                <c:pt idx="183">
                  <c:v>5.0652376268745449</c:v>
                </c:pt>
                <c:pt idx="184">
                  <c:v>5.0672016654452801</c:v>
                </c:pt>
                <c:pt idx="185">
                  <c:v>4.9695881290528625</c:v>
                </c:pt>
                <c:pt idx="186">
                  <c:v>3.5941074132394615</c:v>
                </c:pt>
                <c:pt idx="187">
                  <c:v>6.5511871254556802</c:v>
                </c:pt>
                <c:pt idx="188">
                  <c:v>10.219852052219645</c:v>
                </c:pt>
                <c:pt idx="189">
                  <c:v>6.225115651039359</c:v>
                </c:pt>
                <c:pt idx="190">
                  <c:v>4.1533615715965135</c:v>
                </c:pt>
                <c:pt idx="191">
                  <c:v>5.978848306456535</c:v>
                </c:pt>
                <c:pt idx="192">
                  <c:v>6.4724307338376565</c:v>
                </c:pt>
                <c:pt idx="193">
                  <c:v>10.413593716050288</c:v>
                </c:pt>
                <c:pt idx="194">
                  <c:v>16.600703744149122</c:v>
                </c:pt>
                <c:pt idx="195">
                  <c:v>17.264930023176447</c:v>
                </c:pt>
                <c:pt idx="196">
                  <c:v>14.498049349003121</c:v>
                </c:pt>
                <c:pt idx="197">
                  <c:v>21.474758193265838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1-5A40-802A-A4DBAEC7CAB9}"/>
            </c:ext>
          </c:extLst>
        </c:ser>
        <c:ser>
          <c:idx val="1"/>
          <c:order val="2"/>
          <c:tx>
            <c:v> Corona (GGD)</c:v>
          </c:tx>
          <c:spPr>
            <a:solidFill>
              <a:srgbClr val="FF0000"/>
            </a:solidFill>
            <a:ln w="25400">
              <a:noFill/>
            </a:ln>
            <a:effectLst/>
          </c:spP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Oversterfte!$G$212:$G$409</c:f>
              <c:numCache>
                <c:formatCode>0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23</c:v>
                </c:pt>
                <c:pt idx="11">
                  <c:v>84.428571428571431</c:v>
                </c:pt>
                <c:pt idx="12">
                  <c:v>178.57142857142858</c:v>
                </c:pt>
                <c:pt idx="13">
                  <c:v>274.42857142857144</c:v>
                </c:pt>
                <c:pt idx="14">
                  <c:v>282.42857142857144</c:v>
                </c:pt>
                <c:pt idx="15">
                  <c:v>209.85714285714286</c:v>
                </c:pt>
                <c:pt idx="16">
                  <c:v>156.42857142857142</c:v>
                </c:pt>
                <c:pt idx="17">
                  <c:v>54.857142857142854</c:v>
                </c:pt>
                <c:pt idx="18">
                  <c:v>34.285714285714285</c:v>
                </c:pt>
                <c:pt idx="19">
                  <c:v>20.285714285714285</c:v>
                </c:pt>
                <c:pt idx="20">
                  <c:v>19.142857142857142</c:v>
                </c:pt>
                <c:pt idx="21">
                  <c:v>8.1428571428571423</c:v>
                </c:pt>
                <c:pt idx="22">
                  <c:v>6.5714285714285712</c:v>
                </c:pt>
                <c:pt idx="23">
                  <c:v>4.4285714285714288</c:v>
                </c:pt>
                <c:pt idx="24">
                  <c:v>2.1428571428571428</c:v>
                </c:pt>
                <c:pt idx="25">
                  <c:v>3.1428571428571428</c:v>
                </c:pt>
                <c:pt idx="26">
                  <c:v>1.4285714285714286</c:v>
                </c:pt>
                <c:pt idx="27">
                  <c:v>-0.14285714285714285</c:v>
                </c:pt>
                <c:pt idx="28">
                  <c:v>0.5714285714285714</c:v>
                </c:pt>
                <c:pt idx="29">
                  <c:v>1.2857142857142858</c:v>
                </c:pt>
                <c:pt idx="30">
                  <c:v>1.1428571428571428</c:v>
                </c:pt>
                <c:pt idx="31">
                  <c:v>2.1428571428571428</c:v>
                </c:pt>
                <c:pt idx="32">
                  <c:v>4</c:v>
                </c:pt>
                <c:pt idx="33">
                  <c:v>3.4285714285714284</c:v>
                </c:pt>
                <c:pt idx="34">
                  <c:v>2.7142857142857144</c:v>
                </c:pt>
                <c:pt idx="35">
                  <c:v>1.5714285714285714</c:v>
                </c:pt>
                <c:pt idx="36">
                  <c:v>3.5714285714285716</c:v>
                </c:pt>
                <c:pt idx="37">
                  <c:v>13.571428571428571</c:v>
                </c:pt>
                <c:pt idx="38">
                  <c:v>11.428571428571429</c:v>
                </c:pt>
                <c:pt idx="39">
                  <c:v>18.571428571428573</c:v>
                </c:pt>
                <c:pt idx="40">
                  <c:v>23.857142857142858</c:v>
                </c:pt>
                <c:pt idx="41">
                  <c:v>42.142857142857146</c:v>
                </c:pt>
                <c:pt idx="42">
                  <c:v>55.428571428571431</c:v>
                </c:pt>
                <c:pt idx="43">
                  <c:v>81.428571428571431</c:v>
                </c:pt>
                <c:pt idx="44">
                  <c:v>68.857142857142861</c:v>
                </c:pt>
                <c:pt idx="45">
                  <c:v>57.857142857142854</c:v>
                </c:pt>
                <c:pt idx="46">
                  <c:v>65.428571428571431</c:v>
                </c:pt>
                <c:pt idx="47">
                  <c:v>48.285714285714285</c:v>
                </c:pt>
                <c:pt idx="48">
                  <c:v>51.571428571428569</c:v>
                </c:pt>
                <c:pt idx="49">
                  <c:v>63.285714285714285</c:v>
                </c:pt>
                <c:pt idx="50">
                  <c:v>72.428571428571431</c:v>
                </c:pt>
                <c:pt idx="51">
                  <c:v>87.714285714285708</c:v>
                </c:pt>
                <c:pt idx="52">
                  <c:v>107</c:v>
                </c:pt>
                <c:pt idx="53">
                  <c:v>92.142857142857139</c:v>
                </c:pt>
                <c:pt idx="54">
                  <c:v>76.285714285714292</c:v>
                </c:pt>
                <c:pt idx="55">
                  <c:v>65.428571428571431</c:v>
                </c:pt>
                <c:pt idx="56">
                  <c:v>57.857142857142854</c:v>
                </c:pt>
                <c:pt idx="57">
                  <c:v>59</c:v>
                </c:pt>
                <c:pt idx="58">
                  <c:v>57.285714285714285</c:v>
                </c:pt>
                <c:pt idx="59">
                  <c:v>49.428571428571431</c:v>
                </c:pt>
                <c:pt idx="60">
                  <c:v>38.571428571428569</c:v>
                </c:pt>
                <c:pt idx="61">
                  <c:v>33.714285714285715</c:v>
                </c:pt>
                <c:pt idx="62">
                  <c:v>29.428571428571427</c:v>
                </c:pt>
                <c:pt idx="63">
                  <c:v>27.142857142857142</c:v>
                </c:pt>
                <c:pt idx="64">
                  <c:v>22.428571428571427</c:v>
                </c:pt>
                <c:pt idx="65">
                  <c:v>21.285714285714285</c:v>
                </c:pt>
                <c:pt idx="66">
                  <c:v>20.714285714285715</c:v>
                </c:pt>
                <c:pt idx="67">
                  <c:v>19</c:v>
                </c:pt>
                <c:pt idx="68">
                  <c:v>17.571428571428573</c:v>
                </c:pt>
                <c:pt idx="69">
                  <c:v>21.571428571428573</c:v>
                </c:pt>
                <c:pt idx="70">
                  <c:v>18</c:v>
                </c:pt>
                <c:pt idx="71">
                  <c:v>13.571428571428571</c:v>
                </c:pt>
                <c:pt idx="72">
                  <c:v>11</c:v>
                </c:pt>
                <c:pt idx="73">
                  <c:v>8.1428571428571423</c:v>
                </c:pt>
                <c:pt idx="74">
                  <c:v>4.7142857142857144</c:v>
                </c:pt>
                <c:pt idx="75">
                  <c:v>2.1428571428571428</c:v>
                </c:pt>
                <c:pt idx="76">
                  <c:v>2.1428571428571428</c:v>
                </c:pt>
                <c:pt idx="77">
                  <c:v>2.1428571428571428</c:v>
                </c:pt>
                <c:pt idx="78">
                  <c:v>1.2857142857142858</c:v>
                </c:pt>
                <c:pt idx="79">
                  <c:v>1.5714285714285714</c:v>
                </c:pt>
                <c:pt idx="80">
                  <c:v>3.4285714285714284</c:v>
                </c:pt>
                <c:pt idx="81">
                  <c:v>4.1428571428571432</c:v>
                </c:pt>
                <c:pt idx="82">
                  <c:v>5.7142857142857144</c:v>
                </c:pt>
                <c:pt idx="83">
                  <c:v>5.7142857142857144</c:v>
                </c:pt>
                <c:pt idx="84">
                  <c:v>6.2857142857142856</c:v>
                </c:pt>
                <c:pt idx="85">
                  <c:v>6.1428571428571432</c:v>
                </c:pt>
                <c:pt idx="86">
                  <c:v>5.8571428571428568</c:v>
                </c:pt>
                <c:pt idx="87">
                  <c:v>4.5714285714285712</c:v>
                </c:pt>
                <c:pt idx="88">
                  <c:v>6.4285714285714288</c:v>
                </c:pt>
                <c:pt idx="89">
                  <c:v>5.1428571428571432</c:v>
                </c:pt>
                <c:pt idx="90">
                  <c:v>4.5714285714285712</c:v>
                </c:pt>
                <c:pt idx="91">
                  <c:v>3.1428571428571428</c:v>
                </c:pt>
                <c:pt idx="92">
                  <c:v>6.2857142857142856</c:v>
                </c:pt>
                <c:pt idx="93">
                  <c:v>9.4285714285714288</c:v>
                </c:pt>
                <c:pt idx="94">
                  <c:v>13.857142857142858</c:v>
                </c:pt>
                <c:pt idx="95">
                  <c:v>21.428571428571427</c:v>
                </c:pt>
                <c:pt idx="96">
                  <c:v>24.714285714285715</c:v>
                </c:pt>
                <c:pt idx="97">
                  <c:v>33.142857142857146</c:v>
                </c:pt>
                <c:pt idx="98">
                  <c:v>50.142857142857146</c:v>
                </c:pt>
                <c:pt idx="99">
                  <c:v>50.142857142857146</c:v>
                </c:pt>
                <c:pt idx="100">
                  <c:v>63.428571428571431</c:v>
                </c:pt>
                <c:pt idx="101">
                  <c:v>50.857142857142854</c:v>
                </c:pt>
                <c:pt idx="102">
                  <c:v>35.428571428571431</c:v>
                </c:pt>
                <c:pt idx="103">
                  <c:v>34.428571428571431</c:v>
                </c:pt>
                <c:pt idx="104">
                  <c:v>17.571428571428573</c:v>
                </c:pt>
                <c:pt idx="105">
                  <c:v>10.714285714285714</c:v>
                </c:pt>
                <c:pt idx="106">
                  <c:v>8</c:v>
                </c:pt>
                <c:pt idx="107">
                  <c:v>8.7142857142857135</c:v>
                </c:pt>
                <c:pt idx="108">
                  <c:v>8.5714285714285712</c:v>
                </c:pt>
                <c:pt idx="109">
                  <c:v>9.1428571428571423</c:v>
                </c:pt>
                <c:pt idx="110">
                  <c:v>12.428571428571429</c:v>
                </c:pt>
                <c:pt idx="111">
                  <c:v>9.2857142857142865</c:v>
                </c:pt>
                <c:pt idx="112">
                  <c:v>9.1428571428571423</c:v>
                </c:pt>
                <c:pt idx="113">
                  <c:v>13.571428571428571</c:v>
                </c:pt>
                <c:pt idx="114">
                  <c:v>12.285714285714286</c:v>
                </c:pt>
                <c:pt idx="115">
                  <c:v>15</c:v>
                </c:pt>
                <c:pt idx="116">
                  <c:v>16.428571428571427</c:v>
                </c:pt>
                <c:pt idx="117">
                  <c:v>12.142857142857142</c:v>
                </c:pt>
                <c:pt idx="118">
                  <c:v>9</c:v>
                </c:pt>
                <c:pt idx="119">
                  <c:v>8.5714285714285712</c:v>
                </c:pt>
                <c:pt idx="120">
                  <c:v>4.5714285714285712</c:v>
                </c:pt>
                <c:pt idx="121">
                  <c:v>3.2857142857142856</c:v>
                </c:pt>
                <c:pt idx="122">
                  <c:v>2.5714285714285716</c:v>
                </c:pt>
                <c:pt idx="123">
                  <c:v>1.8571428571428572</c:v>
                </c:pt>
                <c:pt idx="124">
                  <c:v>0.8571428571428571</c:v>
                </c:pt>
                <c:pt idx="125">
                  <c:v>1.1428571428571428</c:v>
                </c:pt>
                <c:pt idx="126">
                  <c:v>1.4285714285714286</c:v>
                </c:pt>
                <c:pt idx="127">
                  <c:v>1.2857142857142858</c:v>
                </c:pt>
                <c:pt idx="128">
                  <c:v>1.8571428571428572</c:v>
                </c:pt>
                <c:pt idx="129">
                  <c:v>3.5714285714285716</c:v>
                </c:pt>
                <c:pt idx="130">
                  <c:v>3.2857142857142856</c:v>
                </c:pt>
                <c:pt idx="131">
                  <c:v>3.7142857142857144</c:v>
                </c:pt>
                <c:pt idx="132">
                  <c:v>4.7142857142857144</c:v>
                </c:pt>
                <c:pt idx="133">
                  <c:v>4.5714285714285712</c:v>
                </c:pt>
                <c:pt idx="134">
                  <c:v>4.4285714285714288</c:v>
                </c:pt>
                <c:pt idx="135">
                  <c:v>2.7142857142857144</c:v>
                </c:pt>
                <c:pt idx="136">
                  <c:v>5.1428571428571432</c:v>
                </c:pt>
                <c:pt idx="137">
                  <c:v>2.1428571428571428</c:v>
                </c:pt>
                <c:pt idx="138">
                  <c:v>1</c:v>
                </c:pt>
                <c:pt idx="139">
                  <c:v>1.7142857142857142</c:v>
                </c:pt>
                <c:pt idx="140">
                  <c:v>1.4285714285714286</c:v>
                </c:pt>
                <c:pt idx="141">
                  <c:v>1.8571428571428572</c:v>
                </c:pt>
                <c:pt idx="142">
                  <c:v>2.2857142857142856</c:v>
                </c:pt>
                <c:pt idx="143">
                  <c:v>5.7142857142857144</c:v>
                </c:pt>
                <c:pt idx="144">
                  <c:v>4.2857142857142856</c:v>
                </c:pt>
                <c:pt idx="145">
                  <c:v>6.7142857142857144</c:v>
                </c:pt>
                <c:pt idx="146">
                  <c:v>6.2857142857142856</c:v>
                </c:pt>
                <c:pt idx="147">
                  <c:v>5.2857142857142856</c:v>
                </c:pt>
                <c:pt idx="148">
                  <c:v>3.1428571428571428</c:v>
                </c:pt>
                <c:pt idx="149">
                  <c:v>2.8571428571428572</c:v>
                </c:pt>
                <c:pt idx="150">
                  <c:v>1.5714285714285714</c:v>
                </c:pt>
                <c:pt idx="151">
                  <c:v>2.1428571428571428</c:v>
                </c:pt>
                <c:pt idx="152">
                  <c:v>2.1428571428571428</c:v>
                </c:pt>
                <c:pt idx="153">
                  <c:v>1.7142857142857142</c:v>
                </c:pt>
                <c:pt idx="154">
                  <c:v>3</c:v>
                </c:pt>
                <c:pt idx="155">
                  <c:v>4.1748299319727895</c:v>
                </c:pt>
                <c:pt idx="156">
                  <c:v>3.7108843537414962</c:v>
                </c:pt>
                <c:pt idx="157">
                  <c:v>3.9299319727891153</c:v>
                </c:pt>
                <c:pt idx="158">
                  <c:v>3.2979591836734694</c:v>
                </c:pt>
                <c:pt idx="159">
                  <c:v>2.4816326530612245</c:v>
                </c:pt>
                <c:pt idx="160">
                  <c:v>1.8414965986394558</c:v>
                </c:pt>
                <c:pt idx="161">
                  <c:v>1.5591836734693878</c:v>
                </c:pt>
                <c:pt idx="162">
                  <c:v>1.7755102040816326</c:v>
                </c:pt>
                <c:pt idx="163">
                  <c:v>2.1931972789115646</c:v>
                </c:pt>
                <c:pt idx="164">
                  <c:v>2.7517006802721085</c:v>
                </c:pt>
                <c:pt idx="165">
                  <c:v>3.545578231292517</c:v>
                </c:pt>
                <c:pt idx="166">
                  <c:v>4.4857142857142858</c:v>
                </c:pt>
                <c:pt idx="167">
                  <c:v>4.5653061224489795</c:v>
                </c:pt>
                <c:pt idx="168">
                  <c:v>4.1918367346938776</c:v>
                </c:pt>
                <c:pt idx="169">
                  <c:v>3.4265306122448984</c:v>
                </c:pt>
                <c:pt idx="170">
                  <c:v>2.6598639455782309</c:v>
                </c:pt>
                <c:pt idx="171">
                  <c:v>2.1925170068027211</c:v>
                </c:pt>
                <c:pt idx="172">
                  <c:v>1.8176870748299319</c:v>
                </c:pt>
                <c:pt idx="173">
                  <c:v>1.6122448979591837</c:v>
                </c:pt>
                <c:pt idx="174">
                  <c:v>1.2510204081632654</c:v>
                </c:pt>
                <c:pt idx="175">
                  <c:v>1.0102040816326532</c:v>
                </c:pt>
                <c:pt idx="176">
                  <c:v>0.74149659863945583</c:v>
                </c:pt>
                <c:pt idx="177">
                  <c:v>0.56054421768707485</c:v>
                </c:pt>
                <c:pt idx="178">
                  <c:v>0.42993197278911566</c:v>
                </c:pt>
                <c:pt idx="179">
                  <c:v>0.39659863945578228</c:v>
                </c:pt>
                <c:pt idx="180">
                  <c:v>0.33401360544217684</c:v>
                </c:pt>
                <c:pt idx="181">
                  <c:v>0.2591836734693877</c:v>
                </c:pt>
                <c:pt idx="182">
                  <c:v>0.18503401360544217</c:v>
                </c:pt>
                <c:pt idx="183">
                  <c:v>0.18843537414965986</c:v>
                </c:pt>
                <c:pt idx="184">
                  <c:v>0.20884353741496597</c:v>
                </c:pt>
                <c:pt idx="185">
                  <c:v>0.21632653061224497</c:v>
                </c:pt>
                <c:pt idx="186">
                  <c:v>0.20680272108843537</c:v>
                </c:pt>
                <c:pt idx="187">
                  <c:v>0.21632653061224488</c:v>
                </c:pt>
                <c:pt idx="188">
                  <c:v>0.30544217687074832</c:v>
                </c:pt>
                <c:pt idx="189">
                  <c:v>0.29591836734693872</c:v>
                </c:pt>
                <c:pt idx="190">
                  <c:v>0.34081632653061222</c:v>
                </c:pt>
                <c:pt idx="191">
                  <c:v>0.39047619047619048</c:v>
                </c:pt>
                <c:pt idx="192">
                  <c:v>0.39047619047619048</c:v>
                </c:pt>
                <c:pt idx="193">
                  <c:v>0.39047619047619048</c:v>
                </c:pt>
                <c:pt idx="194">
                  <c:v>0.39047619047619048</c:v>
                </c:pt>
                <c:pt idx="195">
                  <c:v>0.39047619047619048</c:v>
                </c:pt>
                <c:pt idx="196">
                  <c:v>0.39047619047619048</c:v>
                </c:pt>
                <c:pt idx="197">
                  <c:v>1.1673469387755102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1-5A40-802A-A4DBAEC7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63903"/>
        <c:axId val="180282719"/>
      </c:areaChart>
      <c:lineChart>
        <c:grouping val="standard"/>
        <c:varyColors val="0"/>
        <c:ser>
          <c:idx val="0"/>
          <c:order val="1"/>
          <c:tx>
            <c:v> Oversterfte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Oversterfte!$F$212:$F$441</c:f>
              <c:numCache>
                <c:formatCode>0</c:formatCode>
                <c:ptCount val="230"/>
                <c:pt idx="0">
                  <c:v>-9.9808261775178835</c:v>
                </c:pt>
                <c:pt idx="1">
                  <c:v>2.7789470924870039</c:v>
                </c:pt>
                <c:pt idx="2">
                  <c:v>-6.4529096646246638</c:v>
                </c:pt>
                <c:pt idx="3">
                  <c:v>-17.834884752915919</c:v>
                </c:pt>
                <c:pt idx="4">
                  <c:v>-12.006130275724088</c:v>
                </c:pt>
                <c:pt idx="5">
                  <c:v>-4.7201804627739614</c:v>
                </c:pt>
                <c:pt idx="6">
                  <c:v>-10.773472395034219</c:v>
                </c:pt>
                <c:pt idx="7">
                  <c:v>-21.148047606235568</c:v>
                </c:pt>
                <c:pt idx="8">
                  <c:v>-17.332722531504437</c:v>
                </c:pt>
                <c:pt idx="9">
                  <c:v>-5.2513029840727574</c:v>
                </c:pt>
                <c:pt idx="10">
                  <c:v>20.023580717303599</c:v>
                </c:pt>
                <c:pt idx="11">
                  <c:v>85.628154267208032</c:v>
                </c:pt>
                <c:pt idx="12">
                  <c:v>185.94383056511529</c:v>
                </c:pt>
                <c:pt idx="13">
                  <c:v>260.9193254495068</c:v>
                </c:pt>
                <c:pt idx="14">
                  <c:v>255.78569081882137</c:v>
                </c:pt>
                <c:pt idx="15">
                  <c:v>193.7713971038082</c:v>
                </c:pt>
                <c:pt idx="16">
                  <c:v>126.53173919204043</c:v>
                </c:pt>
                <c:pt idx="17">
                  <c:v>64.685410782234513</c:v>
                </c:pt>
                <c:pt idx="18">
                  <c:v>14.172520343121343</c:v>
                </c:pt>
                <c:pt idx="19">
                  <c:v>-11.387392625614812</c:v>
                </c:pt>
                <c:pt idx="20">
                  <c:v>-17.087353767258474</c:v>
                </c:pt>
                <c:pt idx="21">
                  <c:v>-18.339260748192423</c:v>
                </c:pt>
                <c:pt idx="22">
                  <c:v>-19.80165589542597</c:v>
                </c:pt>
                <c:pt idx="23">
                  <c:v>-17.950404816119008</c:v>
                </c:pt>
                <c:pt idx="24">
                  <c:v>-16.0065776556734</c:v>
                </c:pt>
                <c:pt idx="25">
                  <c:v>-17.042971637567575</c:v>
                </c:pt>
                <c:pt idx="26">
                  <c:v>-18.876426796308433</c:v>
                </c:pt>
                <c:pt idx="27">
                  <c:v>-23.031657093773656</c:v>
                </c:pt>
                <c:pt idx="28">
                  <c:v>-24.312317844138306</c:v>
                </c:pt>
                <c:pt idx="29">
                  <c:v>-17.229314724816341</c:v>
                </c:pt>
                <c:pt idx="30">
                  <c:v>-13.679215354536723</c:v>
                </c:pt>
                <c:pt idx="31">
                  <c:v>3.8415199327772434</c:v>
                </c:pt>
                <c:pt idx="32">
                  <c:v>29.62934444787582</c:v>
                </c:pt>
                <c:pt idx="33">
                  <c:v>18.630612225319787</c:v>
                </c:pt>
                <c:pt idx="34">
                  <c:v>-6.3086804899226241</c:v>
                </c:pt>
                <c:pt idx="35">
                  <c:v>-14.478967018905044</c:v>
                </c:pt>
                <c:pt idx="36">
                  <c:v>-16.128990086240215</c:v>
                </c:pt>
                <c:pt idx="37">
                  <c:v>-13.037768862973037</c:v>
                </c:pt>
                <c:pt idx="38">
                  <c:v>-1.2295025151033607</c:v>
                </c:pt>
                <c:pt idx="39">
                  <c:v>9.7043130287618329</c:v>
                </c:pt>
                <c:pt idx="40">
                  <c:v>18.282707975712974</c:v>
                </c:pt>
                <c:pt idx="41">
                  <c:v>37.27729785604361</c:v>
                </c:pt>
                <c:pt idx="42">
                  <c:v>64.961447773803684</c:v>
                </c:pt>
                <c:pt idx="43">
                  <c:v>82.466553903887728</c:v>
                </c:pt>
                <c:pt idx="44">
                  <c:v>79.602597651175714</c:v>
                </c:pt>
                <c:pt idx="45">
                  <c:v>62.750128079034617</c:v>
                </c:pt>
                <c:pt idx="46">
                  <c:v>43.645113934649252</c:v>
                </c:pt>
                <c:pt idx="47">
                  <c:v>40.806677847074425</c:v>
                </c:pt>
                <c:pt idx="48">
                  <c:v>52.000582053193966</c:v>
                </c:pt>
                <c:pt idx="49">
                  <c:v>70.095620179356757</c:v>
                </c:pt>
                <c:pt idx="50">
                  <c:v>90.062926037360356</c:v>
                </c:pt>
                <c:pt idx="51">
                  <c:v>104.79185842615944</c:v>
                </c:pt>
                <c:pt idx="52">
                  <c:v>109.91933313538367</c:v>
                </c:pt>
                <c:pt idx="53">
                  <c:v>97.550507257277104</c:v>
                </c:pt>
                <c:pt idx="54">
                  <c:v>81.848681142913179</c:v>
                </c:pt>
                <c:pt idx="55">
                  <c:v>69.286099572367633</c:v>
                </c:pt>
                <c:pt idx="56">
                  <c:v>56.152209305627416</c:v>
                </c:pt>
                <c:pt idx="57">
                  <c:v>46.443449943012332</c:v>
                </c:pt>
                <c:pt idx="58">
                  <c:v>30.899019290050919</c:v>
                </c:pt>
                <c:pt idx="59">
                  <c:v>5.2153157648441164</c:v>
                </c:pt>
                <c:pt idx="60">
                  <c:v>-6.4180872821006494</c:v>
                </c:pt>
                <c:pt idx="61">
                  <c:v>-4.7466534014531261</c:v>
                </c:pt>
                <c:pt idx="62">
                  <c:v>-11.236143407440993</c:v>
                </c:pt>
                <c:pt idx="63">
                  <c:v>-10.357788020613432</c:v>
                </c:pt>
                <c:pt idx="64">
                  <c:v>2.1980478917214605</c:v>
                </c:pt>
                <c:pt idx="65">
                  <c:v>8.7011289949971999</c:v>
                </c:pt>
                <c:pt idx="66">
                  <c:v>10.524959571242091</c:v>
                </c:pt>
                <c:pt idx="67">
                  <c:v>13.433300462626173</c:v>
                </c:pt>
                <c:pt idx="68">
                  <c:v>11.90243831803353</c:v>
                </c:pt>
                <c:pt idx="69">
                  <c:v>7.014909173086104</c:v>
                </c:pt>
                <c:pt idx="70">
                  <c:v>6.7818065883676422</c:v>
                </c:pt>
                <c:pt idx="71">
                  <c:v>2.8222329490952558</c:v>
                </c:pt>
                <c:pt idx="72">
                  <c:v>-0.13583319071814717</c:v>
                </c:pt>
                <c:pt idx="73">
                  <c:v>6.8881622017762698</c:v>
                </c:pt>
                <c:pt idx="74">
                  <c:v>7.8781533441245823</c:v>
                </c:pt>
                <c:pt idx="75">
                  <c:v>-1.7135041420613919</c:v>
                </c:pt>
                <c:pt idx="76">
                  <c:v>-9.3581950929672235</c:v>
                </c:pt>
                <c:pt idx="77">
                  <c:v>-3.9504198919961317</c:v>
                </c:pt>
                <c:pt idx="78">
                  <c:v>6.5141795205495487</c:v>
                </c:pt>
                <c:pt idx="79">
                  <c:v>8.2607061830073487</c:v>
                </c:pt>
                <c:pt idx="80">
                  <c:v>8.271086218757091</c:v>
                </c:pt>
                <c:pt idx="81">
                  <c:v>16.748618911263698</c:v>
                </c:pt>
                <c:pt idx="82">
                  <c:v>20.510994881076549</c:v>
                </c:pt>
                <c:pt idx="83">
                  <c:v>15.026065718767979</c:v>
                </c:pt>
                <c:pt idx="84">
                  <c:v>14.911792825910734</c:v>
                </c:pt>
                <c:pt idx="85">
                  <c:v>15.15037619786639</c:v>
                </c:pt>
                <c:pt idx="86">
                  <c:v>17.480851139021961</c:v>
                </c:pt>
                <c:pt idx="87">
                  <c:v>22.434442410673196</c:v>
                </c:pt>
                <c:pt idx="88">
                  <c:v>13.941252480562818</c:v>
                </c:pt>
                <c:pt idx="89">
                  <c:v>9.0082904927812049</c:v>
                </c:pt>
                <c:pt idx="90">
                  <c:v>17.683135572930205</c:v>
                </c:pt>
                <c:pt idx="91">
                  <c:v>20.088957821718509</c:v>
                </c:pt>
                <c:pt idx="92">
                  <c:v>23.138049956328945</c:v>
                </c:pt>
                <c:pt idx="93">
                  <c:v>37.923880589294185</c:v>
                </c:pt>
                <c:pt idx="94">
                  <c:v>54.005966576279789</c:v>
                </c:pt>
                <c:pt idx="95">
                  <c:v>72.837576706477336</c:v>
                </c:pt>
                <c:pt idx="96">
                  <c:v>99.943422244116576</c:v>
                </c:pt>
                <c:pt idx="97">
                  <c:v>127.52591859424423</c:v>
                </c:pt>
                <c:pt idx="98">
                  <c:v>152.64288808612159</c:v>
                </c:pt>
                <c:pt idx="99">
                  <c:v>170.09957368611111</c:v>
                </c:pt>
                <c:pt idx="100">
                  <c:v>161.26926165709452</c:v>
                </c:pt>
                <c:pt idx="101">
                  <c:v>124.02109635003936</c:v>
                </c:pt>
                <c:pt idx="102">
                  <c:v>86.076526738958208</c:v>
                </c:pt>
                <c:pt idx="103">
                  <c:v>57.999567722250085</c:v>
                </c:pt>
                <c:pt idx="104">
                  <c:v>24.212678322365118</c:v>
                </c:pt>
                <c:pt idx="105">
                  <c:v>-5.2063816599446033</c:v>
                </c:pt>
                <c:pt idx="106">
                  <c:v>-13.05774928779106</c:v>
                </c:pt>
                <c:pt idx="107">
                  <c:v>-8.3727242270156399</c:v>
                </c:pt>
                <c:pt idx="108">
                  <c:v>-2.897541738114179</c:v>
                </c:pt>
                <c:pt idx="109">
                  <c:v>2.9713498586368297</c:v>
                </c:pt>
                <c:pt idx="110">
                  <c:v>10.901626418179376</c:v>
                </c:pt>
                <c:pt idx="111">
                  <c:v>10.910960303993647</c:v>
                </c:pt>
                <c:pt idx="112">
                  <c:v>9.1887112415013892</c:v>
                </c:pt>
                <c:pt idx="113">
                  <c:v>26.346289021558782</c:v>
                </c:pt>
                <c:pt idx="114">
                  <c:v>51.239039919141497</c:v>
                </c:pt>
                <c:pt idx="115">
                  <c:v>61.752507304221467</c:v>
                </c:pt>
                <c:pt idx="116">
                  <c:v>61.910201345065062</c:v>
                </c:pt>
                <c:pt idx="117">
                  <c:v>61.838582957584762</c:v>
                </c:pt>
                <c:pt idx="118">
                  <c:v>51.803537540818979</c:v>
                </c:pt>
                <c:pt idx="119">
                  <c:v>30.389756001881146</c:v>
                </c:pt>
                <c:pt idx="120">
                  <c:v>17.39443984114504</c:v>
                </c:pt>
                <c:pt idx="121">
                  <c:v>17.256746507865778</c:v>
                </c:pt>
                <c:pt idx="122">
                  <c:v>18.308676570356642</c:v>
                </c:pt>
                <c:pt idx="123">
                  <c:v>12.418818335958658</c:v>
                </c:pt>
                <c:pt idx="124">
                  <c:v>5.6003655500693901</c:v>
                </c:pt>
                <c:pt idx="125">
                  <c:v>6.58339541483664</c:v>
                </c:pt>
                <c:pt idx="126">
                  <c:v>12.279965965554506</c:v>
                </c:pt>
                <c:pt idx="127">
                  <c:v>23.820592392395238</c:v>
                </c:pt>
                <c:pt idx="128">
                  <c:v>36.447805474590545</c:v>
                </c:pt>
                <c:pt idx="129">
                  <c:v>36.052496178741194</c:v>
                </c:pt>
                <c:pt idx="130">
                  <c:v>31.567322935416932</c:v>
                </c:pt>
                <c:pt idx="131">
                  <c:v>39.967173562120301</c:v>
                </c:pt>
                <c:pt idx="132">
                  <c:v>49.948103657580077</c:v>
                </c:pt>
                <c:pt idx="133">
                  <c:v>43.67760324776485</c:v>
                </c:pt>
                <c:pt idx="134">
                  <c:v>30.009044926364563</c:v>
                </c:pt>
                <c:pt idx="135">
                  <c:v>28.088882537604459</c:v>
                </c:pt>
                <c:pt idx="136">
                  <c:v>32.999456717837461</c:v>
                </c:pt>
                <c:pt idx="137">
                  <c:v>29.330265178887235</c:v>
                </c:pt>
                <c:pt idx="138">
                  <c:v>19.499128600599452</c:v>
                </c:pt>
                <c:pt idx="139">
                  <c:v>8.0018273798130597</c:v>
                </c:pt>
                <c:pt idx="140">
                  <c:v>2.5545002357748672</c:v>
                </c:pt>
                <c:pt idx="141">
                  <c:v>15.735954205062578</c:v>
                </c:pt>
                <c:pt idx="142">
                  <c:v>36.344179709213755</c:v>
                </c:pt>
                <c:pt idx="143">
                  <c:v>46.645651269469745</c:v>
                </c:pt>
                <c:pt idx="144">
                  <c:v>48.374566915302644</c:v>
                </c:pt>
                <c:pt idx="145">
                  <c:v>46.303465942890902</c:v>
                </c:pt>
                <c:pt idx="146">
                  <c:v>37.278093984802112</c:v>
                </c:pt>
                <c:pt idx="147">
                  <c:v>23.287956342113748</c:v>
                </c:pt>
                <c:pt idx="148">
                  <c:v>13.751143768273437</c:v>
                </c:pt>
                <c:pt idx="149">
                  <c:v>17.799157946024156</c:v>
                </c:pt>
                <c:pt idx="150">
                  <c:v>29.883178190403278</c:v>
                </c:pt>
                <c:pt idx="151">
                  <c:v>41.094639299202264</c:v>
                </c:pt>
                <c:pt idx="152">
                  <c:v>65.378704388566391</c:v>
                </c:pt>
                <c:pt idx="153">
                  <c:v>103.53350171527015</c:v>
                </c:pt>
                <c:pt idx="154">
                  <c:v>126.78085090663157</c:v>
                </c:pt>
                <c:pt idx="155">
                  <c:v>122.9879617073392</c:v>
                </c:pt>
                <c:pt idx="156">
                  <c:v>104.82780644149946</c:v>
                </c:pt>
                <c:pt idx="157">
                  <c:v>81.022766096584334</c:v>
                </c:pt>
                <c:pt idx="158">
                  <c:v>52.308143739789251</c:v>
                </c:pt>
                <c:pt idx="159">
                  <c:v>34.705266131924041</c:v>
                </c:pt>
                <c:pt idx="160">
                  <c:v>33.110784657148983</c:v>
                </c:pt>
                <c:pt idx="161">
                  <c:v>31.413937139195323</c:v>
                </c:pt>
                <c:pt idx="162">
                  <c:v>29.818028337241476</c:v>
                </c:pt>
                <c:pt idx="163">
                  <c:v>29.912017803462636</c:v>
                </c:pt>
                <c:pt idx="164">
                  <c:v>42.813641363194847</c:v>
                </c:pt>
                <c:pt idx="165">
                  <c:v>63.526919517840419</c:v>
                </c:pt>
                <c:pt idx="166">
                  <c:v>64.871190308545238</c:v>
                </c:pt>
                <c:pt idx="167">
                  <c:v>50.053088493982564</c:v>
                </c:pt>
                <c:pt idx="168">
                  <c:v>32.274320165833956</c:v>
                </c:pt>
                <c:pt idx="169">
                  <c:v>13.982366455466279</c:v>
                </c:pt>
                <c:pt idx="170">
                  <c:v>5.2641060778652546</c:v>
                </c:pt>
                <c:pt idx="171">
                  <c:v>2.1680598437185545</c:v>
                </c:pt>
                <c:pt idx="172">
                  <c:v>-7.0447547534872843</c:v>
                </c:pt>
                <c:pt idx="173">
                  <c:v>-7.0427999048803258</c:v>
                </c:pt>
                <c:pt idx="174">
                  <c:v>-3.1374090781399673</c:v>
                </c:pt>
                <c:pt idx="175">
                  <c:v>-3.7461783000931228</c:v>
                </c:pt>
                <c:pt idx="176">
                  <c:v>-2.106370173550983</c:v>
                </c:pt>
                <c:pt idx="177">
                  <c:v>4.5116565122325643</c:v>
                </c:pt>
                <c:pt idx="178">
                  <c:v>23.626693375564564</c:v>
                </c:pt>
                <c:pt idx="179">
                  <c:v>35.618879021336447</c:v>
                </c:pt>
                <c:pt idx="180">
                  <c:v>24.837548685052102</c:v>
                </c:pt>
                <c:pt idx="181">
                  <c:v>7.7804409133419119</c:v>
                </c:pt>
                <c:pt idx="182">
                  <c:v>2.6656805801719492</c:v>
                </c:pt>
                <c:pt idx="183">
                  <c:v>5.2536730010242048</c:v>
                </c:pt>
                <c:pt idx="184">
                  <c:v>5.2760452028602458</c:v>
                </c:pt>
                <c:pt idx="185">
                  <c:v>5.1859146596651078</c:v>
                </c:pt>
                <c:pt idx="186">
                  <c:v>3.8009101343278968</c:v>
                </c:pt>
                <c:pt idx="187">
                  <c:v>6.7675136560679254</c:v>
                </c:pt>
                <c:pt idx="188">
                  <c:v>10.525294229090393</c:v>
                </c:pt>
                <c:pt idx="189">
                  <c:v>6.521034018386298</c:v>
                </c:pt>
                <c:pt idx="190">
                  <c:v>4.4941778981271261</c:v>
                </c:pt>
                <c:pt idx="191">
                  <c:v>6.3693244969327258</c:v>
                </c:pt>
                <c:pt idx="192">
                  <c:v>6.8629069243138474</c:v>
                </c:pt>
                <c:pt idx="193">
                  <c:v>10.804069906526479</c:v>
                </c:pt>
                <c:pt idx="194">
                  <c:v>16.991179934625311</c:v>
                </c:pt>
                <c:pt idx="195">
                  <c:v>17.655406213652636</c:v>
                </c:pt>
                <c:pt idx="196">
                  <c:v>14.888525539479312</c:v>
                </c:pt>
                <c:pt idx="197">
                  <c:v>22.642105132041348</c:v>
                </c:pt>
                <c:pt idx="198">
                  <c:v>41.440932478844083</c:v>
                </c:pt>
                <c:pt idx="199">
                  <c:v>52.739276094119774</c:v>
                </c:pt>
                <c:pt idx="200">
                  <c:v>50.527132911509106</c:v>
                </c:pt>
                <c:pt idx="201">
                  <c:v>37.043618224545021</c:v>
                </c:pt>
                <c:pt idx="202">
                  <c:v>30.168939809519593</c:v>
                </c:pt>
                <c:pt idx="203">
                  <c:v>41.852111966543411</c:v>
                </c:pt>
                <c:pt idx="204">
                  <c:v>52.074421985147168</c:v>
                </c:pt>
                <c:pt idx="205">
                  <c:v>62.74151812888983</c:v>
                </c:pt>
                <c:pt idx="206">
                  <c:v>64.718416075768147</c:v>
                </c:pt>
                <c:pt idx="207">
                  <c:v>48.725349273063898</c:v>
                </c:pt>
                <c:pt idx="208">
                  <c:v>45.078383180701508</c:v>
                </c:pt>
                <c:pt idx="209">
                  <c:v>54.258918046777936</c:v>
                </c:pt>
                <c:pt idx="210">
                  <c:v>67.430993066296011</c:v>
                </c:pt>
                <c:pt idx="211">
                  <c:v>82.825909926580124</c:v>
                </c:pt>
                <c:pt idx="212">
                  <c:v>86.090349744775693</c:v>
                </c:pt>
                <c:pt idx="213">
                  <c:v>68.506379125236549</c:v>
                </c:pt>
                <c:pt idx="214">
                  <c:v>41.741502490870239</c:v>
                </c:pt>
                <c:pt idx="215">
                  <c:v>27.955965474623003</c:v>
                </c:pt>
                <c:pt idx="216">
                  <c:v>32.017307042510915</c:v>
                </c:pt>
                <c:pt idx="217">
                  <c:v>34.500727903925231</c:v>
                </c:pt>
                <c:pt idx="218">
                  <c:v>26.15384127698881</c:v>
                </c:pt>
                <c:pt idx="219">
                  <c:v>24.040084952510092</c:v>
                </c:pt>
                <c:pt idx="220">
                  <c:v>30.289358002997719</c:v>
                </c:pt>
                <c:pt idx="221">
                  <c:v>33.777301432397458</c:v>
                </c:pt>
                <c:pt idx="222">
                  <c:v>30.161783860830155</c:v>
                </c:pt>
                <c:pt idx="223">
                  <c:v>24.919438144953183</c:v>
                </c:pt>
                <c:pt idx="224">
                  <c:v>25.989379804754094</c:v>
                </c:pt>
                <c:pt idx="225">
                  <c:v>19.952666129626518</c:v>
                </c:pt>
                <c:pt idx="226">
                  <c:v>11.568911593084847</c:v>
                </c:pt>
                <c:pt idx="227">
                  <c:v>16.741475007814952</c:v>
                </c:pt>
                <c:pt idx="228">
                  <c:v>17.196919560980405</c:v>
                </c:pt>
                <c:pt idx="229">
                  <c:v>7.3882383887348784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4C1-5A40-802A-A4DBAEC7CAB9}"/>
            </c:ext>
          </c:extLst>
        </c:ser>
        <c:ser>
          <c:idx val="3"/>
          <c:order val="3"/>
          <c:tx>
            <c:v> Ondersterfte baseline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Oversterfte!$I$212:$I$441</c:f>
              <c:numCache>
                <c:formatCode>0.0</c:formatCode>
                <c:ptCount val="230"/>
                <c:pt idx="8">
                  <c:v>0</c:v>
                </c:pt>
                <c:pt idx="9">
                  <c:v>0.32262893593681707</c:v>
                </c:pt>
                <c:pt idx="10">
                  <c:v>3.6577782832479956E-2</c:v>
                </c:pt>
                <c:pt idx="11">
                  <c:v>-1.1866815638419206</c:v>
                </c:pt>
                <c:pt idx="12">
                  <c:v>-3.8430220004864251</c:v>
                </c:pt>
                <c:pt idx="13">
                  <c:v>-7.5704409354793789</c:v>
                </c:pt>
                <c:pt idx="14">
                  <c:v>-11.224522232891113</c:v>
                </c:pt>
                <c:pt idx="15">
                  <c:v>-13.992685048659803</c:v>
                </c:pt>
                <c:pt idx="16">
                  <c:v>-15.800281322831808</c:v>
                </c:pt>
                <c:pt idx="17">
                  <c:v>-16.724358619720874</c:v>
                </c:pt>
                <c:pt idx="18">
                  <c:v>-16.926823196051178</c:v>
                </c:pt>
                <c:pt idx="19">
                  <c:v>-16.764146158542395</c:v>
                </c:pt>
                <c:pt idx="20">
                  <c:v>-16.520041104724417</c:v>
                </c:pt>
                <c:pt idx="21">
                  <c:v>-16.258051665464524</c:v>
                </c:pt>
                <c:pt idx="22">
                  <c:v>-15.97517086695844</c:v>
                </c:pt>
                <c:pt idx="23">
                  <c:v>-15.718736512442453</c:v>
                </c:pt>
                <c:pt idx="24">
                  <c:v>-15.490071117361403</c:v>
                </c:pt>
                <c:pt idx="25">
                  <c:v>-15.246600093967579</c:v>
                </c:pt>
                <c:pt idx="26">
                  <c:v>-14.976936854020316</c:v>
                </c:pt>
                <c:pt idx="27">
                  <c:v>-14.647913181252122</c:v>
                </c:pt>
                <c:pt idx="28">
                  <c:v>-14.300594354907288</c:v>
                </c:pt>
                <c:pt idx="29">
                  <c:v>-14.054461287409911</c:v>
                </c:pt>
                <c:pt idx="30">
                  <c:v>-13.859043925202243</c:v>
                </c:pt>
                <c:pt idx="31">
                  <c:v>-13.913922781384777</c:v>
                </c:pt>
                <c:pt idx="32">
                  <c:v>-14.337199130640146</c:v>
                </c:pt>
                <c:pt idx="33">
                  <c:v>-14.603350733858999</c:v>
                </c:pt>
                <c:pt idx="34">
                  <c:v>-14.513226726860104</c:v>
                </c:pt>
                <c:pt idx="35">
                  <c:v>-14.306384340875747</c:v>
                </c:pt>
                <c:pt idx="36">
                  <c:v>-14.075970196786601</c:v>
                </c:pt>
                <c:pt idx="37">
                  <c:v>-13.889716355886986</c:v>
                </c:pt>
                <c:pt idx="38">
                  <c:v>-13.872152034242651</c:v>
                </c:pt>
                <c:pt idx="39">
                  <c:v>-14.010785077510677</c:v>
                </c:pt>
                <c:pt idx="40">
                  <c:v>-14.271966620020862</c:v>
                </c:pt>
                <c:pt idx="41">
                  <c:v>-14.80449944653577</c:v>
                </c:pt>
                <c:pt idx="42">
                  <c:v>-15.732520129018679</c:v>
                </c:pt>
                <c:pt idx="43">
                  <c:v>-16.910613756217074</c:v>
                </c:pt>
                <c:pt idx="44">
                  <c:v>-18.047793722662444</c:v>
                </c:pt>
                <c:pt idx="45">
                  <c:v>-18.944224123791507</c:v>
                </c:pt>
                <c:pt idx="46">
                  <c:v>-19.567725751429354</c:v>
                </c:pt>
                <c:pt idx="47">
                  <c:v>-20.150678292101848</c:v>
                </c:pt>
                <c:pt idx="48">
                  <c:v>-20.893543750004618</c:v>
                </c:pt>
                <c:pt idx="49">
                  <c:v>-21.894909752566857</c:v>
                </c:pt>
                <c:pt idx="50">
                  <c:v>-23.181522981672003</c:v>
                </c:pt>
                <c:pt idx="51">
                  <c:v>-24.67854953061714</c:v>
                </c:pt>
                <c:pt idx="52">
                  <c:v>-26.248825718265476</c:v>
                </c:pt>
                <c:pt idx="53">
                  <c:v>-27.642404393369436</c:v>
                </c:pt>
                <c:pt idx="54">
                  <c:v>-28.811671266839625</c:v>
                </c:pt>
                <c:pt idx="55">
                  <c:v>-29.80147268930202</c:v>
                </c:pt>
                <c:pt idx="56">
                  <c:v>-30.60364710795384</c:v>
                </c:pt>
                <c:pt idx="57">
                  <c:v>-31.267124964282583</c:v>
                </c:pt>
                <c:pt idx="58">
                  <c:v>-31.708539525569027</c:v>
                </c:pt>
                <c:pt idx="59">
                  <c:v>-31.783044036495369</c:v>
                </c:pt>
                <c:pt idx="60">
                  <c:v>-31.691357075322504</c:v>
                </c:pt>
                <c:pt idx="61">
                  <c:v>-31.623547741016033</c:v>
                </c:pt>
                <c:pt idx="62">
                  <c:v>-31.463031406624019</c:v>
                </c:pt>
                <c:pt idx="63">
                  <c:v>-31.315063006329542</c:v>
                </c:pt>
                <c:pt idx="64">
                  <c:v>-31.346463690496993</c:v>
                </c:pt>
                <c:pt idx="65">
                  <c:v>-31.47076553328267</c:v>
                </c:pt>
                <c:pt idx="66">
                  <c:v>-31.621122098586127</c:v>
                </c:pt>
                <c:pt idx="67">
                  <c:v>-31.813026390909357</c:v>
                </c:pt>
                <c:pt idx="68">
                  <c:v>-31.983061224024123</c:v>
                </c:pt>
                <c:pt idx="69">
                  <c:v>-32.083274212211066</c:v>
                </c:pt>
                <c:pt idx="70">
                  <c:v>-32.18015716347346</c:v>
                </c:pt>
                <c:pt idx="71">
                  <c:v>-32.22047477703196</c:v>
                </c:pt>
                <c:pt idx="72">
                  <c:v>-32.218534302878844</c:v>
                </c:pt>
                <c:pt idx="73">
                  <c:v>-32.31693662004708</c:v>
                </c:pt>
                <c:pt idx="74">
                  <c:v>-32.429481667820291</c:v>
                </c:pt>
                <c:pt idx="75">
                  <c:v>-32.405003037219409</c:v>
                </c:pt>
                <c:pt idx="76">
                  <c:v>-32.2713145358913</c:v>
                </c:pt>
                <c:pt idx="77">
                  <c:v>-32.21487996600564</c:v>
                </c:pt>
                <c:pt idx="78">
                  <c:v>-32.307939673442064</c:v>
                </c:pt>
                <c:pt idx="79">
                  <c:v>-32.673560083649377</c:v>
                </c:pt>
                <c:pt idx="80">
                  <c:v>-32.866737072261223</c:v>
                </c:pt>
                <c:pt idx="81">
                  <c:v>-32.819951903603517</c:v>
                </c:pt>
                <c:pt idx="82">
                  <c:v>-31.889706769515929</c:v>
                </c:pt>
                <c:pt idx="83">
                  <c:v>-29.448024414568117</c:v>
                </c:pt>
                <c:pt idx="84">
                  <c:v>-25.93363109137389</c:v>
                </c:pt>
                <c:pt idx="85">
                  <c:v>-22.495983739645961</c:v>
                </c:pt>
                <c:pt idx="86">
                  <c:v>-19.977547368720444</c:v>
                </c:pt>
                <c:pt idx="87">
                  <c:v>-18.49044312898663</c:v>
                </c:pt>
                <c:pt idx="88">
                  <c:v>-17.765526581819888</c:v>
                </c:pt>
                <c:pt idx="89">
                  <c:v>-17.691751869672174</c:v>
                </c:pt>
                <c:pt idx="90">
                  <c:v>-18.107045129651386</c:v>
                </c:pt>
                <c:pt idx="91">
                  <c:v>-18.638135295208201</c:v>
                </c:pt>
                <c:pt idx="92">
                  <c:v>-19.23066830527279</c:v>
                </c:pt>
                <c:pt idx="93">
                  <c:v>-20.055318826483077</c:v>
                </c:pt>
                <c:pt idx="94">
                  <c:v>-21.083266989231639</c:v>
                </c:pt>
                <c:pt idx="95">
                  <c:v>-22.352469194405224</c:v>
                </c:pt>
                <c:pt idx="96">
                  <c:v>-24.023703392714996</c:v>
                </c:pt>
                <c:pt idx="97">
                  <c:v>-26.115165469722893</c:v>
                </c:pt>
                <c:pt idx="98">
                  <c:v>-28.624801829435675</c:v>
                </c:pt>
                <c:pt idx="99">
                  <c:v>-31.402114565582092</c:v>
                </c:pt>
                <c:pt idx="100">
                  <c:v>-33.952094228180819</c:v>
                </c:pt>
                <c:pt idx="101">
                  <c:v>-35.919241538246197</c:v>
                </c:pt>
                <c:pt idx="102">
                  <c:v>-37.094027349763074</c:v>
                </c:pt>
                <c:pt idx="103">
                  <c:v>-37.4993162536827</c:v>
                </c:pt>
                <c:pt idx="104">
                  <c:v>-37.579060055069064</c:v>
                </c:pt>
                <c:pt idx="105">
                  <c:v>-37.594807181211607</c:v>
                </c:pt>
                <c:pt idx="106">
                  <c:v>-37.615110291656087</c:v>
                </c:pt>
                <c:pt idx="107">
                  <c:v>-37.725914089645016</c:v>
                </c:pt>
                <c:pt idx="108">
                  <c:v>-37.870774477142994</c:v>
                </c:pt>
                <c:pt idx="109">
                  <c:v>-37.930786653910715</c:v>
                </c:pt>
                <c:pt idx="110">
                  <c:v>-37.947891130902399</c:v>
                </c:pt>
                <c:pt idx="111">
                  <c:v>-37.842580449877829</c:v>
                </c:pt>
                <c:pt idx="112">
                  <c:v>-37.44131492681295</c:v>
                </c:pt>
                <c:pt idx="113">
                  <c:v>-36.889669801780883</c:v>
                </c:pt>
                <c:pt idx="114">
                  <c:v>-36.443562459141646</c:v>
                </c:pt>
                <c:pt idx="115">
                  <c:v>-36.188561168470876</c:v>
                </c:pt>
                <c:pt idx="116">
                  <c:v>-36.176562215128456</c:v>
                </c:pt>
                <c:pt idx="117">
                  <c:v>-36.436468915456103</c:v>
                </c:pt>
                <c:pt idx="118">
                  <c:v>-36.59356691108102</c:v>
                </c:pt>
                <c:pt idx="119">
                  <c:v>-36.28484082463369</c:v>
                </c:pt>
                <c:pt idx="120">
                  <c:v>-35.531966819802093</c:v>
                </c:pt>
                <c:pt idx="121">
                  <c:v>-34.491878540809317</c:v>
                </c:pt>
                <c:pt idx="122">
                  <c:v>-33.256404514297842</c:v>
                </c:pt>
                <c:pt idx="123">
                  <c:v>-31.863540017163203</c:v>
                </c:pt>
                <c:pt idx="124">
                  <c:v>-30.549966564203089</c:v>
                </c:pt>
                <c:pt idx="125">
                  <c:v>-29.474748196659135</c:v>
                </c:pt>
                <c:pt idx="126">
                  <c:v>-28.660374859418951</c:v>
                </c:pt>
                <c:pt idx="127">
                  <c:v>-28.198494617801348</c:v>
                </c:pt>
                <c:pt idx="128">
                  <c:v>-28.05569969682389</c:v>
                </c:pt>
                <c:pt idx="129">
                  <c:v>-28.129320795233756</c:v>
                </c:pt>
                <c:pt idx="130">
                  <c:v>-28.505778040527655</c:v>
                </c:pt>
                <c:pt idx="131">
                  <c:v>-29.16842462401652</c:v>
                </c:pt>
                <c:pt idx="132">
                  <c:v>-29.949778296288422</c:v>
                </c:pt>
                <c:pt idx="133">
                  <c:v>-30.734260391362788</c:v>
                </c:pt>
                <c:pt idx="134">
                  <c:v>-31.31092943346248</c:v>
                </c:pt>
                <c:pt idx="135">
                  <c:v>-31.680798499832228</c:v>
                </c:pt>
                <c:pt idx="136">
                  <c:v>-32.027917467301378</c:v>
                </c:pt>
                <c:pt idx="137">
                  <c:v>-32.296564690267736</c:v>
                </c:pt>
                <c:pt idx="138">
                  <c:v>-32.383219377953068</c:v>
                </c:pt>
                <c:pt idx="139">
                  <c:v>-32.327496364549916</c:v>
                </c:pt>
                <c:pt idx="140">
                  <c:v>-32.263776236874051</c:v>
                </c:pt>
                <c:pt idx="141">
                  <c:v>-32.391692631398264</c:v>
                </c:pt>
                <c:pt idx="142">
                  <c:v>-32.870577585114241</c:v>
                </c:pt>
                <c:pt idx="143">
                  <c:v>-33.53888450597406</c:v>
                </c:pt>
                <c:pt idx="144">
                  <c:v>-34.131547430453018</c:v>
                </c:pt>
                <c:pt idx="145">
                  <c:v>-34.680480467578249</c:v>
                </c:pt>
                <c:pt idx="146">
                  <c:v>-35.237503297962014</c:v>
                </c:pt>
                <c:pt idx="147">
                  <c:v>-35.703876889891738</c:v>
                </c:pt>
                <c:pt idx="148">
                  <c:v>-35.956756370752736</c:v>
                </c:pt>
                <c:pt idx="149">
                  <c:v>-36.117970348259512</c:v>
                </c:pt>
                <c:pt idx="150">
                  <c:v>-36.42686280550803</c:v>
                </c:pt>
                <c:pt idx="151">
                  <c:v>-36.895770706657245</c:v>
                </c:pt>
                <c:pt idx="152">
                  <c:v>-37.590486213475856</c:v>
                </c:pt>
                <c:pt idx="153">
                  <c:v>-38.776522025392907</c:v>
                </c:pt>
                <c:pt idx="154">
                  <c:v>-40.373018956648103</c:v>
                </c:pt>
                <c:pt idx="155">
                  <c:v>-41.916964226382795</c:v>
                </c:pt>
                <c:pt idx="156">
                  <c:v>-43.198070372720409</c:v>
                </c:pt>
                <c:pt idx="157">
                  <c:v>-44.105812014971299</c:v>
                </c:pt>
                <c:pt idx="158">
                  <c:v>-44.532579176815808</c:v>
                </c:pt>
                <c:pt idx="159">
                  <c:v>-44.829207943263825</c:v>
                </c:pt>
                <c:pt idx="160">
                  <c:v>-45.173529288469084</c:v>
                </c:pt>
                <c:pt idx="161">
                  <c:v>-45.369683596558581</c:v>
                </c:pt>
                <c:pt idx="162">
                  <c:v>-45.508670318208907</c:v>
                </c:pt>
                <c:pt idx="163">
                  <c:v>-45.605441287453679</c:v>
                </c:pt>
                <c:pt idx="164">
                  <c:v>-45.675295012795118</c:v>
                </c:pt>
                <c:pt idx="165">
                  <c:v>-45.811308626245975</c:v>
                </c:pt>
                <c:pt idx="166">
                  <c:v>-45.697503106275533</c:v>
                </c:pt>
                <c:pt idx="167">
                  <c:v>-44.984784052702203</c:v>
                </c:pt>
                <c:pt idx="168">
                  <c:v>-43.624046932296331</c:v>
                </c:pt>
                <c:pt idx="169">
                  <c:v>-41.643182337572689</c:v>
                </c:pt>
                <c:pt idx="170">
                  <c:v>-39.288389943169172</c:v>
                </c:pt>
                <c:pt idx="171">
                  <c:v>-37.015515631549512</c:v>
                </c:pt>
                <c:pt idx="172">
                  <c:v>-35.143146330070572</c:v>
                </c:pt>
                <c:pt idx="173">
                  <c:v>-33.812870235158584</c:v>
                </c:pt>
                <c:pt idx="174">
                  <c:v>-32.939484852295877</c:v>
                </c:pt>
                <c:pt idx="175">
                  <c:v>-32.540072614832184</c:v>
                </c:pt>
                <c:pt idx="176">
                  <c:v>-32.58435849320923</c:v>
                </c:pt>
                <c:pt idx="177">
                  <c:v>-32.835350004638144</c:v>
                </c:pt>
                <c:pt idx="178">
                  <c:v>-33.292484541817863</c:v>
                </c:pt>
                <c:pt idx="179">
                  <c:v>-33.842719124095723</c:v>
                </c:pt>
                <c:pt idx="180">
                  <c:v>-34.155093393044524</c:v>
                </c:pt>
                <c:pt idx="181">
                  <c:v>-34.110505028689694</c:v>
                </c:pt>
                <c:pt idx="182">
                  <c:v>-33.992715318349383</c:v>
                </c:pt>
                <c:pt idx="183">
                  <c:v>-33.936500486342567</c:v>
                </c:pt>
                <c:pt idx="184">
                  <c:v>-33.635497003218298</c:v>
                </c:pt>
                <c:pt idx="185">
                  <c:v>-32.977595213797208</c:v>
                </c:pt>
                <c:pt idx="186">
                  <c:v>-32.149715254227296</c:v>
                </c:pt>
                <c:pt idx="187">
                  <c:v>-31.36196257295591</c:v>
                </c:pt>
                <c:pt idx="188">
                  <c:v>-30.628915591120272</c:v>
                </c:pt>
                <c:pt idx="189">
                  <c:v>-29.982022683656943</c:v>
                </c:pt>
                <c:pt idx="190">
                  <c:v>-29.612085853603315</c:v>
                </c:pt>
                <c:pt idx="191">
                  <c:v>-29.454584205828855</c:v>
                </c:pt>
                <c:pt idx="192">
                  <c:v>-29.306100783206695</c:v>
                </c:pt>
                <c:pt idx="193">
                  <c:v>-29.198892116580542</c:v>
                </c:pt>
                <c:pt idx="194">
                  <c:v>-29.264211567990074</c:v>
                </c:pt>
                <c:pt idx="195">
                  <c:v>-29.436426434612688</c:v>
                </c:pt>
                <c:pt idx="196">
                  <c:v>-29.555071150679012</c:v>
                </c:pt>
                <c:pt idx="197">
                  <c:v>-29.703101710200247</c:v>
                </c:pt>
                <c:pt idx="198">
                  <c:v>-29.954820854292375</c:v>
                </c:pt>
                <c:pt idx="199">
                  <c:v>-30.187556148857077</c:v>
                </c:pt>
                <c:pt idx="200">
                  <c:v>-30.394336673610912</c:v>
                </c:pt>
                <c:pt idx="201">
                  <c:v>-30.472569463455596</c:v>
                </c:pt>
                <c:pt idx="202">
                  <c:v>-30.332594695561301</c:v>
                </c:pt>
                <c:pt idx="203">
                  <c:v>-30.216937671403638</c:v>
                </c:pt>
                <c:pt idx="204">
                  <c:v>-30.336892224794813</c:v>
                </c:pt>
                <c:pt idx="205">
                  <c:v>-30.804498984830882</c:v>
                </c:pt>
                <c:pt idx="206">
                  <c:v>-31.327778035376078</c:v>
                </c:pt>
                <c:pt idx="207">
                  <c:v>-31.552433643307893</c:v>
                </c:pt>
                <c:pt idx="208">
                  <c:v>-31.777406757619527</c:v>
                </c:pt>
                <c:pt idx="209">
                  <c:v>-32.273975178279208</c:v>
                </c:pt>
                <c:pt idx="210">
                  <c:v>-33.122963259514684</c:v>
                </c:pt>
                <c:pt idx="211">
                  <c:v>-34.269697683669051</c:v>
                </c:pt>
                <c:pt idx="212">
                  <c:v>-35.274760477093523</c:v>
                </c:pt>
                <c:pt idx="213">
                  <c:v>-35.734220468750991</c:v>
                </c:pt>
                <c:pt idx="214">
                  <c:v>-35.664161200485282</c:v>
                </c:pt>
                <c:pt idx="215">
                  <c:v>-35.372466894189856</c:v>
                </c:pt>
                <c:pt idx="216">
                  <c:v>-35.168378909898706</c:v>
                </c:pt>
                <c:pt idx="217">
                  <c:v>-35.128702251600465</c:v>
                </c:pt>
                <c:pt idx="218">
                  <c:v>-35.169643464955819</c:v>
                </c:pt>
                <c:pt idx="219">
                  <c:v>-35.316628339016347</c:v>
                </c:pt>
                <c:pt idx="220">
                  <c:v>-35.495059768401674</c:v>
                </c:pt>
                <c:pt idx="221">
                  <c:v>-35.550690100430167</c:v>
                </c:pt>
                <c:pt idx="222">
                  <c:v>-35.394506451310555</c:v>
                </c:pt>
                <c:pt idx="223">
                  <c:v>-34.816516933544662</c:v>
                </c:pt>
                <c:pt idx="224">
                  <c:v>-33.70874376339443</c:v>
                </c:pt>
                <c:pt idx="225">
                  <c:v>-32.182626838008652</c:v>
                </c:pt>
                <c:pt idx="226">
                  <c:v>-30.590926122090735</c:v>
                </c:pt>
                <c:pt idx="227">
                  <c:v>-29.332549958752388</c:v>
                </c:pt>
                <c:pt idx="228">
                  <c:v>-28.420752151100899</c:v>
                </c:pt>
                <c:pt idx="229">
                  <c:v>-27.779039217514416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C1-5A40-802A-A4DBAEC7CAB9}"/>
            </c:ext>
          </c:extLst>
        </c:ser>
        <c:ser>
          <c:idx val="4"/>
          <c:order val="4"/>
          <c:tx>
            <c:v> Prognose</c:v>
          </c:tx>
          <c:spPr>
            <a:ln w="412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Oversterfte!$J$212:$J$409</c:f>
              <c:numCache>
                <c:formatCode>General</c:formatCode>
                <c:ptCount val="198"/>
                <c:pt idx="54" formatCode="0">
                  <c:v>81.848681142913179</c:v>
                </c:pt>
                <c:pt idx="55" formatCode="0">
                  <c:v>53.936142684859377</c:v>
                </c:pt>
                <c:pt idx="56" formatCode="0">
                  <c:v>32.801195236656078</c:v>
                </c:pt>
                <c:pt idx="57" formatCode="0">
                  <c:v>16.784115186421406</c:v>
                </c:pt>
                <c:pt idx="58" formatCode="0">
                  <c:v>4.6609515084237962</c:v>
                </c:pt>
                <c:pt idx="59" formatCode="0">
                  <c:v>-4.4500473778059977</c:v>
                </c:pt>
                <c:pt idx="60" formatCode="0">
                  <c:v>-11.260374802185122</c:v>
                </c:pt>
                <c:pt idx="61" formatCode="0">
                  <c:v>-16.351168036892851</c:v>
                </c:pt>
                <c:pt idx="62" formatCode="0">
                  <c:v>-20.129133879325643</c:v>
                </c:pt>
                <c:pt idx="63" formatCode="0">
                  <c:v>-22.925616161076618</c:v>
                </c:pt>
                <c:pt idx="64" formatCode="0">
                  <c:v>-25.030828043431711</c:v>
                </c:pt>
                <c:pt idx="65" formatCode="0">
                  <c:v>-26.640812415894452</c:v>
                </c:pt>
                <c:pt idx="66" formatCode="0">
                  <c:v>-27.885889836567372</c:v>
                </c:pt>
                <c:pt idx="67" formatCode="0">
                  <c:v>-28.867673975152869</c:v>
                </c:pt>
                <c:pt idx="68" formatCode="0">
                  <c:v>-29.646520787370683</c:v>
                </c:pt>
                <c:pt idx="69" formatCode="0">
                  <c:v>-30.255709143580781</c:v>
                </c:pt>
                <c:pt idx="70" formatCode="0">
                  <c:v>-30.73682114855395</c:v>
                </c:pt>
                <c:pt idx="71" formatCode="0">
                  <c:v>-31.107734555673453</c:v>
                </c:pt>
                <c:pt idx="72" formatCode="0">
                  <c:v>-31.385434492474801</c:v>
                </c:pt>
                <c:pt idx="73" formatCode="0">
                  <c:v>-31.618310024367872</c:v>
                </c:pt>
                <c:pt idx="74" formatCode="0">
                  <c:v>-31.821102935230975</c:v>
                </c:pt>
                <c:pt idx="75" formatCode="0">
                  <c:v>-31.967077960728083</c:v>
                </c:pt>
                <c:pt idx="76" formatCode="0">
                  <c:v>-32.043137104518891</c:v>
                </c:pt>
                <c:pt idx="77" formatCode="0">
                  <c:v>-32.086072819890575</c:v>
                </c:pt>
                <c:pt idx="78" formatCode="0">
                  <c:v>-32.141539533278447</c:v>
                </c:pt>
                <c:pt idx="79" formatCode="0">
                  <c:v>-32.27454467087118</c:v>
                </c:pt>
                <c:pt idx="80" formatCode="0">
                  <c:v>-32.422592771218689</c:v>
                </c:pt>
                <c:pt idx="81" formatCode="0">
                  <c:v>-32.521932554314894</c:v>
                </c:pt>
                <c:pt idx="82" formatCode="0">
                  <c:v>-32.36387610811515</c:v>
                </c:pt>
                <c:pt idx="83" formatCode="0">
                  <c:v>-31.63491318472839</c:v>
                </c:pt>
                <c:pt idx="84" formatCode="0">
                  <c:v>-30.209592661389763</c:v>
                </c:pt>
                <c:pt idx="85" formatCode="0">
                  <c:v>-28.281190430953814</c:v>
                </c:pt>
                <c:pt idx="86" formatCode="0">
                  <c:v>-26.205279665395473</c:v>
                </c:pt>
                <c:pt idx="87" formatCode="0">
                  <c:v>-24.276570531293263</c:v>
                </c:pt>
                <c:pt idx="88" formatCode="0">
                  <c:v>-22.648809543924919</c:v>
                </c:pt>
                <c:pt idx="89" formatCode="0">
                  <c:v>-21.409545125361731</c:v>
                </c:pt>
                <c:pt idx="90" formatCode="0">
                  <c:v>-20.583920126434144</c:v>
                </c:pt>
                <c:pt idx="91" formatCode="0">
                  <c:v>-20.097473918627657</c:v>
                </c:pt>
                <c:pt idx="92" formatCode="0">
                  <c:v>-19.880772515288939</c:v>
                </c:pt>
                <c:pt idx="93" formatCode="0">
                  <c:v>-19.924409093087473</c:v>
                </c:pt>
                <c:pt idx="94" formatCode="0">
                  <c:v>-20.214123567123515</c:v>
                </c:pt>
                <c:pt idx="95" formatCode="0">
                  <c:v>-20.748709973943942</c:v>
                </c:pt>
                <c:pt idx="96" formatCode="0">
                  <c:v>-21.567458328636704</c:v>
                </c:pt>
                <c:pt idx="97" formatCode="0">
                  <c:v>-22.704385113908252</c:v>
                </c:pt>
                <c:pt idx="98" formatCode="0">
                  <c:v>-24.184489292790108</c:v>
                </c:pt>
                <c:pt idx="99" formatCode="0">
                  <c:v>-25.988895610988102</c:v>
                </c:pt>
                <c:pt idx="100" formatCode="0">
                  <c:v>-27.979695265286281</c:v>
                </c:pt>
                <c:pt idx="101" formatCode="0">
                  <c:v>-29.96458183352626</c:v>
                </c:pt>
                <c:pt idx="102" formatCode="0">
                  <c:v>-31.746943212585464</c:v>
                </c:pt>
                <c:pt idx="103" formatCode="0">
                  <c:v>-33.185036472859771</c:v>
                </c:pt>
                <c:pt idx="104" formatCode="0">
                  <c:v>-34.283542368412093</c:v>
                </c:pt>
                <c:pt idx="105" formatCode="0">
                  <c:v>-35.111358571611973</c:v>
                </c:pt>
                <c:pt idx="106" formatCode="0">
                  <c:v>-35.737296501623</c:v>
                </c:pt>
                <c:pt idx="107" formatCode="0">
                  <c:v>-36.234450898628502</c:v>
                </c:pt>
                <c:pt idx="108" formatCode="0">
                  <c:v>-36.643531793257125</c:v>
                </c:pt>
                <c:pt idx="109" formatCode="0">
                  <c:v>-36.965345508420526</c:v>
                </c:pt>
                <c:pt idx="110" formatCode="0">
                  <c:v>-37.210981914040993</c:v>
                </c:pt>
                <c:pt idx="111" formatCode="0">
                  <c:v>-37.368881548000203</c:v>
                </c:pt>
                <c:pt idx="112" formatCode="0">
                  <c:v>-37.38698989270339</c:v>
                </c:pt>
                <c:pt idx="113" formatCode="0">
                  <c:v>-37.262659869972765</c:v>
                </c:pt>
                <c:pt idx="114" formatCode="0">
                  <c:v>-37.057885517264985</c:v>
                </c:pt>
                <c:pt idx="115" formatCode="0">
                  <c:v>-36.840554430066462</c:v>
                </c:pt>
                <c:pt idx="116" formatCode="0">
                  <c:v>-36.674556376331964</c:v>
                </c:pt>
                <c:pt idx="117" formatCode="0">
                  <c:v>-36.615034511112995</c:v>
                </c:pt>
                <c:pt idx="118" formatCode="0">
                  <c:v>-36.609667611105003</c:v>
                </c:pt>
                <c:pt idx="119" formatCode="0">
                  <c:v>-36.528460914487177</c:v>
                </c:pt>
                <c:pt idx="120" formatCode="0">
                  <c:v>-36.279337390815904</c:v>
                </c:pt>
                <c:pt idx="121" formatCode="0">
                  <c:v>-35.832472678314261</c:v>
                </c:pt>
                <c:pt idx="122" formatCode="0">
                  <c:v>-35.188455637310156</c:v>
                </c:pt>
                <c:pt idx="123" formatCode="0">
                  <c:v>-34.357226732273418</c:v>
                </c:pt>
                <c:pt idx="124" formatCode="0">
                  <c:v>-33.405411690255832</c:v>
                </c:pt>
                <c:pt idx="125" formatCode="0">
                  <c:v>-32.422745816856661</c:v>
                </c:pt>
                <c:pt idx="126" formatCode="0">
                  <c:v>-31.482153077497234</c:v>
                </c:pt>
                <c:pt idx="127" formatCode="0">
                  <c:v>-30.661238462573262</c:v>
                </c:pt>
                <c:pt idx="128" formatCode="0">
                  <c:v>-30.009853771135919</c:v>
                </c:pt>
                <c:pt idx="129" formatCode="0">
                  <c:v>-29.539720527160377</c:v>
                </c:pt>
                <c:pt idx="130" formatCode="0">
                  <c:v>-29.281234905502195</c:v>
                </c:pt>
                <c:pt idx="131" formatCode="0">
                  <c:v>-29.253032335130776</c:v>
                </c:pt>
                <c:pt idx="132" formatCode="0">
                  <c:v>-29.427218825420187</c:v>
                </c:pt>
                <c:pt idx="133" formatCode="0">
                  <c:v>-29.753979216905837</c:v>
                </c:pt>
                <c:pt idx="134" formatCode="0">
                  <c:v>-30.143216771044997</c:v>
                </c:pt>
                <c:pt idx="135" formatCode="0">
                  <c:v>-30.527612203241805</c:v>
                </c:pt>
                <c:pt idx="136" formatCode="0">
                  <c:v>-30.902688519256699</c:v>
                </c:pt>
                <c:pt idx="137" formatCode="0">
                  <c:v>-31.25115756200946</c:v>
                </c:pt>
                <c:pt idx="138" formatCode="0">
                  <c:v>-31.534173015995364</c:v>
                </c:pt>
                <c:pt idx="139" formatCode="0">
                  <c:v>-31.732503853134002</c:v>
                </c:pt>
                <c:pt idx="140" formatCode="0">
                  <c:v>-31.865321949069013</c:v>
                </c:pt>
                <c:pt idx="141" formatCode="0">
                  <c:v>-31.996914619651328</c:v>
                </c:pt>
                <c:pt idx="142" formatCode="0">
                  <c:v>-32.215330361017052</c:v>
                </c:pt>
                <c:pt idx="143" formatCode="0">
                  <c:v>-32.546218897256303</c:v>
                </c:pt>
                <c:pt idx="144" formatCode="0">
                  <c:v>-32.942551030555478</c:v>
                </c:pt>
                <c:pt idx="145" formatCode="0">
                  <c:v>-33.377033389811174</c:v>
                </c:pt>
                <c:pt idx="146" formatCode="0">
                  <c:v>-33.842150866848883</c:v>
                </c:pt>
                <c:pt idx="147" formatCode="0">
                  <c:v>-34.307582372609595</c:v>
                </c:pt>
                <c:pt idx="148" formatCode="0">
                  <c:v>-34.71987587214538</c:v>
                </c:pt>
                <c:pt idx="149" formatCode="0">
                  <c:v>-35.069399491173911</c:v>
                </c:pt>
                <c:pt idx="150" formatCode="0">
                  <c:v>-35.408765319757443</c:v>
                </c:pt>
                <c:pt idx="151" formatCode="0">
                  <c:v>-35.780516666482391</c:v>
                </c:pt>
                <c:pt idx="152" formatCode="0">
                  <c:v>-36.233009053230759</c:v>
                </c:pt>
                <c:pt idx="153" formatCode="0">
                  <c:v>-36.868887296271296</c:v>
                </c:pt>
                <c:pt idx="154" formatCode="0">
                  <c:v>-37.744920211365496</c:v>
                </c:pt>
                <c:pt idx="155" formatCode="0">
                  <c:v>-38.787931215119819</c:v>
                </c:pt>
                <c:pt idx="156" formatCode="0">
                  <c:v>-39.890466004519965</c:v>
                </c:pt>
                <c:pt idx="157" formatCode="0">
                  <c:v>-40.944302507132797</c:v>
                </c:pt>
                <c:pt idx="158" formatCode="0">
                  <c:v>-41.84137167455355</c:v>
                </c:pt>
                <c:pt idx="159" formatCode="0">
                  <c:v>-42.58833074173112</c:v>
                </c:pt>
                <c:pt idx="160" formatCode="0">
                  <c:v>-43.234630378415609</c:v>
                </c:pt>
                <c:pt idx="161" formatCode="0">
                  <c:v>-43.768393682951356</c:v>
                </c:pt>
                <c:pt idx="162" formatCode="0">
                  <c:v>-44.203462841765742</c:v>
                </c:pt>
                <c:pt idx="163" formatCode="0">
                  <c:v>-44.553957453187728</c:v>
                </c:pt>
                <c:pt idx="164" formatCode="0">
                  <c:v>-44.834291843089574</c:v>
                </c:pt>
                <c:pt idx="165" formatCode="0">
                  <c:v>-45.07854603887867</c:v>
                </c:pt>
                <c:pt idx="166" formatCode="0">
                  <c:v>-45.23328530572789</c:v>
                </c:pt>
                <c:pt idx="167" formatCode="0">
                  <c:v>-45.171159992471466</c:v>
                </c:pt>
                <c:pt idx="168" formatCode="0">
                  <c:v>-44.784381727427686</c:v>
                </c:pt>
                <c:pt idx="169" formatCode="0">
                  <c:v>-43.999081879963938</c:v>
                </c:pt>
                <c:pt idx="170" formatCode="0">
                  <c:v>-42.821408895765245</c:v>
                </c:pt>
                <c:pt idx="171" formatCode="0">
                  <c:v>-41.36993557971131</c:v>
                </c:pt>
                <c:pt idx="172" formatCode="0">
                  <c:v>-39.813238267301124</c:v>
                </c:pt>
                <c:pt idx="173" formatCode="0">
                  <c:v>-38.313146259265487</c:v>
                </c:pt>
                <c:pt idx="174" formatCode="0">
                  <c:v>-36.969730907523086</c:v>
                </c:pt>
                <c:pt idx="175" formatCode="0">
                  <c:v>-35.862316334350361</c:v>
                </c:pt>
                <c:pt idx="176" formatCode="0">
                  <c:v>-35.042826874065078</c:v>
                </c:pt>
                <c:pt idx="177" formatCode="0">
                  <c:v>-34.490957656708346</c:v>
                </c:pt>
                <c:pt idx="178" formatCode="0">
                  <c:v>-34.191339377985727</c:v>
                </c:pt>
                <c:pt idx="179" formatCode="0">
                  <c:v>-34.104184314513226</c:v>
                </c:pt>
                <c:pt idx="180" formatCode="0">
                  <c:v>-34.116911584146052</c:v>
                </c:pt>
                <c:pt idx="181" formatCode="0">
                  <c:v>-34.115309945281965</c:v>
                </c:pt>
                <c:pt idx="182" formatCode="0">
                  <c:v>-34.084661288548816</c:v>
                </c:pt>
                <c:pt idx="183" formatCode="0">
                  <c:v>-34.047621087997257</c:v>
                </c:pt>
                <c:pt idx="184" formatCode="0">
                  <c:v>-33.944590066802519</c:v>
                </c:pt>
                <c:pt idx="185" formatCode="0">
                  <c:v>-33.702841353551193</c:v>
                </c:pt>
                <c:pt idx="186" formatCode="0">
                  <c:v>-33.31455982872022</c:v>
                </c:pt>
                <c:pt idx="187" formatCode="0">
                  <c:v>-32.826410514779141</c:v>
                </c:pt>
                <c:pt idx="188" formatCode="0">
                  <c:v>-32.277036783864425</c:v>
                </c:pt>
                <c:pt idx="189" formatCode="0">
                  <c:v>-31.703283258812554</c:v>
                </c:pt>
                <c:pt idx="190" formatCode="0">
                  <c:v>-31.180483907510244</c:v>
                </c:pt>
                <c:pt idx="191" formatCode="0">
                  <c:v>-30.749008982089897</c:v>
                </c:pt>
                <c:pt idx="192" formatCode="0">
                  <c:v>-30.388281932369097</c:v>
                </c:pt>
                <c:pt idx="193" formatCode="0">
                  <c:v>-30.090934478421957</c:v>
                </c:pt>
                <c:pt idx="194" formatCode="0">
                  <c:v>-29.884253750813986</c:v>
                </c:pt>
                <c:pt idx="195" formatCode="0">
                  <c:v>-29.772296921763662</c:v>
                </c:pt>
                <c:pt idx="196" formatCode="0">
                  <c:v>-29.717990478992498</c:v>
                </c:pt>
                <c:pt idx="197" formatCode="0">
                  <c:v>-29.714268286794436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C1-5A40-802A-A4DBAEC7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63903"/>
        <c:axId val="180282719"/>
      </c:lineChart>
      <c:dateAx>
        <c:axId val="190563903"/>
        <c:scaling>
          <c:orientation val="minMax"/>
          <c:max val="44317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0282719"/>
        <c:crossesAt val="-100"/>
        <c:auto val="1"/>
        <c:lblOffset val="100"/>
        <c:baseTimeUnit val="days"/>
        <c:majorUnit val="2"/>
        <c:majorTimeUnit val="months"/>
      </c:dateAx>
      <c:valAx>
        <c:axId val="180282719"/>
        <c:scaling>
          <c:orientation val="minMax"/>
          <c:max val="3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/>
                  <a:t>Overlijdens/dag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056390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1"/>
        <c:delete val="1"/>
      </c:legendEntry>
      <c:layout>
        <c:manualLayout>
          <c:xMode val="edge"/>
          <c:yMode val="edge"/>
          <c:x val="0.65973926737418698"/>
          <c:y val="9.8969248437747126E-2"/>
          <c:w val="0.29919164669633685"/>
          <c:h val="0.22226067948289258"/>
        </c:manualLayout>
      </c:layout>
      <c:overlay val="0"/>
      <c:spPr>
        <a:solidFill>
          <a:schemeClr val="bg1">
            <a:lumMod val="75000"/>
            <a:alpha val="36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Ondersterfte na oversterfte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6013009243409785E-2"/>
          <c:y val="8.9511981733990553E-2"/>
          <c:w val="0.89210612252840549"/>
          <c:h val="0.84744937370633544"/>
        </c:manualLayout>
      </c:layout>
      <c:areaChart>
        <c:grouping val="stacked"/>
        <c:varyColors val="0"/>
        <c:ser>
          <c:idx val="2"/>
          <c:order val="0"/>
          <c:tx>
            <c:v> Overig</c:v>
          </c:tx>
          <c:spPr>
            <a:solidFill>
              <a:schemeClr val="bg1">
                <a:alpha val="1000"/>
              </a:schemeClr>
            </a:solidFill>
            <a:ln w="25400">
              <a:noFill/>
            </a:ln>
            <a:effectLst/>
          </c:spP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Oversterfte!$H$212:$H$409</c:f>
              <c:numCache>
                <c:formatCode>0</c:formatCode>
                <c:ptCount val="198"/>
                <c:pt idx="0">
                  <c:v>-9.9808261775178835</c:v>
                </c:pt>
                <c:pt idx="1">
                  <c:v>2.7789470924870039</c:v>
                </c:pt>
                <c:pt idx="2">
                  <c:v>-6.4529096646246638</c:v>
                </c:pt>
                <c:pt idx="3">
                  <c:v>-17.834884752915919</c:v>
                </c:pt>
                <c:pt idx="4">
                  <c:v>-12.006130275724088</c:v>
                </c:pt>
                <c:pt idx="5">
                  <c:v>-4.7201804627739614</c:v>
                </c:pt>
                <c:pt idx="6">
                  <c:v>-10.773472395034219</c:v>
                </c:pt>
                <c:pt idx="7">
                  <c:v>-21.148047606235568</c:v>
                </c:pt>
                <c:pt idx="8">
                  <c:v>-17.332722531504437</c:v>
                </c:pt>
                <c:pt idx="9">
                  <c:v>-10.251302984072758</c:v>
                </c:pt>
                <c:pt idx="10">
                  <c:v>-2.9764192826964013</c:v>
                </c:pt>
                <c:pt idx="11">
                  <c:v>1.1995828386366014</c:v>
                </c:pt>
                <c:pt idx="12">
                  <c:v>7.372401993686708</c:v>
                </c:pt>
                <c:pt idx="13">
                  <c:v>-13.509245979064644</c:v>
                </c:pt>
                <c:pt idx="14">
                  <c:v>-26.64288060975008</c:v>
                </c:pt>
                <c:pt idx="15">
                  <c:v>-16.085745753334663</c:v>
                </c:pt>
                <c:pt idx="16">
                  <c:v>-29.896832236530983</c:v>
                </c:pt>
                <c:pt idx="17">
                  <c:v>9.8282679250916587</c:v>
                </c:pt>
                <c:pt idx="18">
                  <c:v>-20.113193942592943</c:v>
                </c:pt>
                <c:pt idx="19">
                  <c:v>-31.673106911329096</c:v>
                </c:pt>
                <c:pt idx="20">
                  <c:v>-36.230210910115616</c:v>
                </c:pt>
                <c:pt idx="21">
                  <c:v>-26.482117891049565</c:v>
                </c:pt>
                <c:pt idx="22">
                  <c:v>-26.373084466854543</c:v>
                </c:pt>
                <c:pt idx="23">
                  <c:v>-22.378976244690435</c:v>
                </c:pt>
                <c:pt idx="24">
                  <c:v>-18.149434798530542</c:v>
                </c:pt>
                <c:pt idx="25">
                  <c:v>-20.185828780424718</c:v>
                </c:pt>
                <c:pt idx="26">
                  <c:v>-20.30499822487986</c:v>
                </c:pt>
                <c:pt idx="27">
                  <c:v>-22.888799950916514</c:v>
                </c:pt>
                <c:pt idx="28">
                  <c:v>-24.883746415566879</c:v>
                </c:pt>
                <c:pt idx="29">
                  <c:v>-18.515029010530625</c:v>
                </c:pt>
                <c:pt idx="30">
                  <c:v>-14.822072497393865</c:v>
                </c:pt>
                <c:pt idx="31">
                  <c:v>1.6986627899201006</c:v>
                </c:pt>
                <c:pt idx="32">
                  <c:v>25.62934444787582</c:v>
                </c:pt>
                <c:pt idx="33">
                  <c:v>15.202040796748358</c:v>
                </c:pt>
                <c:pt idx="34">
                  <c:v>-9.0229662042083376</c:v>
                </c:pt>
                <c:pt idx="35">
                  <c:v>-16.050395590333615</c:v>
                </c:pt>
                <c:pt idx="36">
                  <c:v>-19.700418657668788</c:v>
                </c:pt>
                <c:pt idx="37">
                  <c:v>-26.609197434401608</c:v>
                </c:pt>
                <c:pt idx="38">
                  <c:v>-12.65807394367479</c:v>
                </c:pt>
                <c:pt idx="39">
                  <c:v>-8.8671155426667401</c:v>
                </c:pt>
                <c:pt idx="40">
                  <c:v>-5.5744348814298839</c:v>
                </c:pt>
                <c:pt idx="41">
                  <c:v>-4.8655592868135358</c:v>
                </c:pt>
                <c:pt idx="42">
                  <c:v>9.5328763452322534</c:v>
                </c:pt>
                <c:pt idx="43">
                  <c:v>1.0379824753162978</c:v>
                </c:pt>
                <c:pt idx="44">
                  <c:v>10.745454794032852</c:v>
                </c:pt>
                <c:pt idx="45">
                  <c:v>4.8929852218917631</c:v>
                </c:pt>
                <c:pt idx="46">
                  <c:v>-21.783457493922178</c:v>
                </c:pt>
                <c:pt idx="47">
                  <c:v>-7.4790364386398593</c:v>
                </c:pt>
                <c:pt idx="48">
                  <c:v>0.4291534817653968</c:v>
                </c:pt>
                <c:pt idx="49">
                  <c:v>6.8099058936424726</c:v>
                </c:pt>
                <c:pt idx="50">
                  <c:v>17.634354608788925</c:v>
                </c:pt>
                <c:pt idx="51">
                  <c:v>17.077572711873728</c:v>
                </c:pt>
                <c:pt idx="52">
                  <c:v>2.9193331353836669</c:v>
                </c:pt>
                <c:pt idx="53">
                  <c:v>5.4076501144199653</c:v>
                </c:pt>
                <c:pt idx="54">
                  <c:v>5.5629668571988873</c:v>
                </c:pt>
                <c:pt idx="55">
                  <c:v>3.8575281437962019</c:v>
                </c:pt>
                <c:pt idx="56">
                  <c:v>-1.7049335515154382</c:v>
                </c:pt>
                <c:pt idx="57">
                  <c:v>-12.556550056987668</c:v>
                </c:pt>
                <c:pt idx="58">
                  <c:v>-26.386694995663365</c:v>
                </c:pt>
                <c:pt idx="59">
                  <c:v>-44.213255663727317</c:v>
                </c:pt>
                <c:pt idx="60">
                  <c:v>-44.98951585352922</c:v>
                </c:pt>
                <c:pt idx="61">
                  <c:v>-38.460939115738839</c:v>
                </c:pt>
                <c:pt idx="62">
                  <c:v>-40.664714836012422</c:v>
                </c:pt>
                <c:pt idx="63">
                  <c:v>-37.500645163470573</c:v>
                </c:pt>
                <c:pt idx="64">
                  <c:v>-20.230523536849965</c:v>
                </c:pt>
                <c:pt idx="65">
                  <c:v>-12.584585290717085</c:v>
                </c:pt>
                <c:pt idx="66">
                  <c:v>-10.189326143043624</c:v>
                </c:pt>
                <c:pt idx="67">
                  <c:v>-5.5666995373738271</c:v>
                </c:pt>
                <c:pt idx="68">
                  <c:v>-5.6689902533950427</c:v>
                </c:pt>
                <c:pt idx="69">
                  <c:v>-14.55651939834247</c:v>
                </c:pt>
                <c:pt idx="70">
                  <c:v>-11.218193411632358</c:v>
                </c:pt>
                <c:pt idx="71">
                  <c:v>-10.749195622333316</c:v>
                </c:pt>
                <c:pt idx="72">
                  <c:v>-11.135833190718147</c:v>
                </c:pt>
                <c:pt idx="73">
                  <c:v>-1.2546949410808725</c:v>
                </c:pt>
                <c:pt idx="74">
                  <c:v>3.1638676298388679</c:v>
                </c:pt>
                <c:pt idx="75">
                  <c:v>-3.8563612849185347</c:v>
                </c:pt>
                <c:pt idx="76">
                  <c:v>-11.501052235824366</c:v>
                </c:pt>
                <c:pt idx="77">
                  <c:v>-6.0932770348532745</c:v>
                </c:pt>
                <c:pt idx="78">
                  <c:v>5.2284652348352632</c:v>
                </c:pt>
                <c:pt idx="79">
                  <c:v>6.6892776115787775</c:v>
                </c:pt>
                <c:pt idx="80">
                  <c:v>4.8425147901856622</c:v>
                </c:pt>
                <c:pt idx="81">
                  <c:v>12.605761768406555</c:v>
                </c:pt>
                <c:pt idx="82">
                  <c:v>14.796709166790833</c:v>
                </c:pt>
                <c:pt idx="83">
                  <c:v>9.3117800044822658</c:v>
                </c:pt>
                <c:pt idx="84">
                  <c:v>8.626078540196449</c:v>
                </c:pt>
                <c:pt idx="85">
                  <c:v>9.0075190550092472</c:v>
                </c:pt>
                <c:pt idx="86">
                  <c:v>11.623708281879104</c:v>
                </c:pt>
                <c:pt idx="87">
                  <c:v>17.863013839244623</c:v>
                </c:pt>
                <c:pt idx="88">
                  <c:v>7.5126810519913896</c:v>
                </c:pt>
                <c:pt idx="89">
                  <c:v>3.8654333499240616</c:v>
                </c:pt>
                <c:pt idx="90">
                  <c:v>13.111707001501633</c:v>
                </c:pt>
                <c:pt idx="91">
                  <c:v>16.946100678861367</c:v>
                </c:pt>
                <c:pt idx="92">
                  <c:v>16.852335670614661</c:v>
                </c:pt>
                <c:pt idx="93">
                  <c:v>28.495309160722755</c:v>
                </c:pt>
                <c:pt idx="94">
                  <c:v>40.148823719136928</c:v>
                </c:pt>
                <c:pt idx="95">
                  <c:v>51.409005277905905</c:v>
                </c:pt>
                <c:pt idx="96">
                  <c:v>75.229136529830868</c:v>
                </c:pt>
                <c:pt idx="97">
                  <c:v>94.383061451387078</c:v>
                </c:pt>
                <c:pt idx="98">
                  <c:v>102.50003094326445</c:v>
                </c:pt>
                <c:pt idx="99">
                  <c:v>119.95671654325398</c:v>
                </c:pt>
                <c:pt idx="100">
                  <c:v>97.840690228523087</c:v>
                </c:pt>
                <c:pt idx="101">
                  <c:v>73.163953492896496</c:v>
                </c:pt>
                <c:pt idx="102">
                  <c:v>50.647955310386777</c:v>
                </c:pt>
                <c:pt idx="103">
                  <c:v>23.570996293678654</c:v>
                </c:pt>
                <c:pt idx="104">
                  <c:v>6.6412497509365451</c:v>
                </c:pt>
                <c:pt idx="105">
                  <c:v>-15.920667374230316</c:v>
                </c:pt>
                <c:pt idx="106">
                  <c:v>-21.057749287791061</c:v>
                </c:pt>
                <c:pt idx="107">
                  <c:v>-17.087009941301353</c:v>
                </c:pt>
                <c:pt idx="108">
                  <c:v>-11.468970309542751</c:v>
                </c:pt>
                <c:pt idx="109">
                  <c:v>-6.1715072842203131</c:v>
                </c:pt>
                <c:pt idx="110">
                  <c:v>-1.526945010392053</c:v>
                </c:pt>
                <c:pt idx="111">
                  <c:v>1.6252460182793609</c:v>
                </c:pt>
                <c:pt idx="112">
                  <c:v>4.5854098644246832E-2</c:v>
                </c:pt>
                <c:pt idx="113">
                  <c:v>12.774860450130211</c:v>
                </c:pt>
                <c:pt idx="114">
                  <c:v>38.953325633427212</c:v>
                </c:pt>
                <c:pt idx="115">
                  <c:v>46.752507304221467</c:v>
                </c:pt>
                <c:pt idx="116">
                  <c:v>45.481629916493631</c:v>
                </c:pt>
                <c:pt idx="117">
                  <c:v>49.695725814727624</c:v>
                </c:pt>
                <c:pt idx="118">
                  <c:v>42.803537540818979</c:v>
                </c:pt>
                <c:pt idx="119">
                  <c:v>21.818327430452577</c:v>
                </c:pt>
                <c:pt idx="120">
                  <c:v>12.823011269716469</c:v>
                </c:pt>
                <c:pt idx="121">
                  <c:v>13.971032222151493</c:v>
                </c:pt>
                <c:pt idx="122">
                  <c:v>15.737247998928071</c:v>
                </c:pt>
                <c:pt idx="123">
                  <c:v>10.5616754788158</c:v>
                </c:pt>
                <c:pt idx="124">
                  <c:v>4.7432226929265333</c:v>
                </c:pt>
                <c:pt idx="125">
                  <c:v>5.4405382719794968</c:v>
                </c:pt>
                <c:pt idx="126">
                  <c:v>10.851394536983078</c:v>
                </c:pt>
                <c:pt idx="127">
                  <c:v>22.534878106680953</c:v>
                </c:pt>
                <c:pt idx="128">
                  <c:v>34.590662617447691</c:v>
                </c:pt>
                <c:pt idx="129">
                  <c:v>32.481067607312625</c:v>
                </c:pt>
                <c:pt idx="130">
                  <c:v>28.281608649702648</c:v>
                </c:pt>
                <c:pt idx="131">
                  <c:v>36.252887847834586</c:v>
                </c:pt>
                <c:pt idx="132">
                  <c:v>45.233817943294362</c:v>
                </c:pt>
                <c:pt idx="133">
                  <c:v>39.106174676336281</c:v>
                </c:pt>
                <c:pt idx="134">
                  <c:v>25.580473497793136</c:v>
                </c:pt>
                <c:pt idx="135">
                  <c:v>25.374596823318743</c:v>
                </c:pt>
                <c:pt idx="136">
                  <c:v>27.856599574980319</c:v>
                </c:pt>
                <c:pt idx="137">
                  <c:v>27.187408036030092</c:v>
                </c:pt>
                <c:pt idx="138">
                  <c:v>18.499128600599452</c:v>
                </c:pt>
                <c:pt idx="139">
                  <c:v>6.2875416655273453</c:v>
                </c:pt>
                <c:pt idx="140">
                  <c:v>1.1259288072034386</c:v>
                </c:pt>
                <c:pt idx="141">
                  <c:v>13.87881134791972</c:v>
                </c:pt>
                <c:pt idx="142">
                  <c:v>34.05846542349947</c:v>
                </c:pt>
                <c:pt idx="143">
                  <c:v>40.93136555518403</c:v>
                </c:pt>
                <c:pt idx="144">
                  <c:v>44.088852629588359</c:v>
                </c:pt>
                <c:pt idx="145">
                  <c:v>39.589180228605187</c:v>
                </c:pt>
                <c:pt idx="146">
                  <c:v>30.992379699087827</c:v>
                </c:pt>
                <c:pt idx="147">
                  <c:v>18.002242056399464</c:v>
                </c:pt>
                <c:pt idx="148">
                  <c:v>10.608286625416294</c:v>
                </c:pt>
                <c:pt idx="149">
                  <c:v>14.942015088881298</c:v>
                </c:pt>
                <c:pt idx="150">
                  <c:v>28.311749618974705</c:v>
                </c:pt>
                <c:pt idx="151">
                  <c:v>38.951782156345118</c:v>
                </c:pt>
                <c:pt idx="152">
                  <c:v>63.235847245709245</c:v>
                </c:pt>
                <c:pt idx="153">
                  <c:v>101.81921600098444</c:v>
                </c:pt>
                <c:pt idx="154">
                  <c:v>123.78085090663157</c:v>
                </c:pt>
                <c:pt idx="155">
                  <c:v>118.8131317753664</c:v>
                </c:pt>
                <c:pt idx="156">
                  <c:v>101.11692208775797</c:v>
                </c:pt>
                <c:pt idx="157">
                  <c:v>77.092834123795214</c:v>
                </c:pt>
                <c:pt idx="158">
                  <c:v>49.010184556115782</c:v>
                </c:pt>
                <c:pt idx="159">
                  <c:v>32.223633478862816</c:v>
                </c:pt>
                <c:pt idx="160">
                  <c:v>31.269288058509527</c:v>
                </c:pt>
                <c:pt idx="161">
                  <c:v>29.854753465725935</c:v>
                </c:pt>
                <c:pt idx="162">
                  <c:v>28.042518133159842</c:v>
                </c:pt>
                <c:pt idx="163">
                  <c:v>27.71882052455107</c:v>
                </c:pt>
                <c:pt idx="164">
                  <c:v>40.061940682922739</c:v>
                </c:pt>
                <c:pt idx="165">
                  <c:v>59.981341286547902</c:v>
                </c:pt>
                <c:pt idx="166">
                  <c:v>60.38547602283095</c:v>
                </c:pt>
                <c:pt idx="167">
                  <c:v>45.487782371533584</c:v>
                </c:pt>
                <c:pt idx="168">
                  <c:v>28.082483431140076</c:v>
                </c:pt>
                <c:pt idx="169">
                  <c:v>10.555835843221381</c:v>
                </c:pt>
                <c:pt idx="170">
                  <c:v>2.6042421322870237</c:v>
                </c:pt>
                <c:pt idx="171">
                  <c:v>-2.4457163084166567E-2</c:v>
                </c:pt>
                <c:pt idx="172">
                  <c:v>-8.8624418283172162</c:v>
                </c:pt>
                <c:pt idx="173">
                  <c:v>-8.6550448028395088</c:v>
                </c:pt>
                <c:pt idx="174">
                  <c:v>-4.3884294863032327</c:v>
                </c:pt>
                <c:pt idx="175">
                  <c:v>-4.7563823817257758</c:v>
                </c:pt>
                <c:pt idx="176">
                  <c:v>-2.8478667721904389</c:v>
                </c:pt>
                <c:pt idx="177">
                  <c:v>3.9511122945454895</c:v>
                </c:pt>
                <c:pt idx="178">
                  <c:v>23.196761402775447</c:v>
                </c:pt>
                <c:pt idx="179">
                  <c:v>35.222280381880665</c:v>
                </c:pt>
                <c:pt idx="180">
                  <c:v>24.503535079609925</c:v>
                </c:pt>
                <c:pt idx="181">
                  <c:v>7.5212572398725239</c:v>
                </c:pt>
                <c:pt idx="182">
                  <c:v>2.4806465665665072</c:v>
                </c:pt>
                <c:pt idx="183">
                  <c:v>5.0652376268745449</c:v>
                </c:pt>
                <c:pt idx="184">
                  <c:v>5.0672016654452801</c:v>
                </c:pt>
                <c:pt idx="185">
                  <c:v>4.9695881290528625</c:v>
                </c:pt>
                <c:pt idx="186">
                  <c:v>3.5941074132394615</c:v>
                </c:pt>
                <c:pt idx="187">
                  <c:v>6.5511871254556802</c:v>
                </c:pt>
                <c:pt idx="188">
                  <c:v>10.219852052219645</c:v>
                </c:pt>
                <c:pt idx="189">
                  <c:v>6.225115651039359</c:v>
                </c:pt>
                <c:pt idx="190">
                  <c:v>4.1533615715965135</c:v>
                </c:pt>
                <c:pt idx="191">
                  <c:v>5.978848306456535</c:v>
                </c:pt>
                <c:pt idx="192">
                  <c:v>6.4724307338376565</c:v>
                </c:pt>
                <c:pt idx="193">
                  <c:v>10.413593716050288</c:v>
                </c:pt>
                <c:pt idx="194">
                  <c:v>16.600703744149122</c:v>
                </c:pt>
                <c:pt idx="195">
                  <c:v>17.264930023176447</c:v>
                </c:pt>
                <c:pt idx="196">
                  <c:v>14.498049349003121</c:v>
                </c:pt>
                <c:pt idx="197">
                  <c:v>21.474758193265838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6-1645-8962-A85A106B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63903"/>
        <c:axId val="180282719"/>
      </c:areaChart>
      <c:lineChart>
        <c:grouping val="standard"/>
        <c:varyColors val="0"/>
        <c:ser>
          <c:idx val="0"/>
          <c:order val="1"/>
          <c:tx>
            <c:v> Oversterfte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Oversterfte!$F$212:$F$441</c:f>
              <c:numCache>
                <c:formatCode>0</c:formatCode>
                <c:ptCount val="230"/>
                <c:pt idx="0">
                  <c:v>-9.9808261775178835</c:v>
                </c:pt>
                <c:pt idx="1">
                  <c:v>2.7789470924870039</c:v>
                </c:pt>
                <c:pt idx="2">
                  <c:v>-6.4529096646246638</c:v>
                </c:pt>
                <c:pt idx="3">
                  <c:v>-17.834884752915919</c:v>
                </c:pt>
                <c:pt idx="4">
                  <c:v>-12.006130275724088</c:v>
                </c:pt>
                <c:pt idx="5">
                  <c:v>-4.7201804627739614</c:v>
                </c:pt>
                <c:pt idx="6">
                  <c:v>-10.773472395034219</c:v>
                </c:pt>
                <c:pt idx="7">
                  <c:v>-21.148047606235568</c:v>
                </c:pt>
                <c:pt idx="8">
                  <c:v>-17.332722531504437</c:v>
                </c:pt>
                <c:pt idx="9">
                  <c:v>-5.2513029840727574</c:v>
                </c:pt>
                <c:pt idx="10">
                  <c:v>20.023580717303599</c:v>
                </c:pt>
                <c:pt idx="11">
                  <c:v>85.628154267208032</c:v>
                </c:pt>
                <c:pt idx="12">
                  <c:v>185.94383056511529</c:v>
                </c:pt>
                <c:pt idx="13">
                  <c:v>260.9193254495068</c:v>
                </c:pt>
                <c:pt idx="14">
                  <c:v>255.78569081882137</c:v>
                </c:pt>
                <c:pt idx="15">
                  <c:v>193.7713971038082</c:v>
                </c:pt>
                <c:pt idx="16">
                  <c:v>126.53173919204043</c:v>
                </c:pt>
                <c:pt idx="17">
                  <c:v>64.685410782234513</c:v>
                </c:pt>
                <c:pt idx="18">
                  <c:v>14.172520343121343</c:v>
                </c:pt>
                <c:pt idx="19">
                  <c:v>-11.387392625614812</c:v>
                </c:pt>
                <c:pt idx="20">
                  <c:v>-17.087353767258474</c:v>
                </c:pt>
                <c:pt idx="21">
                  <c:v>-18.339260748192423</c:v>
                </c:pt>
                <c:pt idx="22">
                  <c:v>-19.80165589542597</c:v>
                </c:pt>
                <c:pt idx="23">
                  <c:v>-17.950404816119008</c:v>
                </c:pt>
                <c:pt idx="24">
                  <c:v>-16.0065776556734</c:v>
                </c:pt>
                <c:pt idx="25">
                  <c:v>-17.042971637567575</c:v>
                </c:pt>
                <c:pt idx="26">
                  <c:v>-18.876426796308433</c:v>
                </c:pt>
                <c:pt idx="27">
                  <c:v>-23.031657093773656</c:v>
                </c:pt>
                <c:pt idx="28">
                  <c:v>-24.312317844138306</c:v>
                </c:pt>
                <c:pt idx="29">
                  <c:v>-17.229314724816341</c:v>
                </c:pt>
                <c:pt idx="30">
                  <c:v>-13.679215354536723</c:v>
                </c:pt>
                <c:pt idx="31">
                  <c:v>3.8415199327772434</c:v>
                </c:pt>
                <c:pt idx="32">
                  <c:v>29.62934444787582</c:v>
                </c:pt>
                <c:pt idx="33">
                  <c:v>18.630612225319787</c:v>
                </c:pt>
                <c:pt idx="34">
                  <c:v>-6.3086804899226241</c:v>
                </c:pt>
                <c:pt idx="35">
                  <c:v>-14.478967018905044</c:v>
                </c:pt>
                <c:pt idx="36">
                  <c:v>-16.128990086240215</c:v>
                </c:pt>
                <c:pt idx="37">
                  <c:v>-13.037768862973037</c:v>
                </c:pt>
                <c:pt idx="38">
                  <c:v>-1.2295025151033607</c:v>
                </c:pt>
                <c:pt idx="39">
                  <c:v>9.7043130287618329</c:v>
                </c:pt>
                <c:pt idx="40">
                  <c:v>18.282707975712974</c:v>
                </c:pt>
                <c:pt idx="41">
                  <c:v>37.27729785604361</c:v>
                </c:pt>
                <c:pt idx="42">
                  <c:v>64.961447773803684</c:v>
                </c:pt>
                <c:pt idx="43">
                  <c:v>82.466553903887728</c:v>
                </c:pt>
                <c:pt idx="44">
                  <c:v>79.602597651175714</c:v>
                </c:pt>
                <c:pt idx="45">
                  <c:v>62.750128079034617</c:v>
                </c:pt>
                <c:pt idx="46">
                  <c:v>43.645113934649252</c:v>
                </c:pt>
                <c:pt idx="47">
                  <c:v>40.806677847074425</c:v>
                </c:pt>
                <c:pt idx="48">
                  <c:v>52.000582053193966</c:v>
                </c:pt>
                <c:pt idx="49">
                  <c:v>70.095620179356757</c:v>
                </c:pt>
                <c:pt idx="50">
                  <c:v>90.062926037360356</c:v>
                </c:pt>
                <c:pt idx="51">
                  <c:v>104.79185842615944</c:v>
                </c:pt>
                <c:pt idx="52">
                  <c:v>109.91933313538367</c:v>
                </c:pt>
                <c:pt idx="53">
                  <c:v>97.550507257277104</c:v>
                </c:pt>
                <c:pt idx="54">
                  <c:v>81.848681142913179</c:v>
                </c:pt>
                <c:pt idx="55">
                  <c:v>69.286099572367633</c:v>
                </c:pt>
                <c:pt idx="56">
                  <c:v>56.152209305627416</c:v>
                </c:pt>
                <c:pt idx="57">
                  <c:v>46.443449943012332</c:v>
                </c:pt>
                <c:pt idx="58">
                  <c:v>30.899019290050919</c:v>
                </c:pt>
                <c:pt idx="59">
                  <c:v>5.2153157648441164</c:v>
                </c:pt>
                <c:pt idx="60">
                  <c:v>-6.4180872821006494</c:v>
                </c:pt>
                <c:pt idx="61">
                  <c:v>-4.7466534014531261</c:v>
                </c:pt>
                <c:pt idx="62">
                  <c:v>-11.236143407440993</c:v>
                </c:pt>
                <c:pt idx="63">
                  <c:v>-10.357788020613432</c:v>
                </c:pt>
                <c:pt idx="64">
                  <c:v>2.1980478917214605</c:v>
                </c:pt>
                <c:pt idx="65">
                  <c:v>8.7011289949971999</c:v>
                </c:pt>
                <c:pt idx="66">
                  <c:v>10.524959571242091</c:v>
                </c:pt>
                <c:pt idx="67">
                  <c:v>13.433300462626173</c:v>
                </c:pt>
                <c:pt idx="68">
                  <c:v>11.90243831803353</c:v>
                </c:pt>
                <c:pt idx="69">
                  <c:v>7.014909173086104</c:v>
                </c:pt>
                <c:pt idx="70">
                  <c:v>6.7818065883676422</c:v>
                </c:pt>
                <c:pt idx="71">
                  <c:v>2.8222329490952558</c:v>
                </c:pt>
                <c:pt idx="72">
                  <c:v>-0.13583319071814717</c:v>
                </c:pt>
                <c:pt idx="73">
                  <c:v>6.8881622017762698</c:v>
                </c:pt>
                <c:pt idx="74">
                  <c:v>7.8781533441245823</c:v>
                </c:pt>
                <c:pt idx="75">
                  <c:v>-1.7135041420613919</c:v>
                </c:pt>
                <c:pt idx="76">
                  <c:v>-9.3581950929672235</c:v>
                </c:pt>
                <c:pt idx="77">
                  <c:v>-3.9504198919961317</c:v>
                </c:pt>
                <c:pt idx="78">
                  <c:v>6.5141795205495487</c:v>
                </c:pt>
                <c:pt idx="79">
                  <c:v>8.2607061830073487</c:v>
                </c:pt>
                <c:pt idx="80">
                  <c:v>8.271086218757091</c:v>
                </c:pt>
                <c:pt idx="81">
                  <c:v>16.748618911263698</c:v>
                </c:pt>
                <c:pt idx="82">
                  <c:v>20.510994881076549</c:v>
                </c:pt>
                <c:pt idx="83">
                  <c:v>15.026065718767979</c:v>
                </c:pt>
                <c:pt idx="84">
                  <c:v>14.911792825910734</c:v>
                </c:pt>
                <c:pt idx="85">
                  <c:v>15.15037619786639</c:v>
                </c:pt>
                <c:pt idx="86">
                  <c:v>17.480851139021961</c:v>
                </c:pt>
                <c:pt idx="87">
                  <c:v>22.434442410673196</c:v>
                </c:pt>
                <c:pt idx="88">
                  <c:v>13.941252480562818</c:v>
                </c:pt>
                <c:pt idx="89">
                  <c:v>9.0082904927812049</c:v>
                </c:pt>
                <c:pt idx="90">
                  <c:v>17.683135572930205</c:v>
                </c:pt>
                <c:pt idx="91">
                  <c:v>20.088957821718509</c:v>
                </c:pt>
                <c:pt idx="92">
                  <c:v>23.138049956328945</c:v>
                </c:pt>
                <c:pt idx="93">
                  <c:v>37.923880589294185</c:v>
                </c:pt>
                <c:pt idx="94">
                  <c:v>54.005966576279789</c:v>
                </c:pt>
                <c:pt idx="95">
                  <c:v>72.837576706477336</c:v>
                </c:pt>
                <c:pt idx="96">
                  <c:v>99.943422244116576</c:v>
                </c:pt>
                <c:pt idx="97">
                  <c:v>127.52591859424423</c:v>
                </c:pt>
                <c:pt idx="98">
                  <c:v>152.64288808612159</c:v>
                </c:pt>
                <c:pt idx="99">
                  <c:v>170.09957368611111</c:v>
                </c:pt>
                <c:pt idx="100">
                  <c:v>161.26926165709452</c:v>
                </c:pt>
                <c:pt idx="101">
                  <c:v>124.02109635003936</c:v>
                </c:pt>
                <c:pt idx="102">
                  <c:v>86.076526738958208</c:v>
                </c:pt>
                <c:pt idx="103">
                  <c:v>57.999567722250085</c:v>
                </c:pt>
                <c:pt idx="104">
                  <c:v>24.212678322365118</c:v>
                </c:pt>
                <c:pt idx="105">
                  <c:v>-5.2063816599446033</c:v>
                </c:pt>
                <c:pt idx="106">
                  <c:v>-13.05774928779106</c:v>
                </c:pt>
                <c:pt idx="107">
                  <c:v>-8.3727242270156399</c:v>
                </c:pt>
                <c:pt idx="108">
                  <c:v>-2.897541738114179</c:v>
                </c:pt>
                <c:pt idx="109">
                  <c:v>2.9713498586368297</c:v>
                </c:pt>
                <c:pt idx="110">
                  <c:v>10.901626418179376</c:v>
                </c:pt>
                <c:pt idx="111">
                  <c:v>10.910960303993647</c:v>
                </c:pt>
                <c:pt idx="112">
                  <c:v>9.1887112415013892</c:v>
                </c:pt>
                <c:pt idx="113">
                  <c:v>26.346289021558782</c:v>
                </c:pt>
                <c:pt idx="114">
                  <c:v>51.239039919141497</c:v>
                </c:pt>
                <c:pt idx="115">
                  <c:v>61.752507304221467</c:v>
                </c:pt>
                <c:pt idx="116">
                  <c:v>61.910201345065062</c:v>
                </c:pt>
                <c:pt idx="117">
                  <c:v>61.838582957584762</c:v>
                </c:pt>
                <c:pt idx="118">
                  <c:v>51.803537540818979</c:v>
                </c:pt>
                <c:pt idx="119">
                  <c:v>30.389756001881146</c:v>
                </c:pt>
                <c:pt idx="120">
                  <c:v>17.39443984114504</c:v>
                </c:pt>
                <c:pt idx="121">
                  <c:v>17.256746507865778</c:v>
                </c:pt>
                <c:pt idx="122">
                  <c:v>18.308676570356642</c:v>
                </c:pt>
                <c:pt idx="123">
                  <c:v>12.418818335958658</c:v>
                </c:pt>
                <c:pt idx="124">
                  <c:v>5.6003655500693901</c:v>
                </c:pt>
                <c:pt idx="125">
                  <c:v>6.58339541483664</c:v>
                </c:pt>
                <c:pt idx="126">
                  <c:v>12.279965965554506</c:v>
                </c:pt>
                <c:pt idx="127">
                  <c:v>23.820592392395238</c:v>
                </c:pt>
                <c:pt idx="128">
                  <c:v>36.447805474590545</c:v>
                </c:pt>
                <c:pt idx="129">
                  <c:v>36.052496178741194</c:v>
                </c:pt>
                <c:pt idx="130">
                  <c:v>31.567322935416932</c:v>
                </c:pt>
                <c:pt idx="131">
                  <c:v>39.967173562120301</c:v>
                </c:pt>
                <c:pt idx="132">
                  <c:v>49.948103657580077</c:v>
                </c:pt>
                <c:pt idx="133">
                  <c:v>43.67760324776485</c:v>
                </c:pt>
                <c:pt idx="134">
                  <c:v>30.009044926364563</c:v>
                </c:pt>
                <c:pt idx="135">
                  <c:v>28.088882537604459</c:v>
                </c:pt>
                <c:pt idx="136">
                  <c:v>32.999456717837461</c:v>
                </c:pt>
                <c:pt idx="137">
                  <c:v>29.330265178887235</c:v>
                </c:pt>
                <c:pt idx="138">
                  <c:v>19.499128600599452</c:v>
                </c:pt>
                <c:pt idx="139">
                  <c:v>8.0018273798130597</c:v>
                </c:pt>
                <c:pt idx="140">
                  <c:v>2.5545002357748672</c:v>
                </c:pt>
                <c:pt idx="141">
                  <c:v>15.735954205062578</c:v>
                </c:pt>
                <c:pt idx="142">
                  <c:v>36.344179709213755</c:v>
                </c:pt>
                <c:pt idx="143">
                  <c:v>46.645651269469745</c:v>
                </c:pt>
                <c:pt idx="144">
                  <c:v>48.374566915302644</c:v>
                </c:pt>
                <c:pt idx="145">
                  <c:v>46.303465942890902</c:v>
                </c:pt>
                <c:pt idx="146">
                  <c:v>37.278093984802112</c:v>
                </c:pt>
                <c:pt idx="147">
                  <c:v>23.287956342113748</c:v>
                </c:pt>
                <c:pt idx="148">
                  <c:v>13.751143768273437</c:v>
                </c:pt>
                <c:pt idx="149">
                  <c:v>17.799157946024156</c:v>
                </c:pt>
                <c:pt idx="150">
                  <c:v>29.883178190403278</c:v>
                </c:pt>
                <c:pt idx="151">
                  <c:v>41.094639299202264</c:v>
                </c:pt>
                <c:pt idx="152">
                  <c:v>65.378704388566391</c:v>
                </c:pt>
                <c:pt idx="153">
                  <c:v>103.53350171527015</c:v>
                </c:pt>
                <c:pt idx="154">
                  <c:v>126.78085090663157</c:v>
                </c:pt>
                <c:pt idx="155">
                  <c:v>122.9879617073392</c:v>
                </c:pt>
                <c:pt idx="156">
                  <c:v>104.82780644149946</c:v>
                </c:pt>
                <c:pt idx="157">
                  <c:v>81.022766096584334</c:v>
                </c:pt>
                <c:pt idx="158">
                  <c:v>52.308143739789251</c:v>
                </c:pt>
                <c:pt idx="159">
                  <c:v>34.705266131924041</c:v>
                </c:pt>
                <c:pt idx="160">
                  <c:v>33.110784657148983</c:v>
                </c:pt>
                <c:pt idx="161">
                  <c:v>31.413937139195323</c:v>
                </c:pt>
                <c:pt idx="162">
                  <c:v>29.818028337241476</c:v>
                </c:pt>
                <c:pt idx="163">
                  <c:v>29.912017803462636</c:v>
                </c:pt>
                <c:pt idx="164">
                  <c:v>42.813641363194847</c:v>
                </c:pt>
                <c:pt idx="165">
                  <c:v>63.526919517840419</c:v>
                </c:pt>
                <c:pt idx="166">
                  <c:v>64.871190308545238</c:v>
                </c:pt>
                <c:pt idx="167">
                  <c:v>50.053088493982564</c:v>
                </c:pt>
                <c:pt idx="168">
                  <c:v>32.274320165833956</c:v>
                </c:pt>
                <c:pt idx="169">
                  <c:v>13.982366455466279</c:v>
                </c:pt>
                <c:pt idx="170">
                  <c:v>5.2641060778652546</c:v>
                </c:pt>
                <c:pt idx="171">
                  <c:v>2.1680598437185545</c:v>
                </c:pt>
                <c:pt idx="172">
                  <c:v>-7.0447547534872843</c:v>
                </c:pt>
                <c:pt idx="173">
                  <c:v>-7.0427999048803258</c:v>
                </c:pt>
                <c:pt idx="174">
                  <c:v>-3.1374090781399673</c:v>
                </c:pt>
                <c:pt idx="175">
                  <c:v>-3.7461783000931228</c:v>
                </c:pt>
                <c:pt idx="176">
                  <c:v>-2.106370173550983</c:v>
                </c:pt>
                <c:pt idx="177">
                  <c:v>4.5116565122325643</c:v>
                </c:pt>
                <c:pt idx="178">
                  <c:v>23.626693375564564</c:v>
                </c:pt>
                <c:pt idx="179">
                  <c:v>35.618879021336447</c:v>
                </c:pt>
                <c:pt idx="180">
                  <c:v>24.837548685052102</c:v>
                </c:pt>
                <c:pt idx="181">
                  <c:v>7.7804409133419119</c:v>
                </c:pt>
                <c:pt idx="182">
                  <c:v>2.6656805801719492</c:v>
                </c:pt>
                <c:pt idx="183">
                  <c:v>5.2536730010242048</c:v>
                </c:pt>
                <c:pt idx="184">
                  <c:v>5.2760452028602458</c:v>
                </c:pt>
                <c:pt idx="185">
                  <c:v>5.1859146596651078</c:v>
                </c:pt>
                <c:pt idx="186">
                  <c:v>3.8009101343278968</c:v>
                </c:pt>
                <c:pt idx="187">
                  <c:v>6.7675136560679254</c:v>
                </c:pt>
                <c:pt idx="188">
                  <c:v>10.525294229090393</c:v>
                </c:pt>
                <c:pt idx="189">
                  <c:v>6.521034018386298</c:v>
                </c:pt>
                <c:pt idx="190">
                  <c:v>4.4941778981271261</c:v>
                </c:pt>
                <c:pt idx="191">
                  <c:v>6.3693244969327258</c:v>
                </c:pt>
                <c:pt idx="192">
                  <c:v>6.8629069243138474</c:v>
                </c:pt>
                <c:pt idx="193">
                  <c:v>10.804069906526479</c:v>
                </c:pt>
                <c:pt idx="194">
                  <c:v>16.991179934625311</c:v>
                </c:pt>
                <c:pt idx="195">
                  <c:v>17.655406213652636</c:v>
                </c:pt>
                <c:pt idx="196">
                  <c:v>14.888525539479312</c:v>
                </c:pt>
                <c:pt idx="197">
                  <c:v>22.642105132041348</c:v>
                </c:pt>
                <c:pt idx="198">
                  <c:v>41.440932478844083</c:v>
                </c:pt>
                <c:pt idx="199">
                  <c:v>52.739276094119774</c:v>
                </c:pt>
                <c:pt idx="200">
                  <c:v>50.527132911509106</c:v>
                </c:pt>
                <c:pt idx="201">
                  <c:v>37.043618224545021</c:v>
                </c:pt>
                <c:pt idx="202">
                  <c:v>30.168939809519593</c:v>
                </c:pt>
                <c:pt idx="203">
                  <c:v>41.852111966543411</c:v>
                </c:pt>
                <c:pt idx="204">
                  <c:v>52.074421985147168</c:v>
                </c:pt>
                <c:pt idx="205">
                  <c:v>62.74151812888983</c:v>
                </c:pt>
                <c:pt idx="206">
                  <c:v>64.718416075768147</c:v>
                </c:pt>
                <c:pt idx="207">
                  <c:v>48.725349273063898</c:v>
                </c:pt>
                <c:pt idx="208">
                  <c:v>45.078383180701508</c:v>
                </c:pt>
                <c:pt idx="209">
                  <c:v>54.258918046777936</c:v>
                </c:pt>
                <c:pt idx="210">
                  <c:v>67.430993066296011</c:v>
                </c:pt>
                <c:pt idx="211">
                  <c:v>82.825909926580124</c:v>
                </c:pt>
                <c:pt idx="212">
                  <c:v>86.090349744775693</c:v>
                </c:pt>
                <c:pt idx="213">
                  <c:v>68.506379125236549</c:v>
                </c:pt>
                <c:pt idx="214">
                  <c:v>41.741502490870239</c:v>
                </c:pt>
                <c:pt idx="215">
                  <c:v>27.955965474623003</c:v>
                </c:pt>
                <c:pt idx="216">
                  <c:v>32.017307042510915</c:v>
                </c:pt>
                <c:pt idx="217">
                  <c:v>34.500727903925231</c:v>
                </c:pt>
                <c:pt idx="218">
                  <c:v>26.15384127698881</c:v>
                </c:pt>
                <c:pt idx="219">
                  <c:v>24.040084952510092</c:v>
                </c:pt>
                <c:pt idx="220">
                  <c:v>30.289358002997719</c:v>
                </c:pt>
                <c:pt idx="221">
                  <c:v>33.777301432397458</c:v>
                </c:pt>
                <c:pt idx="222">
                  <c:v>30.161783860830155</c:v>
                </c:pt>
                <c:pt idx="223">
                  <c:v>24.919438144953183</c:v>
                </c:pt>
                <c:pt idx="224">
                  <c:v>25.989379804754094</c:v>
                </c:pt>
                <c:pt idx="225">
                  <c:v>19.952666129626518</c:v>
                </c:pt>
                <c:pt idx="226">
                  <c:v>11.568911593084847</c:v>
                </c:pt>
                <c:pt idx="227">
                  <c:v>16.741475007814952</c:v>
                </c:pt>
                <c:pt idx="228">
                  <c:v>17.196919560980405</c:v>
                </c:pt>
                <c:pt idx="229">
                  <c:v>7.3882383887348784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0A6-1645-8962-A85A106BDDC4}"/>
            </c:ext>
          </c:extLst>
        </c:ser>
        <c:ser>
          <c:idx val="3"/>
          <c:order val="2"/>
          <c:tx>
            <c:v> Ondersterfte baseline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Oversterfte!$I$212:$I$441</c:f>
              <c:numCache>
                <c:formatCode>0.0</c:formatCode>
                <c:ptCount val="230"/>
                <c:pt idx="8">
                  <c:v>0</c:v>
                </c:pt>
                <c:pt idx="9">
                  <c:v>0.32262893593681707</c:v>
                </c:pt>
                <c:pt idx="10">
                  <c:v>3.6577782832479956E-2</c:v>
                </c:pt>
                <c:pt idx="11">
                  <c:v>-1.1866815638419206</c:v>
                </c:pt>
                <c:pt idx="12">
                  <c:v>-3.8430220004864251</c:v>
                </c:pt>
                <c:pt idx="13">
                  <c:v>-7.5704409354793789</c:v>
                </c:pt>
                <c:pt idx="14">
                  <c:v>-11.224522232891113</c:v>
                </c:pt>
                <c:pt idx="15">
                  <c:v>-13.992685048659803</c:v>
                </c:pt>
                <c:pt idx="16">
                  <c:v>-15.800281322831808</c:v>
                </c:pt>
                <c:pt idx="17">
                  <c:v>-16.724358619720874</c:v>
                </c:pt>
                <c:pt idx="18">
                  <c:v>-16.926823196051178</c:v>
                </c:pt>
                <c:pt idx="19">
                  <c:v>-16.764146158542395</c:v>
                </c:pt>
                <c:pt idx="20">
                  <c:v>-16.520041104724417</c:v>
                </c:pt>
                <c:pt idx="21">
                  <c:v>-16.258051665464524</c:v>
                </c:pt>
                <c:pt idx="22">
                  <c:v>-15.97517086695844</c:v>
                </c:pt>
                <c:pt idx="23">
                  <c:v>-15.718736512442453</c:v>
                </c:pt>
                <c:pt idx="24">
                  <c:v>-15.490071117361403</c:v>
                </c:pt>
                <c:pt idx="25">
                  <c:v>-15.246600093967579</c:v>
                </c:pt>
                <c:pt idx="26">
                  <c:v>-14.976936854020316</c:v>
                </c:pt>
                <c:pt idx="27">
                  <c:v>-14.647913181252122</c:v>
                </c:pt>
                <c:pt idx="28">
                  <c:v>-14.300594354907288</c:v>
                </c:pt>
                <c:pt idx="29">
                  <c:v>-14.054461287409911</c:v>
                </c:pt>
                <c:pt idx="30">
                  <c:v>-13.859043925202243</c:v>
                </c:pt>
                <c:pt idx="31">
                  <c:v>-13.913922781384777</c:v>
                </c:pt>
                <c:pt idx="32">
                  <c:v>-14.337199130640146</c:v>
                </c:pt>
                <c:pt idx="33">
                  <c:v>-14.603350733858999</c:v>
                </c:pt>
                <c:pt idx="34">
                  <c:v>-14.513226726860104</c:v>
                </c:pt>
                <c:pt idx="35">
                  <c:v>-14.306384340875747</c:v>
                </c:pt>
                <c:pt idx="36">
                  <c:v>-14.075970196786601</c:v>
                </c:pt>
                <c:pt idx="37">
                  <c:v>-13.889716355886986</c:v>
                </c:pt>
                <c:pt idx="38">
                  <c:v>-13.872152034242651</c:v>
                </c:pt>
                <c:pt idx="39">
                  <c:v>-14.010785077510677</c:v>
                </c:pt>
                <c:pt idx="40">
                  <c:v>-14.271966620020862</c:v>
                </c:pt>
                <c:pt idx="41">
                  <c:v>-14.80449944653577</c:v>
                </c:pt>
                <c:pt idx="42">
                  <c:v>-15.732520129018679</c:v>
                </c:pt>
                <c:pt idx="43">
                  <c:v>-16.910613756217074</c:v>
                </c:pt>
                <c:pt idx="44">
                  <c:v>-18.047793722662444</c:v>
                </c:pt>
                <c:pt idx="45">
                  <c:v>-18.944224123791507</c:v>
                </c:pt>
                <c:pt idx="46">
                  <c:v>-19.567725751429354</c:v>
                </c:pt>
                <c:pt idx="47">
                  <c:v>-20.150678292101848</c:v>
                </c:pt>
                <c:pt idx="48">
                  <c:v>-20.893543750004618</c:v>
                </c:pt>
                <c:pt idx="49">
                  <c:v>-21.894909752566857</c:v>
                </c:pt>
                <c:pt idx="50">
                  <c:v>-23.181522981672003</c:v>
                </c:pt>
                <c:pt idx="51">
                  <c:v>-24.67854953061714</c:v>
                </c:pt>
                <c:pt idx="52">
                  <c:v>-26.248825718265476</c:v>
                </c:pt>
                <c:pt idx="53">
                  <c:v>-27.642404393369436</c:v>
                </c:pt>
                <c:pt idx="54">
                  <c:v>-28.811671266839625</c:v>
                </c:pt>
                <c:pt idx="55">
                  <c:v>-29.80147268930202</c:v>
                </c:pt>
                <c:pt idx="56">
                  <c:v>-30.60364710795384</c:v>
                </c:pt>
                <c:pt idx="57">
                  <c:v>-31.267124964282583</c:v>
                </c:pt>
                <c:pt idx="58">
                  <c:v>-31.708539525569027</c:v>
                </c:pt>
                <c:pt idx="59">
                  <c:v>-31.783044036495369</c:v>
                </c:pt>
                <c:pt idx="60">
                  <c:v>-31.691357075322504</c:v>
                </c:pt>
                <c:pt idx="61">
                  <c:v>-31.623547741016033</c:v>
                </c:pt>
                <c:pt idx="62">
                  <c:v>-31.463031406624019</c:v>
                </c:pt>
                <c:pt idx="63">
                  <c:v>-31.315063006329542</c:v>
                </c:pt>
                <c:pt idx="64">
                  <c:v>-31.346463690496993</c:v>
                </c:pt>
                <c:pt idx="65">
                  <c:v>-31.47076553328267</c:v>
                </c:pt>
                <c:pt idx="66">
                  <c:v>-31.621122098586127</c:v>
                </c:pt>
                <c:pt idx="67">
                  <c:v>-31.813026390909357</c:v>
                </c:pt>
                <c:pt idx="68">
                  <c:v>-31.983061224024123</c:v>
                </c:pt>
                <c:pt idx="69">
                  <c:v>-32.083274212211066</c:v>
                </c:pt>
                <c:pt idx="70">
                  <c:v>-32.18015716347346</c:v>
                </c:pt>
                <c:pt idx="71">
                  <c:v>-32.22047477703196</c:v>
                </c:pt>
                <c:pt idx="72">
                  <c:v>-32.218534302878844</c:v>
                </c:pt>
                <c:pt idx="73">
                  <c:v>-32.31693662004708</c:v>
                </c:pt>
                <c:pt idx="74">
                  <c:v>-32.429481667820291</c:v>
                </c:pt>
                <c:pt idx="75">
                  <c:v>-32.405003037219409</c:v>
                </c:pt>
                <c:pt idx="76">
                  <c:v>-32.2713145358913</c:v>
                </c:pt>
                <c:pt idx="77">
                  <c:v>-32.21487996600564</c:v>
                </c:pt>
                <c:pt idx="78">
                  <c:v>-32.307939673442064</c:v>
                </c:pt>
                <c:pt idx="79">
                  <c:v>-32.673560083649377</c:v>
                </c:pt>
                <c:pt idx="80">
                  <c:v>-32.866737072261223</c:v>
                </c:pt>
                <c:pt idx="81">
                  <c:v>-32.819951903603517</c:v>
                </c:pt>
                <c:pt idx="82">
                  <c:v>-31.889706769515929</c:v>
                </c:pt>
                <c:pt idx="83">
                  <c:v>-29.448024414568117</c:v>
                </c:pt>
                <c:pt idx="84">
                  <c:v>-25.93363109137389</c:v>
                </c:pt>
                <c:pt idx="85">
                  <c:v>-22.495983739645961</c:v>
                </c:pt>
                <c:pt idx="86">
                  <c:v>-19.977547368720444</c:v>
                </c:pt>
                <c:pt idx="87">
                  <c:v>-18.49044312898663</c:v>
                </c:pt>
                <c:pt idx="88">
                  <c:v>-17.765526581819888</c:v>
                </c:pt>
                <c:pt idx="89">
                  <c:v>-17.691751869672174</c:v>
                </c:pt>
                <c:pt idx="90">
                  <c:v>-18.107045129651386</c:v>
                </c:pt>
                <c:pt idx="91">
                  <c:v>-18.638135295208201</c:v>
                </c:pt>
                <c:pt idx="92">
                  <c:v>-19.23066830527279</c:v>
                </c:pt>
                <c:pt idx="93">
                  <c:v>-20.055318826483077</c:v>
                </c:pt>
                <c:pt idx="94">
                  <c:v>-21.083266989231639</c:v>
                </c:pt>
                <c:pt idx="95">
                  <c:v>-22.352469194405224</c:v>
                </c:pt>
                <c:pt idx="96">
                  <c:v>-24.023703392714996</c:v>
                </c:pt>
                <c:pt idx="97">
                  <c:v>-26.115165469722893</c:v>
                </c:pt>
                <c:pt idx="98">
                  <c:v>-28.624801829435675</c:v>
                </c:pt>
                <c:pt idx="99">
                  <c:v>-31.402114565582092</c:v>
                </c:pt>
                <c:pt idx="100">
                  <c:v>-33.952094228180819</c:v>
                </c:pt>
                <c:pt idx="101">
                  <c:v>-35.919241538246197</c:v>
                </c:pt>
                <c:pt idx="102">
                  <c:v>-37.094027349763074</c:v>
                </c:pt>
                <c:pt idx="103">
                  <c:v>-37.4993162536827</c:v>
                </c:pt>
                <c:pt idx="104">
                  <c:v>-37.579060055069064</c:v>
                </c:pt>
                <c:pt idx="105">
                  <c:v>-37.594807181211607</c:v>
                </c:pt>
                <c:pt idx="106">
                  <c:v>-37.615110291656087</c:v>
                </c:pt>
                <c:pt idx="107">
                  <c:v>-37.725914089645016</c:v>
                </c:pt>
                <c:pt idx="108">
                  <c:v>-37.870774477142994</c:v>
                </c:pt>
                <c:pt idx="109">
                  <c:v>-37.930786653910715</c:v>
                </c:pt>
                <c:pt idx="110">
                  <c:v>-37.947891130902399</c:v>
                </c:pt>
                <c:pt idx="111">
                  <c:v>-37.842580449877829</c:v>
                </c:pt>
                <c:pt idx="112">
                  <c:v>-37.44131492681295</c:v>
                </c:pt>
                <c:pt idx="113">
                  <c:v>-36.889669801780883</c:v>
                </c:pt>
                <c:pt idx="114">
                  <c:v>-36.443562459141646</c:v>
                </c:pt>
                <c:pt idx="115">
                  <c:v>-36.188561168470876</c:v>
                </c:pt>
                <c:pt idx="116">
                  <c:v>-36.176562215128456</c:v>
                </c:pt>
                <c:pt idx="117">
                  <c:v>-36.436468915456103</c:v>
                </c:pt>
                <c:pt idx="118">
                  <c:v>-36.59356691108102</c:v>
                </c:pt>
                <c:pt idx="119">
                  <c:v>-36.28484082463369</c:v>
                </c:pt>
                <c:pt idx="120">
                  <c:v>-35.531966819802093</c:v>
                </c:pt>
                <c:pt idx="121">
                  <c:v>-34.491878540809317</c:v>
                </c:pt>
                <c:pt idx="122">
                  <c:v>-33.256404514297842</c:v>
                </c:pt>
                <c:pt idx="123">
                  <c:v>-31.863540017163203</c:v>
                </c:pt>
                <c:pt idx="124">
                  <c:v>-30.549966564203089</c:v>
                </c:pt>
                <c:pt idx="125">
                  <c:v>-29.474748196659135</c:v>
                </c:pt>
                <c:pt idx="126">
                  <c:v>-28.660374859418951</c:v>
                </c:pt>
                <c:pt idx="127">
                  <c:v>-28.198494617801348</c:v>
                </c:pt>
                <c:pt idx="128">
                  <c:v>-28.05569969682389</c:v>
                </c:pt>
                <c:pt idx="129">
                  <c:v>-28.129320795233756</c:v>
                </c:pt>
                <c:pt idx="130">
                  <c:v>-28.505778040527655</c:v>
                </c:pt>
                <c:pt idx="131">
                  <c:v>-29.16842462401652</c:v>
                </c:pt>
                <c:pt idx="132">
                  <c:v>-29.949778296288422</c:v>
                </c:pt>
                <c:pt idx="133">
                  <c:v>-30.734260391362788</c:v>
                </c:pt>
                <c:pt idx="134">
                  <c:v>-31.31092943346248</c:v>
                </c:pt>
                <c:pt idx="135">
                  <c:v>-31.680798499832228</c:v>
                </c:pt>
                <c:pt idx="136">
                  <c:v>-32.027917467301378</c:v>
                </c:pt>
                <c:pt idx="137">
                  <c:v>-32.296564690267736</c:v>
                </c:pt>
                <c:pt idx="138">
                  <c:v>-32.383219377953068</c:v>
                </c:pt>
                <c:pt idx="139">
                  <c:v>-32.327496364549916</c:v>
                </c:pt>
                <c:pt idx="140">
                  <c:v>-32.263776236874051</c:v>
                </c:pt>
                <c:pt idx="141">
                  <c:v>-32.391692631398264</c:v>
                </c:pt>
                <c:pt idx="142">
                  <c:v>-32.870577585114241</c:v>
                </c:pt>
                <c:pt idx="143">
                  <c:v>-33.53888450597406</c:v>
                </c:pt>
                <c:pt idx="144">
                  <c:v>-34.131547430453018</c:v>
                </c:pt>
                <c:pt idx="145">
                  <c:v>-34.680480467578249</c:v>
                </c:pt>
                <c:pt idx="146">
                  <c:v>-35.237503297962014</c:v>
                </c:pt>
                <c:pt idx="147">
                  <c:v>-35.703876889891738</c:v>
                </c:pt>
                <c:pt idx="148">
                  <c:v>-35.956756370752736</c:v>
                </c:pt>
                <c:pt idx="149">
                  <c:v>-36.117970348259512</c:v>
                </c:pt>
                <c:pt idx="150">
                  <c:v>-36.42686280550803</c:v>
                </c:pt>
                <c:pt idx="151">
                  <c:v>-36.895770706657245</c:v>
                </c:pt>
                <c:pt idx="152">
                  <c:v>-37.590486213475856</c:v>
                </c:pt>
                <c:pt idx="153">
                  <c:v>-38.776522025392907</c:v>
                </c:pt>
                <c:pt idx="154">
                  <c:v>-40.373018956648103</c:v>
                </c:pt>
                <c:pt idx="155">
                  <c:v>-41.916964226382795</c:v>
                </c:pt>
                <c:pt idx="156">
                  <c:v>-43.198070372720409</c:v>
                </c:pt>
                <c:pt idx="157">
                  <c:v>-44.105812014971299</c:v>
                </c:pt>
                <c:pt idx="158">
                  <c:v>-44.532579176815808</c:v>
                </c:pt>
                <c:pt idx="159">
                  <c:v>-44.829207943263825</c:v>
                </c:pt>
                <c:pt idx="160">
                  <c:v>-45.173529288469084</c:v>
                </c:pt>
                <c:pt idx="161">
                  <c:v>-45.369683596558581</c:v>
                </c:pt>
                <c:pt idx="162">
                  <c:v>-45.508670318208907</c:v>
                </c:pt>
                <c:pt idx="163">
                  <c:v>-45.605441287453679</c:v>
                </c:pt>
                <c:pt idx="164">
                  <c:v>-45.675295012795118</c:v>
                </c:pt>
                <c:pt idx="165">
                  <c:v>-45.811308626245975</c:v>
                </c:pt>
                <c:pt idx="166">
                  <c:v>-45.697503106275533</c:v>
                </c:pt>
                <c:pt idx="167">
                  <c:v>-44.984784052702203</c:v>
                </c:pt>
                <c:pt idx="168">
                  <c:v>-43.624046932296331</c:v>
                </c:pt>
                <c:pt idx="169">
                  <c:v>-41.643182337572689</c:v>
                </c:pt>
                <c:pt idx="170">
                  <c:v>-39.288389943169172</c:v>
                </c:pt>
                <c:pt idx="171">
                  <c:v>-37.015515631549512</c:v>
                </c:pt>
                <c:pt idx="172">
                  <c:v>-35.143146330070572</c:v>
                </c:pt>
                <c:pt idx="173">
                  <c:v>-33.812870235158584</c:v>
                </c:pt>
                <c:pt idx="174">
                  <c:v>-32.939484852295877</c:v>
                </c:pt>
                <c:pt idx="175">
                  <c:v>-32.540072614832184</c:v>
                </c:pt>
                <c:pt idx="176">
                  <c:v>-32.58435849320923</c:v>
                </c:pt>
                <c:pt idx="177">
                  <c:v>-32.835350004638144</c:v>
                </c:pt>
                <c:pt idx="178">
                  <c:v>-33.292484541817863</c:v>
                </c:pt>
                <c:pt idx="179">
                  <c:v>-33.842719124095723</c:v>
                </c:pt>
                <c:pt idx="180">
                  <c:v>-34.155093393044524</c:v>
                </c:pt>
                <c:pt idx="181">
                  <c:v>-34.110505028689694</c:v>
                </c:pt>
                <c:pt idx="182">
                  <c:v>-33.992715318349383</c:v>
                </c:pt>
                <c:pt idx="183">
                  <c:v>-33.936500486342567</c:v>
                </c:pt>
                <c:pt idx="184">
                  <c:v>-33.635497003218298</c:v>
                </c:pt>
                <c:pt idx="185">
                  <c:v>-32.977595213797208</c:v>
                </c:pt>
                <c:pt idx="186">
                  <c:v>-32.149715254227296</c:v>
                </c:pt>
                <c:pt idx="187">
                  <c:v>-31.36196257295591</c:v>
                </c:pt>
                <c:pt idx="188">
                  <c:v>-30.628915591120272</c:v>
                </c:pt>
                <c:pt idx="189">
                  <c:v>-29.982022683656943</c:v>
                </c:pt>
                <c:pt idx="190">
                  <c:v>-29.612085853603315</c:v>
                </c:pt>
                <c:pt idx="191">
                  <c:v>-29.454584205828855</c:v>
                </c:pt>
                <c:pt idx="192">
                  <c:v>-29.306100783206695</c:v>
                </c:pt>
                <c:pt idx="193">
                  <c:v>-29.198892116580542</c:v>
                </c:pt>
                <c:pt idx="194">
                  <c:v>-29.264211567990074</c:v>
                </c:pt>
                <c:pt idx="195">
                  <c:v>-29.436426434612688</c:v>
                </c:pt>
                <c:pt idx="196">
                  <c:v>-29.555071150679012</c:v>
                </c:pt>
                <c:pt idx="197">
                  <c:v>-29.703101710200247</c:v>
                </c:pt>
                <c:pt idx="198">
                  <c:v>-29.954820854292375</c:v>
                </c:pt>
                <c:pt idx="199">
                  <c:v>-30.187556148857077</c:v>
                </c:pt>
                <c:pt idx="200">
                  <c:v>-30.394336673610912</c:v>
                </c:pt>
                <c:pt idx="201">
                  <c:v>-30.472569463455596</c:v>
                </c:pt>
                <c:pt idx="202">
                  <c:v>-30.332594695561301</c:v>
                </c:pt>
                <c:pt idx="203">
                  <c:v>-30.216937671403638</c:v>
                </c:pt>
                <c:pt idx="204">
                  <c:v>-30.336892224794813</c:v>
                </c:pt>
                <c:pt idx="205">
                  <c:v>-30.804498984830882</c:v>
                </c:pt>
                <c:pt idx="206">
                  <c:v>-31.327778035376078</c:v>
                </c:pt>
                <c:pt idx="207">
                  <c:v>-31.552433643307893</c:v>
                </c:pt>
                <c:pt idx="208">
                  <c:v>-31.777406757619527</c:v>
                </c:pt>
                <c:pt idx="209">
                  <c:v>-32.273975178279208</c:v>
                </c:pt>
                <c:pt idx="210">
                  <c:v>-33.122963259514684</c:v>
                </c:pt>
                <c:pt idx="211">
                  <c:v>-34.269697683669051</c:v>
                </c:pt>
                <c:pt idx="212">
                  <c:v>-35.274760477093523</c:v>
                </c:pt>
                <c:pt idx="213">
                  <c:v>-35.734220468750991</c:v>
                </c:pt>
                <c:pt idx="214">
                  <c:v>-35.664161200485282</c:v>
                </c:pt>
                <c:pt idx="215">
                  <c:v>-35.372466894189856</c:v>
                </c:pt>
                <c:pt idx="216">
                  <c:v>-35.168378909898706</c:v>
                </c:pt>
                <c:pt idx="217">
                  <c:v>-35.128702251600465</c:v>
                </c:pt>
                <c:pt idx="218">
                  <c:v>-35.169643464955819</c:v>
                </c:pt>
                <c:pt idx="219">
                  <c:v>-35.316628339016347</c:v>
                </c:pt>
                <c:pt idx="220">
                  <c:v>-35.495059768401674</c:v>
                </c:pt>
                <c:pt idx="221">
                  <c:v>-35.550690100430167</c:v>
                </c:pt>
                <c:pt idx="222">
                  <c:v>-35.394506451310555</c:v>
                </c:pt>
                <c:pt idx="223">
                  <c:v>-34.816516933544662</c:v>
                </c:pt>
                <c:pt idx="224">
                  <c:v>-33.70874376339443</c:v>
                </c:pt>
                <c:pt idx="225">
                  <c:v>-32.182626838008652</c:v>
                </c:pt>
                <c:pt idx="226">
                  <c:v>-30.590926122090735</c:v>
                </c:pt>
                <c:pt idx="227">
                  <c:v>-29.332549958752388</c:v>
                </c:pt>
                <c:pt idx="228">
                  <c:v>-28.420752151100899</c:v>
                </c:pt>
                <c:pt idx="229">
                  <c:v>-27.779039217514416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6-1645-8962-A85A106BDDC4}"/>
            </c:ext>
          </c:extLst>
        </c:ser>
        <c:ser>
          <c:idx val="4"/>
          <c:order val="3"/>
          <c:tx>
            <c:v> Prognose</c:v>
          </c:tx>
          <c:spPr>
            <a:ln w="412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Oversterfte!$A$212:$A$441</c:f>
              <c:numCache>
                <c:formatCode>[$-413]d/mmm/yy;@</c:formatCode>
                <c:ptCount val="23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  <c:pt idx="100">
                  <c:v>44536</c:v>
                </c:pt>
                <c:pt idx="101">
                  <c:v>44543</c:v>
                </c:pt>
                <c:pt idx="102">
                  <c:v>44550</c:v>
                </c:pt>
                <c:pt idx="103">
                  <c:v>44557</c:v>
                </c:pt>
                <c:pt idx="104">
                  <c:v>44564</c:v>
                </c:pt>
                <c:pt idx="105">
                  <c:v>44571</c:v>
                </c:pt>
                <c:pt idx="106">
                  <c:v>44578</c:v>
                </c:pt>
                <c:pt idx="107">
                  <c:v>44585</c:v>
                </c:pt>
                <c:pt idx="108">
                  <c:v>44592</c:v>
                </c:pt>
                <c:pt idx="109">
                  <c:v>44599</c:v>
                </c:pt>
                <c:pt idx="110">
                  <c:v>44606</c:v>
                </c:pt>
                <c:pt idx="111">
                  <c:v>44613</c:v>
                </c:pt>
                <c:pt idx="112">
                  <c:v>44620</c:v>
                </c:pt>
                <c:pt idx="113">
                  <c:v>44627</c:v>
                </c:pt>
                <c:pt idx="114">
                  <c:v>44634</c:v>
                </c:pt>
                <c:pt idx="115">
                  <c:v>44641</c:v>
                </c:pt>
                <c:pt idx="116">
                  <c:v>44648</c:v>
                </c:pt>
                <c:pt idx="117">
                  <c:v>44655</c:v>
                </c:pt>
                <c:pt idx="118">
                  <c:v>44662</c:v>
                </c:pt>
                <c:pt idx="119">
                  <c:v>44669</c:v>
                </c:pt>
                <c:pt idx="120">
                  <c:v>44676</c:v>
                </c:pt>
                <c:pt idx="121">
                  <c:v>44683</c:v>
                </c:pt>
                <c:pt idx="122">
                  <c:v>44690</c:v>
                </c:pt>
                <c:pt idx="123">
                  <c:v>44697</c:v>
                </c:pt>
                <c:pt idx="124">
                  <c:v>44704</c:v>
                </c:pt>
                <c:pt idx="125">
                  <c:v>44711</c:v>
                </c:pt>
                <c:pt idx="126">
                  <c:v>44718</c:v>
                </c:pt>
                <c:pt idx="127">
                  <c:v>44725</c:v>
                </c:pt>
                <c:pt idx="128">
                  <c:v>44732</c:v>
                </c:pt>
                <c:pt idx="129">
                  <c:v>44739</c:v>
                </c:pt>
                <c:pt idx="130">
                  <c:v>44746</c:v>
                </c:pt>
                <c:pt idx="131">
                  <c:v>44753</c:v>
                </c:pt>
                <c:pt idx="132">
                  <c:v>44760</c:v>
                </c:pt>
                <c:pt idx="133">
                  <c:v>44767</c:v>
                </c:pt>
                <c:pt idx="134">
                  <c:v>44774</c:v>
                </c:pt>
                <c:pt idx="135">
                  <c:v>44781</c:v>
                </c:pt>
                <c:pt idx="136">
                  <c:v>44788</c:v>
                </c:pt>
                <c:pt idx="137">
                  <c:v>44795</c:v>
                </c:pt>
                <c:pt idx="138">
                  <c:v>44802</c:v>
                </c:pt>
                <c:pt idx="139">
                  <c:v>44809</c:v>
                </c:pt>
                <c:pt idx="140">
                  <c:v>44816</c:v>
                </c:pt>
                <c:pt idx="141">
                  <c:v>44823</c:v>
                </c:pt>
                <c:pt idx="142">
                  <c:v>44830</c:v>
                </c:pt>
                <c:pt idx="143">
                  <c:v>44837</c:v>
                </c:pt>
                <c:pt idx="144">
                  <c:v>44844</c:v>
                </c:pt>
                <c:pt idx="145">
                  <c:v>44851</c:v>
                </c:pt>
                <c:pt idx="146">
                  <c:v>44858</c:v>
                </c:pt>
                <c:pt idx="147">
                  <c:v>44865</c:v>
                </c:pt>
                <c:pt idx="148">
                  <c:v>44872</c:v>
                </c:pt>
                <c:pt idx="149">
                  <c:v>44879</c:v>
                </c:pt>
                <c:pt idx="150">
                  <c:v>44886</c:v>
                </c:pt>
                <c:pt idx="151">
                  <c:v>44893</c:v>
                </c:pt>
                <c:pt idx="152">
                  <c:v>44900</c:v>
                </c:pt>
                <c:pt idx="153">
                  <c:v>44907</c:v>
                </c:pt>
                <c:pt idx="154">
                  <c:v>44914</c:v>
                </c:pt>
                <c:pt idx="155">
                  <c:v>44921</c:v>
                </c:pt>
                <c:pt idx="156">
                  <c:v>44928</c:v>
                </c:pt>
                <c:pt idx="157">
                  <c:v>44935</c:v>
                </c:pt>
                <c:pt idx="158">
                  <c:v>44942</c:v>
                </c:pt>
                <c:pt idx="159">
                  <c:v>44949</c:v>
                </c:pt>
                <c:pt idx="160">
                  <c:v>44956</c:v>
                </c:pt>
                <c:pt idx="161">
                  <c:v>44963</c:v>
                </c:pt>
                <c:pt idx="162">
                  <c:v>44970</c:v>
                </c:pt>
                <c:pt idx="163">
                  <c:v>44977</c:v>
                </c:pt>
                <c:pt idx="164">
                  <c:v>44984</c:v>
                </c:pt>
                <c:pt idx="165">
                  <c:v>44991</c:v>
                </c:pt>
                <c:pt idx="166">
                  <c:v>44998</c:v>
                </c:pt>
                <c:pt idx="167">
                  <c:v>45005</c:v>
                </c:pt>
                <c:pt idx="168">
                  <c:v>45012</c:v>
                </c:pt>
                <c:pt idx="169">
                  <c:v>45019</c:v>
                </c:pt>
                <c:pt idx="170">
                  <c:v>45026</c:v>
                </c:pt>
                <c:pt idx="171">
                  <c:v>45033</c:v>
                </c:pt>
                <c:pt idx="172">
                  <c:v>45040</c:v>
                </c:pt>
                <c:pt idx="173">
                  <c:v>45047</c:v>
                </c:pt>
                <c:pt idx="174">
                  <c:v>45054</c:v>
                </c:pt>
                <c:pt idx="175">
                  <c:v>45061</c:v>
                </c:pt>
                <c:pt idx="176">
                  <c:v>45068</c:v>
                </c:pt>
                <c:pt idx="177">
                  <c:v>45075</c:v>
                </c:pt>
                <c:pt idx="178">
                  <c:v>45082</c:v>
                </c:pt>
                <c:pt idx="179">
                  <c:v>45089</c:v>
                </c:pt>
                <c:pt idx="180">
                  <c:v>45096</c:v>
                </c:pt>
                <c:pt idx="181">
                  <c:v>45103</c:v>
                </c:pt>
                <c:pt idx="182">
                  <c:v>45110</c:v>
                </c:pt>
                <c:pt idx="183">
                  <c:v>45117</c:v>
                </c:pt>
                <c:pt idx="184">
                  <c:v>45124</c:v>
                </c:pt>
                <c:pt idx="185">
                  <c:v>45131</c:v>
                </c:pt>
                <c:pt idx="186">
                  <c:v>45138</c:v>
                </c:pt>
                <c:pt idx="187">
                  <c:v>45145</c:v>
                </c:pt>
                <c:pt idx="188">
                  <c:v>45152</c:v>
                </c:pt>
                <c:pt idx="189">
                  <c:v>45159</c:v>
                </c:pt>
                <c:pt idx="190">
                  <c:v>45166</c:v>
                </c:pt>
                <c:pt idx="191">
                  <c:v>45173</c:v>
                </c:pt>
                <c:pt idx="192">
                  <c:v>45180</c:v>
                </c:pt>
                <c:pt idx="193">
                  <c:v>45187</c:v>
                </c:pt>
                <c:pt idx="194">
                  <c:v>45194</c:v>
                </c:pt>
                <c:pt idx="195">
                  <c:v>45201</c:v>
                </c:pt>
                <c:pt idx="196">
                  <c:v>45208</c:v>
                </c:pt>
                <c:pt idx="197">
                  <c:v>45215</c:v>
                </c:pt>
                <c:pt idx="198">
                  <c:v>45222</c:v>
                </c:pt>
                <c:pt idx="199">
                  <c:v>45229</c:v>
                </c:pt>
                <c:pt idx="200">
                  <c:v>45236</c:v>
                </c:pt>
                <c:pt idx="201">
                  <c:v>45243</c:v>
                </c:pt>
                <c:pt idx="202">
                  <c:v>45250</c:v>
                </c:pt>
                <c:pt idx="203">
                  <c:v>45257</c:v>
                </c:pt>
                <c:pt idx="204">
                  <c:v>45264</c:v>
                </c:pt>
                <c:pt idx="205">
                  <c:v>45271</c:v>
                </c:pt>
                <c:pt idx="206">
                  <c:v>45278</c:v>
                </c:pt>
                <c:pt idx="207">
                  <c:v>45285</c:v>
                </c:pt>
                <c:pt idx="208">
                  <c:v>45292</c:v>
                </c:pt>
                <c:pt idx="209">
                  <c:v>45299</c:v>
                </c:pt>
                <c:pt idx="210">
                  <c:v>45306</c:v>
                </c:pt>
                <c:pt idx="211">
                  <c:v>45313</c:v>
                </c:pt>
                <c:pt idx="212">
                  <c:v>45320</c:v>
                </c:pt>
                <c:pt idx="213">
                  <c:v>45327</c:v>
                </c:pt>
                <c:pt idx="214">
                  <c:v>45334</c:v>
                </c:pt>
                <c:pt idx="215">
                  <c:v>45341</c:v>
                </c:pt>
                <c:pt idx="216">
                  <c:v>45348</c:v>
                </c:pt>
                <c:pt idx="217">
                  <c:v>45355</c:v>
                </c:pt>
                <c:pt idx="218">
                  <c:v>45362</c:v>
                </c:pt>
                <c:pt idx="219">
                  <c:v>45369</c:v>
                </c:pt>
                <c:pt idx="220">
                  <c:v>45376</c:v>
                </c:pt>
                <c:pt idx="221">
                  <c:v>45383</c:v>
                </c:pt>
                <c:pt idx="222">
                  <c:v>45390</c:v>
                </c:pt>
                <c:pt idx="223">
                  <c:v>45397</c:v>
                </c:pt>
                <c:pt idx="224">
                  <c:v>45404</c:v>
                </c:pt>
                <c:pt idx="225">
                  <c:v>45411</c:v>
                </c:pt>
                <c:pt idx="226">
                  <c:v>45418</c:v>
                </c:pt>
                <c:pt idx="227">
                  <c:v>45425</c:v>
                </c:pt>
                <c:pt idx="228">
                  <c:v>45432</c:v>
                </c:pt>
                <c:pt idx="229">
                  <c:v>45439</c:v>
                </c:pt>
              </c:numCache>
            </c:numRef>
          </c:cat>
          <c:val>
            <c:numRef>
              <c:f>Oversterfte!$J$212:$J$409</c:f>
              <c:numCache>
                <c:formatCode>General</c:formatCode>
                <c:ptCount val="198"/>
                <c:pt idx="54" formatCode="0">
                  <c:v>81.848681142913179</c:v>
                </c:pt>
                <c:pt idx="55" formatCode="0">
                  <c:v>53.936142684859377</c:v>
                </c:pt>
                <c:pt idx="56" formatCode="0">
                  <c:v>32.801195236656078</c:v>
                </c:pt>
                <c:pt idx="57" formatCode="0">
                  <c:v>16.784115186421406</c:v>
                </c:pt>
                <c:pt idx="58" formatCode="0">
                  <c:v>4.6609515084237962</c:v>
                </c:pt>
                <c:pt idx="59" formatCode="0">
                  <c:v>-4.4500473778059977</c:v>
                </c:pt>
                <c:pt idx="60" formatCode="0">
                  <c:v>-11.260374802185122</c:v>
                </c:pt>
                <c:pt idx="61" formatCode="0">
                  <c:v>-16.351168036892851</c:v>
                </c:pt>
                <c:pt idx="62" formatCode="0">
                  <c:v>-20.129133879325643</c:v>
                </c:pt>
                <c:pt idx="63" formatCode="0">
                  <c:v>-22.925616161076618</c:v>
                </c:pt>
                <c:pt idx="64" formatCode="0">
                  <c:v>-25.030828043431711</c:v>
                </c:pt>
                <c:pt idx="65" formatCode="0">
                  <c:v>-26.640812415894452</c:v>
                </c:pt>
                <c:pt idx="66" formatCode="0">
                  <c:v>-27.885889836567372</c:v>
                </c:pt>
                <c:pt idx="67" formatCode="0">
                  <c:v>-28.867673975152869</c:v>
                </c:pt>
                <c:pt idx="68" formatCode="0">
                  <c:v>-29.646520787370683</c:v>
                </c:pt>
                <c:pt idx="69" formatCode="0">
                  <c:v>-30.255709143580781</c:v>
                </c:pt>
                <c:pt idx="70" formatCode="0">
                  <c:v>-30.73682114855395</c:v>
                </c:pt>
                <c:pt idx="71" formatCode="0">
                  <c:v>-31.107734555673453</c:v>
                </c:pt>
                <c:pt idx="72" formatCode="0">
                  <c:v>-31.385434492474801</c:v>
                </c:pt>
                <c:pt idx="73" formatCode="0">
                  <c:v>-31.618310024367872</c:v>
                </c:pt>
                <c:pt idx="74" formatCode="0">
                  <c:v>-31.821102935230975</c:v>
                </c:pt>
                <c:pt idx="75" formatCode="0">
                  <c:v>-31.967077960728083</c:v>
                </c:pt>
                <c:pt idx="76" formatCode="0">
                  <c:v>-32.043137104518891</c:v>
                </c:pt>
                <c:pt idx="77" formatCode="0">
                  <c:v>-32.086072819890575</c:v>
                </c:pt>
                <c:pt idx="78" formatCode="0">
                  <c:v>-32.141539533278447</c:v>
                </c:pt>
                <c:pt idx="79" formatCode="0">
                  <c:v>-32.27454467087118</c:v>
                </c:pt>
                <c:pt idx="80" formatCode="0">
                  <c:v>-32.422592771218689</c:v>
                </c:pt>
                <c:pt idx="81" formatCode="0">
                  <c:v>-32.521932554314894</c:v>
                </c:pt>
                <c:pt idx="82" formatCode="0">
                  <c:v>-32.36387610811515</c:v>
                </c:pt>
                <c:pt idx="83" formatCode="0">
                  <c:v>-31.63491318472839</c:v>
                </c:pt>
                <c:pt idx="84" formatCode="0">
                  <c:v>-30.209592661389763</c:v>
                </c:pt>
                <c:pt idx="85" formatCode="0">
                  <c:v>-28.281190430953814</c:v>
                </c:pt>
                <c:pt idx="86" formatCode="0">
                  <c:v>-26.205279665395473</c:v>
                </c:pt>
                <c:pt idx="87" formatCode="0">
                  <c:v>-24.276570531293263</c:v>
                </c:pt>
                <c:pt idx="88" formatCode="0">
                  <c:v>-22.648809543924919</c:v>
                </c:pt>
                <c:pt idx="89" formatCode="0">
                  <c:v>-21.409545125361731</c:v>
                </c:pt>
                <c:pt idx="90" formatCode="0">
                  <c:v>-20.583920126434144</c:v>
                </c:pt>
                <c:pt idx="91" formatCode="0">
                  <c:v>-20.097473918627657</c:v>
                </c:pt>
                <c:pt idx="92" formatCode="0">
                  <c:v>-19.880772515288939</c:v>
                </c:pt>
                <c:pt idx="93" formatCode="0">
                  <c:v>-19.924409093087473</c:v>
                </c:pt>
                <c:pt idx="94" formatCode="0">
                  <c:v>-20.214123567123515</c:v>
                </c:pt>
                <c:pt idx="95" formatCode="0">
                  <c:v>-20.748709973943942</c:v>
                </c:pt>
                <c:pt idx="96" formatCode="0">
                  <c:v>-21.567458328636704</c:v>
                </c:pt>
                <c:pt idx="97" formatCode="0">
                  <c:v>-22.704385113908252</c:v>
                </c:pt>
                <c:pt idx="98" formatCode="0">
                  <c:v>-24.184489292790108</c:v>
                </c:pt>
                <c:pt idx="99" formatCode="0">
                  <c:v>-25.988895610988102</c:v>
                </c:pt>
                <c:pt idx="100" formatCode="0">
                  <c:v>-27.979695265286281</c:v>
                </c:pt>
                <c:pt idx="101" formatCode="0">
                  <c:v>-29.96458183352626</c:v>
                </c:pt>
                <c:pt idx="102" formatCode="0">
                  <c:v>-31.746943212585464</c:v>
                </c:pt>
                <c:pt idx="103" formatCode="0">
                  <c:v>-33.185036472859771</c:v>
                </c:pt>
                <c:pt idx="104" formatCode="0">
                  <c:v>-34.283542368412093</c:v>
                </c:pt>
                <c:pt idx="105" formatCode="0">
                  <c:v>-35.111358571611973</c:v>
                </c:pt>
                <c:pt idx="106" formatCode="0">
                  <c:v>-35.737296501623</c:v>
                </c:pt>
                <c:pt idx="107" formatCode="0">
                  <c:v>-36.234450898628502</c:v>
                </c:pt>
                <c:pt idx="108" formatCode="0">
                  <c:v>-36.643531793257125</c:v>
                </c:pt>
                <c:pt idx="109" formatCode="0">
                  <c:v>-36.965345508420526</c:v>
                </c:pt>
                <c:pt idx="110" formatCode="0">
                  <c:v>-37.210981914040993</c:v>
                </c:pt>
                <c:pt idx="111" formatCode="0">
                  <c:v>-37.368881548000203</c:v>
                </c:pt>
                <c:pt idx="112" formatCode="0">
                  <c:v>-37.38698989270339</c:v>
                </c:pt>
                <c:pt idx="113" formatCode="0">
                  <c:v>-37.262659869972765</c:v>
                </c:pt>
                <c:pt idx="114" formatCode="0">
                  <c:v>-37.057885517264985</c:v>
                </c:pt>
                <c:pt idx="115" formatCode="0">
                  <c:v>-36.840554430066462</c:v>
                </c:pt>
                <c:pt idx="116" formatCode="0">
                  <c:v>-36.674556376331964</c:v>
                </c:pt>
                <c:pt idx="117" formatCode="0">
                  <c:v>-36.615034511112995</c:v>
                </c:pt>
                <c:pt idx="118" formatCode="0">
                  <c:v>-36.609667611105003</c:v>
                </c:pt>
                <c:pt idx="119" formatCode="0">
                  <c:v>-36.528460914487177</c:v>
                </c:pt>
                <c:pt idx="120" formatCode="0">
                  <c:v>-36.279337390815904</c:v>
                </c:pt>
                <c:pt idx="121" formatCode="0">
                  <c:v>-35.832472678314261</c:v>
                </c:pt>
                <c:pt idx="122" formatCode="0">
                  <c:v>-35.188455637310156</c:v>
                </c:pt>
                <c:pt idx="123" formatCode="0">
                  <c:v>-34.357226732273418</c:v>
                </c:pt>
                <c:pt idx="124" formatCode="0">
                  <c:v>-33.405411690255832</c:v>
                </c:pt>
                <c:pt idx="125" formatCode="0">
                  <c:v>-32.422745816856661</c:v>
                </c:pt>
                <c:pt idx="126" formatCode="0">
                  <c:v>-31.482153077497234</c:v>
                </c:pt>
                <c:pt idx="127" formatCode="0">
                  <c:v>-30.661238462573262</c:v>
                </c:pt>
                <c:pt idx="128" formatCode="0">
                  <c:v>-30.009853771135919</c:v>
                </c:pt>
                <c:pt idx="129" formatCode="0">
                  <c:v>-29.539720527160377</c:v>
                </c:pt>
                <c:pt idx="130" formatCode="0">
                  <c:v>-29.281234905502195</c:v>
                </c:pt>
                <c:pt idx="131" formatCode="0">
                  <c:v>-29.253032335130776</c:v>
                </c:pt>
                <c:pt idx="132" formatCode="0">
                  <c:v>-29.427218825420187</c:v>
                </c:pt>
                <c:pt idx="133" formatCode="0">
                  <c:v>-29.753979216905837</c:v>
                </c:pt>
                <c:pt idx="134" formatCode="0">
                  <c:v>-30.143216771044997</c:v>
                </c:pt>
                <c:pt idx="135" formatCode="0">
                  <c:v>-30.527612203241805</c:v>
                </c:pt>
                <c:pt idx="136" formatCode="0">
                  <c:v>-30.902688519256699</c:v>
                </c:pt>
                <c:pt idx="137" formatCode="0">
                  <c:v>-31.25115756200946</c:v>
                </c:pt>
                <c:pt idx="138" formatCode="0">
                  <c:v>-31.534173015995364</c:v>
                </c:pt>
                <c:pt idx="139" formatCode="0">
                  <c:v>-31.732503853134002</c:v>
                </c:pt>
                <c:pt idx="140" formatCode="0">
                  <c:v>-31.865321949069013</c:v>
                </c:pt>
                <c:pt idx="141" formatCode="0">
                  <c:v>-31.996914619651328</c:v>
                </c:pt>
                <c:pt idx="142" formatCode="0">
                  <c:v>-32.215330361017052</c:v>
                </c:pt>
                <c:pt idx="143" formatCode="0">
                  <c:v>-32.546218897256303</c:v>
                </c:pt>
                <c:pt idx="144" formatCode="0">
                  <c:v>-32.942551030555478</c:v>
                </c:pt>
                <c:pt idx="145" formatCode="0">
                  <c:v>-33.377033389811174</c:v>
                </c:pt>
                <c:pt idx="146" formatCode="0">
                  <c:v>-33.842150866848883</c:v>
                </c:pt>
                <c:pt idx="147" formatCode="0">
                  <c:v>-34.307582372609595</c:v>
                </c:pt>
                <c:pt idx="148" formatCode="0">
                  <c:v>-34.71987587214538</c:v>
                </c:pt>
                <c:pt idx="149" formatCode="0">
                  <c:v>-35.069399491173911</c:v>
                </c:pt>
                <c:pt idx="150" formatCode="0">
                  <c:v>-35.408765319757443</c:v>
                </c:pt>
                <c:pt idx="151" formatCode="0">
                  <c:v>-35.780516666482391</c:v>
                </c:pt>
                <c:pt idx="152" formatCode="0">
                  <c:v>-36.233009053230759</c:v>
                </c:pt>
                <c:pt idx="153" formatCode="0">
                  <c:v>-36.868887296271296</c:v>
                </c:pt>
                <c:pt idx="154" formatCode="0">
                  <c:v>-37.744920211365496</c:v>
                </c:pt>
                <c:pt idx="155" formatCode="0">
                  <c:v>-38.787931215119819</c:v>
                </c:pt>
                <c:pt idx="156" formatCode="0">
                  <c:v>-39.890466004519965</c:v>
                </c:pt>
                <c:pt idx="157" formatCode="0">
                  <c:v>-40.944302507132797</c:v>
                </c:pt>
                <c:pt idx="158" formatCode="0">
                  <c:v>-41.84137167455355</c:v>
                </c:pt>
                <c:pt idx="159" formatCode="0">
                  <c:v>-42.58833074173112</c:v>
                </c:pt>
                <c:pt idx="160" formatCode="0">
                  <c:v>-43.234630378415609</c:v>
                </c:pt>
                <c:pt idx="161" formatCode="0">
                  <c:v>-43.768393682951356</c:v>
                </c:pt>
                <c:pt idx="162" formatCode="0">
                  <c:v>-44.203462841765742</c:v>
                </c:pt>
                <c:pt idx="163" formatCode="0">
                  <c:v>-44.553957453187728</c:v>
                </c:pt>
                <c:pt idx="164" formatCode="0">
                  <c:v>-44.834291843089574</c:v>
                </c:pt>
                <c:pt idx="165" formatCode="0">
                  <c:v>-45.07854603887867</c:v>
                </c:pt>
                <c:pt idx="166" formatCode="0">
                  <c:v>-45.23328530572789</c:v>
                </c:pt>
                <c:pt idx="167" formatCode="0">
                  <c:v>-45.171159992471466</c:v>
                </c:pt>
                <c:pt idx="168" formatCode="0">
                  <c:v>-44.784381727427686</c:v>
                </c:pt>
                <c:pt idx="169" formatCode="0">
                  <c:v>-43.999081879963938</c:v>
                </c:pt>
                <c:pt idx="170" formatCode="0">
                  <c:v>-42.821408895765245</c:v>
                </c:pt>
                <c:pt idx="171" formatCode="0">
                  <c:v>-41.36993557971131</c:v>
                </c:pt>
                <c:pt idx="172" formatCode="0">
                  <c:v>-39.813238267301124</c:v>
                </c:pt>
                <c:pt idx="173" formatCode="0">
                  <c:v>-38.313146259265487</c:v>
                </c:pt>
                <c:pt idx="174" formatCode="0">
                  <c:v>-36.969730907523086</c:v>
                </c:pt>
                <c:pt idx="175" formatCode="0">
                  <c:v>-35.862316334350361</c:v>
                </c:pt>
                <c:pt idx="176" formatCode="0">
                  <c:v>-35.042826874065078</c:v>
                </c:pt>
                <c:pt idx="177" formatCode="0">
                  <c:v>-34.490957656708346</c:v>
                </c:pt>
                <c:pt idx="178" formatCode="0">
                  <c:v>-34.191339377985727</c:v>
                </c:pt>
                <c:pt idx="179" formatCode="0">
                  <c:v>-34.104184314513226</c:v>
                </c:pt>
                <c:pt idx="180" formatCode="0">
                  <c:v>-34.116911584146052</c:v>
                </c:pt>
                <c:pt idx="181" formatCode="0">
                  <c:v>-34.115309945281965</c:v>
                </c:pt>
                <c:pt idx="182" formatCode="0">
                  <c:v>-34.084661288548816</c:v>
                </c:pt>
                <c:pt idx="183" formatCode="0">
                  <c:v>-34.047621087997257</c:v>
                </c:pt>
                <c:pt idx="184" formatCode="0">
                  <c:v>-33.944590066802519</c:v>
                </c:pt>
                <c:pt idx="185" formatCode="0">
                  <c:v>-33.702841353551193</c:v>
                </c:pt>
                <c:pt idx="186" formatCode="0">
                  <c:v>-33.31455982872022</c:v>
                </c:pt>
                <c:pt idx="187" formatCode="0">
                  <c:v>-32.826410514779141</c:v>
                </c:pt>
                <c:pt idx="188" formatCode="0">
                  <c:v>-32.277036783864425</c:v>
                </c:pt>
                <c:pt idx="189" formatCode="0">
                  <c:v>-31.703283258812554</c:v>
                </c:pt>
                <c:pt idx="190" formatCode="0">
                  <c:v>-31.180483907510244</c:v>
                </c:pt>
                <c:pt idx="191" formatCode="0">
                  <c:v>-30.749008982089897</c:v>
                </c:pt>
                <c:pt idx="192" formatCode="0">
                  <c:v>-30.388281932369097</c:v>
                </c:pt>
                <c:pt idx="193" formatCode="0">
                  <c:v>-30.090934478421957</c:v>
                </c:pt>
                <c:pt idx="194" formatCode="0">
                  <c:v>-29.884253750813986</c:v>
                </c:pt>
                <c:pt idx="195" formatCode="0">
                  <c:v>-29.772296921763662</c:v>
                </c:pt>
                <c:pt idx="196" formatCode="0">
                  <c:v>-29.717990478992498</c:v>
                </c:pt>
                <c:pt idx="197" formatCode="0">
                  <c:v>-29.714268286794436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A6-1645-8962-A85A106B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63903"/>
        <c:axId val="180282719"/>
      </c:lineChart>
      <c:dateAx>
        <c:axId val="190563903"/>
        <c:scaling>
          <c:orientation val="minMax"/>
          <c:max val="44317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3]mmm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0282719"/>
        <c:crossesAt val="-100"/>
        <c:auto val="1"/>
        <c:lblOffset val="100"/>
        <c:baseTimeUnit val="days"/>
        <c:majorUnit val="2"/>
        <c:majorTimeUnit val="months"/>
      </c:dateAx>
      <c:valAx>
        <c:axId val="180282719"/>
        <c:scaling>
          <c:orientation val="minMax"/>
          <c:max val="3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/>
                  <a:t>Overlijdens/dag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056390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l"/>
      <c:legendEntry>
        <c:idx val="0"/>
        <c:delete val="1"/>
      </c:legendEntry>
      <c:layout>
        <c:manualLayout>
          <c:xMode val="edge"/>
          <c:yMode val="edge"/>
          <c:x val="0.65973926737418698"/>
          <c:y val="9.8969248437747126E-2"/>
          <c:w val="0.29919164669633685"/>
          <c:h val="0.17422856149918803"/>
        </c:manualLayout>
      </c:layout>
      <c:overlay val="0"/>
      <c:spPr>
        <a:solidFill>
          <a:schemeClr val="bg1">
            <a:lumMod val="75000"/>
            <a:alpha val="36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250753</xdr:colOff>
      <xdr:row>78</xdr:row>
      <xdr:rowOff>139712</xdr:rowOff>
    </xdr:from>
    <xdr:to>
      <xdr:col>35</xdr:col>
      <xdr:colOff>86237</xdr:colOff>
      <xdr:row>100</xdr:row>
      <xdr:rowOff>62134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74508B9-42F0-1E45-BEAB-466D5DA49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303695</xdr:colOff>
      <xdr:row>54</xdr:row>
      <xdr:rowOff>110434</xdr:rowOff>
    </xdr:from>
    <xdr:to>
      <xdr:col>35</xdr:col>
      <xdr:colOff>139179</xdr:colOff>
      <xdr:row>76</xdr:row>
      <xdr:rowOff>35132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83278120-E224-804D-92D0-23C10B958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0.08508</cdr:x>
      <cdr:y>0.22967</cdr:y>
    </cdr:from>
    <cdr:to>
      <cdr:x>0.39344</cdr:x>
      <cdr:y>0.31797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734532AF-74F2-796F-8F2D-0713F3C7B6B9}"/>
            </a:ext>
          </a:extLst>
        </cdr:cNvPr>
        <cdr:cNvSpPr txBox="1"/>
      </cdr:nvSpPr>
      <cdr:spPr>
        <a:xfrm xmlns:a="http://schemas.openxmlformats.org/drawingml/2006/main">
          <a:off x="616535" y="1039917"/>
          <a:ext cx="2234421" cy="3998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ONgevaccineerd</a:t>
          </a:r>
          <a:r>
            <a:rPr lang="nl-NL" sz="1400" baseline="0">
              <a:solidFill>
                <a:schemeClr val="tx1"/>
              </a:solidFill>
            </a:rPr>
            <a:t> overleden ACM</a:t>
          </a:r>
          <a:endParaRPr lang="nl-NL" sz="14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0.46347</cdr:x>
      <cdr:y>0.5352</cdr:y>
    </cdr:from>
    <cdr:to>
      <cdr:x>0.65676</cdr:x>
      <cdr:y>0.6235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7F309CCD-853F-265B-B2BB-367FB3EBB323}"/>
            </a:ext>
          </a:extLst>
        </cdr:cNvPr>
        <cdr:cNvSpPr txBox="1"/>
      </cdr:nvSpPr>
      <cdr:spPr>
        <a:xfrm xmlns:a="http://schemas.openxmlformats.org/drawingml/2006/main">
          <a:off x="3358382" y="2423327"/>
          <a:ext cx="1400629" cy="3998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B050"/>
              </a:solidFill>
            </a:rPr>
            <a:t>Vaccinaties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0.34776</cdr:x>
      <cdr:y>0.11533</cdr:y>
    </cdr:from>
    <cdr:to>
      <cdr:x>0.47328</cdr:x>
      <cdr:y>0.20825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077795EF-B832-8B36-84D6-27194DFBD333}"/>
            </a:ext>
          </a:extLst>
        </cdr:cNvPr>
        <cdr:cNvSpPr txBox="1"/>
      </cdr:nvSpPr>
      <cdr:spPr>
        <a:xfrm xmlns:a="http://schemas.openxmlformats.org/drawingml/2006/main">
          <a:off x="2519902" y="522210"/>
          <a:ext cx="909536" cy="4207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>
              <a:solidFill>
                <a:srgbClr val="0070C0"/>
              </a:solidFill>
            </a:rPr>
            <a:t>RIVM</a:t>
          </a:r>
        </a:p>
      </cdr:txBody>
    </cdr:sp>
  </cdr:relSizeAnchor>
  <cdr:relSizeAnchor xmlns:cdr="http://schemas.openxmlformats.org/drawingml/2006/chartDrawing">
    <cdr:from>
      <cdr:x>0.31813</cdr:x>
      <cdr:y>0.26049</cdr:y>
    </cdr:from>
    <cdr:to>
      <cdr:x>0.62649</cdr:x>
      <cdr:y>0.34879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734532AF-74F2-796F-8F2D-0713F3C7B6B9}"/>
            </a:ext>
          </a:extLst>
        </cdr:cNvPr>
        <cdr:cNvSpPr txBox="1"/>
      </cdr:nvSpPr>
      <cdr:spPr>
        <a:xfrm xmlns:a="http://schemas.openxmlformats.org/drawingml/2006/main" rot="21009059">
          <a:off x="2305199" y="1179468"/>
          <a:ext cx="2234442" cy="399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Gevaccineerd</a:t>
          </a:r>
          <a:r>
            <a:rPr lang="nl-NL" sz="1400" baseline="0">
              <a:solidFill>
                <a:schemeClr val="tx1"/>
              </a:solidFill>
            </a:rPr>
            <a:t> overleden</a:t>
          </a:r>
          <a:endParaRPr lang="nl-NL" sz="1400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29633</xdr:colOff>
      <xdr:row>3</xdr:row>
      <xdr:rowOff>33867</xdr:rowOff>
    </xdr:from>
    <xdr:to>
      <xdr:col>20</xdr:col>
      <xdr:colOff>658284</xdr:colOff>
      <xdr:row>26</xdr:row>
      <xdr:rowOff>46567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B096A19-548E-2F4D-897F-6E73D9DD8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23989</xdr:colOff>
      <xdr:row>29</xdr:row>
      <xdr:rowOff>167922</xdr:rowOff>
    </xdr:from>
    <xdr:to>
      <xdr:col>20</xdr:col>
      <xdr:colOff>659695</xdr:colOff>
      <xdr:row>52</xdr:row>
      <xdr:rowOff>180622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5D95A55-6F6A-4641-ACDA-FAF6B6ED8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829734</xdr:colOff>
      <xdr:row>55</xdr:row>
      <xdr:rowOff>63500</xdr:rowOff>
    </xdr:from>
    <xdr:to>
      <xdr:col>20</xdr:col>
      <xdr:colOff>632884</xdr:colOff>
      <xdr:row>78</xdr:row>
      <xdr:rowOff>76200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C2C0DE98-9F63-6047-9ACB-1C76E9742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815622</xdr:colOff>
      <xdr:row>30</xdr:row>
      <xdr:rowOff>39511</xdr:rowOff>
    </xdr:from>
    <xdr:to>
      <xdr:col>29</xdr:col>
      <xdr:colOff>618772</xdr:colOff>
      <xdr:row>53</xdr:row>
      <xdr:rowOff>52211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B828CFD-4ECD-FD46-96DA-4501FCEC7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30</xdr:row>
      <xdr:rowOff>0</xdr:rowOff>
    </xdr:from>
    <xdr:to>
      <xdr:col>38</xdr:col>
      <xdr:colOff>628650</xdr:colOff>
      <xdr:row>53</xdr:row>
      <xdr:rowOff>12700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D68A4D84-7651-E44C-83BF-6E390556E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81</xdr:row>
      <xdr:rowOff>0</xdr:rowOff>
    </xdr:from>
    <xdr:to>
      <xdr:col>20</xdr:col>
      <xdr:colOff>635219</xdr:colOff>
      <xdr:row>104</xdr:row>
      <xdr:rowOff>12700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D49AC0AF-8CBA-FD40-8841-96E426751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0.4144</cdr:x>
      <cdr:y>0.66667</cdr:y>
    </cdr:from>
    <cdr:to>
      <cdr:x>0.63565</cdr:x>
      <cdr:y>0.75881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518CE5F1-5FE0-4475-A0C5-242CD050E0F5}"/>
            </a:ext>
          </a:extLst>
        </cdr:cNvPr>
        <cdr:cNvSpPr txBox="1"/>
      </cdr:nvSpPr>
      <cdr:spPr>
        <a:xfrm xmlns:a="http://schemas.openxmlformats.org/drawingml/2006/main" rot="1289081">
          <a:off x="2997200" y="3124200"/>
          <a:ext cx="1600200" cy="431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FF0000"/>
              </a:solidFill>
            </a:rPr>
            <a:t>Corona totaal</a:t>
          </a:r>
        </a:p>
      </cdr:txBody>
    </cdr:sp>
  </cdr:relSizeAnchor>
  <cdr:relSizeAnchor xmlns:cdr="http://schemas.openxmlformats.org/drawingml/2006/chartDrawing">
    <cdr:from>
      <cdr:x>0.56014</cdr:x>
      <cdr:y>0.81843</cdr:y>
    </cdr:from>
    <cdr:to>
      <cdr:x>0.78139</cdr:x>
      <cdr:y>0.91057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2AD7B883-063B-993D-D7F4-61A08634B7C1}"/>
            </a:ext>
          </a:extLst>
        </cdr:cNvPr>
        <cdr:cNvSpPr txBox="1"/>
      </cdr:nvSpPr>
      <cdr:spPr>
        <a:xfrm xmlns:a="http://schemas.openxmlformats.org/drawingml/2006/main">
          <a:off x="4051300" y="3835400"/>
          <a:ext cx="1600200" cy="431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B050"/>
              </a:solidFill>
            </a:rPr>
            <a:t>Corona gevaccineerd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0.33695</cdr:x>
      <cdr:y>0.70887</cdr:y>
    </cdr:from>
    <cdr:to>
      <cdr:x>0.5582</cdr:x>
      <cdr:y>0.80101</cdr:y>
    </cdr:to>
    <cdr:sp macro="" textlink="">
      <cdr:nvSpPr>
        <cdr:cNvPr id="3" name="Tekstvak 2">
          <a:extLst xmlns:a="http://schemas.openxmlformats.org/drawingml/2006/main">
            <a:ext uri="{FF2B5EF4-FFF2-40B4-BE49-F238E27FC236}">
              <a16:creationId xmlns:a16="http://schemas.microsoft.com/office/drawing/2014/main" id="{4E43F0C7-36E2-0F8D-5FE7-3C6D210BDA76}"/>
            </a:ext>
          </a:extLst>
        </cdr:cNvPr>
        <cdr:cNvSpPr txBox="1"/>
      </cdr:nvSpPr>
      <cdr:spPr>
        <a:xfrm xmlns:a="http://schemas.openxmlformats.org/drawingml/2006/main" rot="1250292">
          <a:off x="2428299" y="3303146"/>
          <a:ext cx="1594476" cy="429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>
              <a:solidFill>
                <a:srgbClr val="FF0000"/>
              </a:solidFill>
            </a:rPr>
            <a:t>Corona totaal</a:t>
          </a:r>
        </a:p>
      </cdr:txBody>
    </cdr:sp>
  </cdr:relSizeAnchor>
  <cdr:relSizeAnchor xmlns:cdr="http://schemas.openxmlformats.org/drawingml/2006/chartDrawing">
    <cdr:from>
      <cdr:x>0.34419</cdr:x>
      <cdr:y>0.47193</cdr:y>
    </cdr:from>
    <cdr:to>
      <cdr:x>0.56544</cdr:x>
      <cdr:y>0.56408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579B5C35-446D-E156-6F91-A035424D6106}"/>
            </a:ext>
          </a:extLst>
        </cdr:cNvPr>
        <cdr:cNvSpPr txBox="1"/>
      </cdr:nvSpPr>
      <cdr:spPr>
        <a:xfrm xmlns:a="http://schemas.openxmlformats.org/drawingml/2006/main" rot="1932582">
          <a:off x="2480479" y="2199060"/>
          <a:ext cx="1594477" cy="4293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B050"/>
              </a:solidFill>
            </a:rPr>
            <a:t>% Alle overlijdens 1 prik</a:t>
          </a:r>
        </a:p>
      </cdr:txBody>
    </cdr:sp>
  </cdr:relSizeAnchor>
  <cdr:relSizeAnchor xmlns:cdr="http://schemas.openxmlformats.org/drawingml/2006/chartDrawing">
    <cdr:from>
      <cdr:x>0.44529</cdr:x>
      <cdr:y>0.08285</cdr:y>
    </cdr:from>
    <cdr:to>
      <cdr:x>0.50499</cdr:x>
      <cdr:y>0.42431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9B517F78-F468-B4E3-E549-1907098A05BC}"/>
            </a:ext>
          </a:extLst>
        </cdr:cNvPr>
        <cdr:cNvSpPr txBox="1"/>
      </cdr:nvSpPr>
      <cdr:spPr>
        <a:xfrm xmlns:a="http://schemas.openxmlformats.org/drawingml/2006/main" rot="3198310">
          <a:off x="2628651" y="966494"/>
          <a:ext cx="1591117" cy="4302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% Corona overlijdens 1 prik</a:t>
          </a:r>
        </a:p>
      </cdr:txBody>
    </cdr:sp>
  </cdr:relSizeAnchor>
  <cdr:relSizeAnchor xmlns:cdr="http://schemas.openxmlformats.org/drawingml/2006/chartDrawing">
    <cdr:from>
      <cdr:x>0.09917</cdr:x>
      <cdr:y>0.6582</cdr:y>
    </cdr:from>
    <cdr:to>
      <cdr:x>0.32042</cdr:x>
      <cdr:y>0.75034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63A44941-9152-4A16-1E95-4DB7D3E8786E}"/>
            </a:ext>
          </a:extLst>
        </cdr:cNvPr>
        <cdr:cNvSpPr txBox="1"/>
      </cdr:nvSpPr>
      <cdr:spPr>
        <a:xfrm xmlns:a="http://schemas.openxmlformats.org/drawingml/2006/main" rot="2615973">
          <a:off x="714663" y="3067049"/>
          <a:ext cx="1594476" cy="4293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Oversterfte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0.59702</cdr:x>
      <cdr:y>0.73171</cdr:y>
    </cdr:from>
    <cdr:to>
      <cdr:x>0.81827</cdr:x>
      <cdr:y>0.82385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518CE5F1-5FE0-4475-A0C5-242CD050E0F5}"/>
            </a:ext>
          </a:extLst>
        </cdr:cNvPr>
        <cdr:cNvSpPr txBox="1"/>
      </cdr:nvSpPr>
      <cdr:spPr>
        <a:xfrm xmlns:a="http://schemas.openxmlformats.org/drawingml/2006/main">
          <a:off x="4318010" y="3429016"/>
          <a:ext cx="1600224" cy="431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FF0000"/>
              </a:solidFill>
            </a:rPr>
            <a:t>Corona totaal</a:t>
          </a:r>
        </a:p>
      </cdr:txBody>
    </cdr:sp>
  </cdr:relSizeAnchor>
  <cdr:relSizeAnchor xmlns:cdr="http://schemas.openxmlformats.org/drawingml/2006/chartDrawing">
    <cdr:from>
      <cdr:x>0.3863</cdr:x>
      <cdr:y>0.38483</cdr:y>
    </cdr:from>
    <cdr:to>
      <cdr:x>0.60755</cdr:x>
      <cdr:y>0.47697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3799FD60-4AEF-2ED1-9ED0-8F5C055E1289}"/>
            </a:ext>
          </a:extLst>
        </cdr:cNvPr>
        <cdr:cNvSpPr txBox="1"/>
      </cdr:nvSpPr>
      <cdr:spPr>
        <a:xfrm xmlns:a="http://schemas.openxmlformats.org/drawingml/2006/main" rot="19413500">
          <a:off x="2793986" y="1803415"/>
          <a:ext cx="1600224" cy="431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% corona  gevaccineerd</a:t>
          </a:r>
        </a:p>
      </cdr:txBody>
    </cdr:sp>
  </cdr:relSizeAnchor>
  <cdr:relSizeAnchor xmlns:cdr="http://schemas.openxmlformats.org/drawingml/2006/chartDrawing">
    <cdr:from>
      <cdr:x>0.18262</cdr:x>
      <cdr:y>0.84824</cdr:y>
    </cdr:from>
    <cdr:to>
      <cdr:x>0.40387</cdr:x>
      <cdr:y>0.94038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62F036B7-9610-3E8A-7C3F-5032E4E52195}"/>
            </a:ext>
          </a:extLst>
        </cdr:cNvPr>
        <cdr:cNvSpPr txBox="1"/>
      </cdr:nvSpPr>
      <cdr:spPr>
        <a:xfrm xmlns:a="http://schemas.openxmlformats.org/drawingml/2006/main">
          <a:off x="1320800" y="3975100"/>
          <a:ext cx="1600224" cy="431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B050"/>
              </a:solidFill>
            </a:rPr>
            <a:t>% 80+  gevaccineerd</a:t>
          </a:r>
        </a:p>
      </cdr:txBody>
    </cdr:sp>
  </cdr:relSizeAnchor>
  <cdr:relSizeAnchor xmlns:cdr="http://schemas.openxmlformats.org/drawingml/2006/chartDrawing">
    <cdr:from>
      <cdr:x>0.28797</cdr:x>
      <cdr:y>0.23306</cdr:y>
    </cdr:from>
    <cdr:to>
      <cdr:x>0.50922</cdr:x>
      <cdr:y>0.3252</cdr:y>
    </cdr:to>
    <cdr:sp macro="" textlink="">
      <cdr:nvSpPr>
        <cdr:cNvPr id="6" name="Tekstvak 1">
          <a:extLst xmlns:a="http://schemas.openxmlformats.org/drawingml/2006/main">
            <a:ext uri="{FF2B5EF4-FFF2-40B4-BE49-F238E27FC236}">
              <a16:creationId xmlns:a16="http://schemas.microsoft.com/office/drawing/2014/main" id="{E0280CFA-BA63-537F-3BE7-9BE2BBF1B095}"/>
            </a:ext>
          </a:extLst>
        </cdr:cNvPr>
        <cdr:cNvSpPr txBox="1"/>
      </cdr:nvSpPr>
      <cdr:spPr>
        <a:xfrm xmlns:a="http://schemas.openxmlformats.org/drawingml/2006/main" rot="21309871">
          <a:off x="2082801" y="1092201"/>
          <a:ext cx="1600224" cy="431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% ACM  gevaccineerd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0.4603</cdr:x>
      <cdr:y>0.47193</cdr:y>
    </cdr:from>
    <cdr:to>
      <cdr:x>0.68155</cdr:x>
      <cdr:y>0.56408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579B5C35-446D-E156-6F91-A035424D6106}"/>
            </a:ext>
          </a:extLst>
        </cdr:cNvPr>
        <cdr:cNvSpPr txBox="1"/>
      </cdr:nvSpPr>
      <cdr:spPr>
        <a:xfrm xmlns:a="http://schemas.openxmlformats.org/drawingml/2006/main" rot="1532937">
          <a:off x="3356422" y="2224283"/>
          <a:ext cx="1613304" cy="4343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B050"/>
              </a:solidFill>
            </a:rPr>
            <a:t>% Alle overlijdens</a:t>
          </a:r>
        </a:p>
      </cdr:txBody>
    </cdr:sp>
  </cdr:relSizeAnchor>
  <cdr:relSizeAnchor xmlns:cdr="http://schemas.openxmlformats.org/drawingml/2006/chartDrawing">
    <cdr:from>
      <cdr:x>0.54138</cdr:x>
      <cdr:y>0.11073</cdr:y>
    </cdr:from>
    <cdr:to>
      <cdr:x>0.60108</cdr:x>
      <cdr:y>0.45219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9B517F78-F468-B4E3-E549-1907098A05BC}"/>
            </a:ext>
          </a:extLst>
        </cdr:cNvPr>
        <cdr:cNvSpPr txBox="1"/>
      </cdr:nvSpPr>
      <cdr:spPr>
        <a:xfrm xmlns:a="http://schemas.openxmlformats.org/drawingml/2006/main" rot="3512438">
          <a:off x="3360622" y="1108884"/>
          <a:ext cx="1609356" cy="4353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% Corona overlijdens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628022</xdr:colOff>
      <xdr:row>3</xdr:row>
      <xdr:rowOff>187849</xdr:rowOff>
    </xdr:from>
    <xdr:to>
      <xdr:col>25</xdr:col>
      <xdr:colOff>236415</xdr:colOff>
      <xdr:row>26</xdr:row>
      <xdr:rowOff>200549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DF076173-86FC-DB77-F56C-D4A1478FF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25400</xdr:colOff>
      <xdr:row>45</xdr:row>
      <xdr:rowOff>139700</xdr:rowOff>
    </xdr:from>
    <xdr:to>
      <xdr:col>29</xdr:col>
      <xdr:colOff>457200</xdr:colOff>
      <xdr:row>68</xdr:row>
      <xdr:rowOff>152400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D17C49AB-1F69-9846-AA88-29ADC820A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71</xdr:row>
      <xdr:rowOff>197555</xdr:rowOff>
    </xdr:from>
    <xdr:to>
      <xdr:col>28</xdr:col>
      <xdr:colOff>564444</xdr:colOff>
      <xdr:row>95</xdr:row>
      <xdr:rowOff>112888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184B3-9417-8F47-A237-14A3DE2C3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131786</xdr:colOff>
      <xdr:row>2</xdr:row>
      <xdr:rowOff>12700</xdr:rowOff>
    </xdr:from>
    <xdr:to>
      <xdr:col>44</xdr:col>
      <xdr:colOff>563586</xdr:colOff>
      <xdr:row>25</xdr:row>
      <xdr:rowOff>25401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E601994A-BCF5-554E-8098-B10967CAA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28</xdr:row>
      <xdr:rowOff>0</xdr:rowOff>
    </xdr:from>
    <xdr:to>
      <xdr:col>44</xdr:col>
      <xdr:colOff>431800</xdr:colOff>
      <xdr:row>51</xdr:row>
      <xdr:rowOff>12701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51CC2287-FFF3-3042-BCCA-41320FDD3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52</xdr:row>
      <xdr:rowOff>0</xdr:rowOff>
    </xdr:from>
    <xdr:to>
      <xdr:col>44</xdr:col>
      <xdr:colOff>431800</xdr:colOff>
      <xdr:row>75</xdr:row>
      <xdr:rowOff>12700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417FCABC-0B36-5144-ACDC-C2684AC0B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0.54443</cdr:x>
      <cdr:y>0.50949</cdr:y>
    </cdr:from>
    <cdr:to>
      <cdr:x>0.73021</cdr:x>
      <cdr:y>0.58266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1FB7925F-4424-DCA7-5D26-1498D6BF7F08}"/>
            </a:ext>
          </a:extLst>
        </cdr:cNvPr>
        <cdr:cNvSpPr txBox="1"/>
      </cdr:nvSpPr>
      <cdr:spPr>
        <a:xfrm xmlns:a="http://schemas.openxmlformats.org/drawingml/2006/main">
          <a:off x="4279900" y="2387600"/>
          <a:ext cx="14605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Ongevaccineerd</a:t>
          </a:r>
        </a:p>
      </cdr:txBody>
    </cdr:sp>
  </cdr:relSizeAnchor>
  <cdr:relSizeAnchor xmlns:cdr="http://schemas.openxmlformats.org/drawingml/2006/chartDrawing">
    <cdr:from>
      <cdr:x>0.49596</cdr:x>
      <cdr:y>0.73984</cdr:y>
    </cdr:from>
    <cdr:to>
      <cdr:x>0.68174</cdr:x>
      <cdr:y>0.81301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0E12A303-28CF-D7F8-A00A-20F5DA4FDFB5}"/>
            </a:ext>
          </a:extLst>
        </cdr:cNvPr>
        <cdr:cNvSpPr txBox="1"/>
      </cdr:nvSpPr>
      <cdr:spPr>
        <a:xfrm xmlns:a="http://schemas.openxmlformats.org/drawingml/2006/main">
          <a:off x="3898900" y="3467100"/>
          <a:ext cx="14605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Gevaccineerd</a:t>
          </a:r>
        </a:p>
      </cdr:txBody>
    </cdr:sp>
  </cdr:relSizeAnchor>
  <cdr:relSizeAnchor xmlns:cdr="http://schemas.openxmlformats.org/drawingml/2006/chartDrawing">
    <cdr:from>
      <cdr:x>0.25525</cdr:x>
      <cdr:y>0.25203</cdr:y>
    </cdr:from>
    <cdr:to>
      <cdr:x>0.29887</cdr:x>
      <cdr:y>0.56369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0E12A303-28CF-D7F8-A00A-20F5DA4FDFB5}"/>
            </a:ext>
          </a:extLst>
        </cdr:cNvPr>
        <cdr:cNvSpPr txBox="1"/>
      </cdr:nvSpPr>
      <cdr:spPr>
        <a:xfrm xmlns:a="http://schemas.openxmlformats.org/drawingml/2006/main" rot="17029389">
          <a:off x="1447800" y="1739900"/>
          <a:ext cx="14605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Ongevaccineerd</a:t>
          </a:r>
        </a:p>
      </cdr:txBody>
    </cdr:sp>
  </cdr:relSizeAnchor>
  <cdr:relSizeAnchor xmlns:cdr="http://schemas.openxmlformats.org/drawingml/2006/chartDrawing">
    <cdr:from>
      <cdr:x>0.30695</cdr:x>
      <cdr:y>0.32249</cdr:y>
    </cdr:from>
    <cdr:to>
      <cdr:x>0.35057</cdr:x>
      <cdr:y>0.63415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A75C31D8-ECFF-2FDF-7ED6-4838570A1620}"/>
            </a:ext>
          </a:extLst>
        </cdr:cNvPr>
        <cdr:cNvSpPr txBox="1"/>
      </cdr:nvSpPr>
      <cdr:spPr>
        <a:xfrm xmlns:a="http://schemas.openxmlformats.org/drawingml/2006/main" rot="16981972">
          <a:off x="1854200" y="2070100"/>
          <a:ext cx="14605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Gevaccineerd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0.25999</cdr:x>
      <cdr:y>0.47512</cdr:y>
    </cdr:from>
    <cdr:to>
      <cdr:x>0.44113</cdr:x>
      <cdr:y>0.55016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0E12A303-28CF-D7F8-A00A-20F5DA4FDFB5}"/>
            </a:ext>
          </a:extLst>
        </cdr:cNvPr>
        <cdr:cNvSpPr txBox="1"/>
      </cdr:nvSpPr>
      <cdr:spPr>
        <a:xfrm xmlns:a="http://schemas.openxmlformats.org/drawingml/2006/main">
          <a:off x="2041919" y="2168862"/>
          <a:ext cx="1422698" cy="3425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Ongevaccineerd</a:t>
          </a:r>
        </a:p>
      </cdr:txBody>
    </cdr:sp>
  </cdr:relSizeAnchor>
  <cdr:relSizeAnchor xmlns:cdr="http://schemas.openxmlformats.org/drawingml/2006/chartDrawing">
    <cdr:from>
      <cdr:x>0.246</cdr:x>
      <cdr:y>0.24775</cdr:y>
    </cdr:from>
    <cdr:to>
      <cdr:x>0.42714</cdr:x>
      <cdr:y>0.3228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A75C31D8-ECFF-2FDF-7ED6-4838570A1620}"/>
            </a:ext>
          </a:extLst>
        </cdr:cNvPr>
        <cdr:cNvSpPr txBox="1"/>
      </cdr:nvSpPr>
      <cdr:spPr>
        <a:xfrm xmlns:a="http://schemas.openxmlformats.org/drawingml/2006/main">
          <a:off x="1949468" y="1128883"/>
          <a:ext cx="1435546" cy="3419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Gevaccineerd</a:t>
          </a:r>
        </a:p>
      </cdr:txBody>
    </cdr:sp>
  </cdr:relSizeAnchor>
  <cdr:relSizeAnchor xmlns:cdr="http://schemas.openxmlformats.org/drawingml/2006/chartDrawing">
    <cdr:from>
      <cdr:x>0.06836</cdr:x>
      <cdr:y>0.44848</cdr:y>
    </cdr:from>
    <cdr:to>
      <cdr:x>0.95703</cdr:x>
      <cdr:y>0.45152</cdr:y>
    </cdr:to>
    <cdr:cxnSp macro="">
      <cdr:nvCxnSpPr>
        <cdr:cNvPr id="7" name="Rechte verbindingslijn 6">
          <a:extLst xmlns:a="http://schemas.openxmlformats.org/drawingml/2006/main">
            <a:ext uri="{FF2B5EF4-FFF2-40B4-BE49-F238E27FC236}">
              <a16:creationId xmlns:a16="http://schemas.microsoft.com/office/drawing/2014/main" id="{2106910A-CB8F-A21A-42B8-24B292C833C7}"/>
            </a:ext>
          </a:extLst>
        </cdr:cNvPr>
        <cdr:cNvCxnSpPr/>
      </cdr:nvCxnSpPr>
      <cdr:spPr>
        <a:xfrm xmlns:a="http://schemas.openxmlformats.org/drawingml/2006/main" flipV="1">
          <a:off x="493889" y="2088445"/>
          <a:ext cx="6420556" cy="14112"/>
        </a:xfrm>
        <a:prstGeom xmlns:a="http://schemas.openxmlformats.org/drawingml/2006/main" prst="line">
          <a:avLst/>
        </a:prstGeom>
        <a:ln xmlns:a="http://schemas.openxmlformats.org/drawingml/2006/main" w="50800">
          <a:solidFill>
            <a:schemeClr val="tx1">
              <a:alpha val="27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0.60844</cdr:x>
      <cdr:y>0.15176</cdr:y>
    </cdr:from>
    <cdr:to>
      <cdr:x>0.72475</cdr:x>
      <cdr:y>0.23848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83BE5CF0-7733-F5CC-223D-1D2EC1F5F973}"/>
            </a:ext>
          </a:extLst>
        </cdr:cNvPr>
        <cdr:cNvSpPr txBox="1"/>
      </cdr:nvSpPr>
      <cdr:spPr>
        <a:xfrm xmlns:a="http://schemas.openxmlformats.org/drawingml/2006/main">
          <a:off x="4783114" y="7112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/>
            <a:t>1360</a:t>
          </a:r>
        </a:p>
      </cdr:txBody>
    </cdr:sp>
  </cdr:relSizeAnchor>
  <cdr:relSizeAnchor xmlns:cdr="http://schemas.openxmlformats.org/drawingml/2006/chartDrawing">
    <cdr:from>
      <cdr:x>0.60743</cdr:x>
      <cdr:y>0.30894</cdr:y>
    </cdr:from>
    <cdr:to>
      <cdr:x>0.72375</cdr:x>
      <cdr:y>0.39566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5B0F21F7-0BB1-695E-2224-9227822B9C5E}"/>
            </a:ext>
          </a:extLst>
        </cdr:cNvPr>
        <cdr:cNvSpPr txBox="1"/>
      </cdr:nvSpPr>
      <cdr:spPr>
        <a:xfrm xmlns:a="http://schemas.openxmlformats.org/drawingml/2006/main">
          <a:off x="4775200" y="14478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/>
            <a:t>1080</a:t>
          </a:r>
        </a:p>
      </cdr:txBody>
    </cdr:sp>
  </cdr:relSizeAnchor>
  <cdr:relSizeAnchor xmlns:cdr="http://schemas.openxmlformats.org/drawingml/2006/chartDrawing">
    <cdr:from>
      <cdr:x>0.61874</cdr:x>
      <cdr:y>0.67751</cdr:y>
    </cdr:from>
    <cdr:to>
      <cdr:x>0.73506</cdr:x>
      <cdr:y>0.76423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5B0F21F7-0BB1-695E-2224-9227822B9C5E}"/>
            </a:ext>
          </a:extLst>
        </cdr:cNvPr>
        <cdr:cNvSpPr txBox="1"/>
      </cdr:nvSpPr>
      <cdr:spPr>
        <a:xfrm xmlns:a="http://schemas.openxmlformats.org/drawingml/2006/main">
          <a:off x="4864100" y="31750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/>
            <a:t>351</a:t>
          </a:r>
        </a:p>
      </cdr:txBody>
    </cdr:sp>
  </cdr:relSizeAnchor>
  <cdr:relSizeAnchor xmlns:cdr="http://schemas.openxmlformats.org/drawingml/2006/chartDrawing">
    <cdr:from>
      <cdr:x>0.55139</cdr:x>
      <cdr:y>0.24769</cdr:y>
    </cdr:from>
    <cdr:to>
      <cdr:x>0.59515</cdr:x>
      <cdr:y>0.51943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A0F429F4-F311-5D5F-711C-970A5CA7007D}"/>
            </a:ext>
          </a:extLst>
        </cdr:cNvPr>
        <cdr:cNvSpPr txBox="1"/>
      </cdr:nvSpPr>
      <cdr:spPr>
        <a:xfrm xmlns:a="http://schemas.openxmlformats.org/drawingml/2006/main" rot="18127172">
          <a:off x="3872118" y="1659006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/>
            <a:t>Oversterfte</a:t>
          </a:r>
        </a:p>
      </cdr:txBody>
    </cdr:sp>
  </cdr:relSizeAnchor>
  <cdr:relSizeAnchor xmlns:cdr="http://schemas.openxmlformats.org/drawingml/2006/chartDrawing">
    <cdr:from>
      <cdr:x>0.60247</cdr:x>
      <cdr:y>0.35806</cdr:y>
    </cdr:from>
    <cdr:to>
      <cdr:x>0.64623</cdr:x>
      <cdr:y>0.6298</cdr:y>
    </cdr:to>
    <cdr:sp macro="" textlink="">
      <cdr:nvSpPr>
        <cdr:cNvPr id="6" name="Tekstvak 1">
          <a:extLst xmlns:a="http://schemas.openxmlformats.org/drawingml/2006/main">
            <a:ext uri="{FF2B5EF4-FFF2-40B4-BE49-F238E27FC236}">
              <a16:creationId xmlns:a16="http://schemas.microsoft.com/office/drawing/2014/main" id="{BA54E275-4077-1A50-ED24-05E41879F892}"/>
            </a:ext>
          </a:extLst>
        </cdr:cNvPr>
        <cdr:cNvSpPr txBox="1"/>
      </cdr:nvSpPr>
      <cdr:spPr>
        <a:xfrm xmlns:a="http://schemas.openxmlformats.org/drawingml/2006/main" rot="17642650">
          <a:off x="4274929" y="2186055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Corona CBS</a:t>
          </a:r>
        </a:p>
      </cdr:txBody>
    </cdr:sp>
  </cdr:relSizeAnchor>
  <cdr:relSizeAnchor xmlns:cdr="http://schemas.openxmlformats.org/drawingml/2006/chartDrawing">
    <cdr:from>
      <cdr:x>0.50357</cdr:x>
      <cdr:y>0.73821</cdr:y>
    </cdr:from>
    <cdr:to>
      <cdr:x>0.66811</cdr:x>
      <cdr:y>0.81048</cdr:y>
    </cdr:to>
    <cdr:sp macro="" textlink="">
      <cdr:nvSpPr>
        <cdr:cNvPr id="7" name="Tekstvak 1">
          <a:extLst xmlns:a="http://schemas.openxmlformats.org/drawingml/2006/main">
            <a:ext uri="{FF2B5EF4-FFF2-40B4-BE49-F238E27FC236}">
              <a16:creationId xmlns:a16="http://schemas.microsoft.com/office/drawing/2014/main" id="{2EB6178E-0087-2596-6A0F-8EB1C5ED751E}"/>
            </a:ext>
          </a:extLst>
        </cdr:cNvPr>
        <cdr:cNvSpPr txBox="1"/>
      </cdr:nvSpPr>
      <cdr:spPr>
        <a:xfrm xmlns:a="http://schemas.openxmlformats.org/drawingml/2006/main" rot="19681658">
          <a:off x="3971233" y="3525080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Corona GGD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0.5899</cdr:x>
      <cdr:y>0.8432</cdr:y>
    </cdr:from>
    <cdr:to>
      <cdr:x>0.76845</cdr:x>
      <cdr:y>0.93374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D4FA3DF2-2112-A5A6-49CA-D5B96A0CC9AB}"/>
            </a:ext>
          </a:extLst>
        </cdr:cNvPr>
        <cdr:cNvSpPr txBox="1"/>
      </cdr:nvSpPr>
      <cdr:spPr>
        <a:xfrm xmlns:a="http://schemas.openxmlformats.org/drawingml/2006/main">
          <a:off x="4652064" y="4026453"/>
          <a:ext cx="1408044" cy="4323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Corona</a:t>
          </a:r>
          <a:r>
            <a:rPr lang="nl-NL" sz="1400" b="1" baseline="0">
              <a:solidFill>
                <a:srgbClr val="FF0000"/>
              </a:solidFill>
            </a:rPr>
            <a:t> </a:t>
          </a:r>
          <a:r>
            <a:rPr lang="nl-NL" sz="1400" b="1">
              <a:solidFill>
                <a:srgbClr val="FF0000"/>
              </a:solidFill>
            </a:rPr>
            <a:t>als VE=60%</a:t>
          </a:r>
        </a:p>
      </cdr:txBody>
    </cdr:sp>
  </cdr:relSizeAnchor>
  <cdr:relSizeAnchor xmlns:cdr="http://schemas.openxmlformats.org/drawingml/2006/chartDrawing">
    <cdr:from>
      <cdr:x>0.56977</cdr:x>
      <cdr:y>0.21248</cdr:y>
    </cdr:from>
    <cdr:to>
      <cdr:x>0.61353</cdr:x>
      <cdr:y>0.48422</cdr:y>
    </cdr:to>
    <cdr:sp macro="" textlink="">
      <cdr:nvSpPr>
        <cdr:cNvPr id="3" name="Tekstvak 2">
          <a:extLst xmlns:a="http://schemas.openxmlformats.org/drawingml/2006/main">
            <a:ext uri="{FF2B5EF4-FFF2-40B4-BE49-F238E27FC236}">
              <a16:creationId xmlns:a16="http://schemas.microsoft.com/office/drawing/2014/main" id="{654BB8E6-ACC3-1AB0-2E8C-FA7DF24BD5EB}"/>
            </a:ext>
          </a:extLst>
        </cdr:cNvPr>
        <cdr:cNvSpPr txBox="1"/>
      </cdr:nvSpPr>
      <cdr:spPr>
        <a:xfrm xmlns:a="http://schemas.openxmlformats.org/drawingml/2006/main" rot="18127172">
          <a:off x="4017066" y="1490868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 b="1"/>
            <a:t>Oversterfte</a:t>
          </a:r>
        </a:p>
      </cdr:txBody>
    </cdr:sp>
  </cdr:relSizeAnchor>
  <cdr:relSizeAnchor xmlns:cdr="http://schemas.openxmlformats.org/drawingml/2006/chartDrawing">
    <cdr:from>
      <cdr:x>0.61035</cdr:x>
      <cdr:y>0.32574</cdr:y>
    </cdr:from>
    <cdr:to>
      <cdr:x>0.65411</cdr:x>
      <cdr:y>0.59748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3D6E6EC5-D71D-97DB-9720-19362D50EDE1}"/>
            </a:ext>
          </a:extLst>
        </cdr:cNvPr>
        <cdr:cNvSpPr txBox="1"/>
      </cdr:nvSpPr>
      <cdr:spPr>
        <a:xfrm xmlns:a="http://schemas.openxmlformats.org/drawingml/2006/main" rot="17709445">
          <a:off x="4337052" y="2031721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Corona CBS</a:t>
          </a:r>
        </a:p>
      </cdr:txBody>
    </cdr:sp>
  </cdr:relSizeAnchor>
  <cdr:relSizeAnchor xmlns:cdr="http://schemas.openxmlformats.org/drawingml/2006/chartDrawing">
    <cdr:from>
      <cdr:x>0.54996</cdr:x>
      <cdr:y>0.68276</cdr:y>
    </cdr:from>
    <cdr:to>
      <cdr:x>0.7145</cdr:x>
      <cdr:y>0.75503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3D6E6EC5-D71D-97DB-9720-19362D50EDE1}"/>
            </a:ext>
          </a:extLst>
        </cdr:cNvPr>
        <cdr:cNvSpPr txBox="1"/>
      </cdr:nvSpPr>
      <cdr:spPr>
        <a:xfrm xmlns:a="http://schemas.openxmlformats.org/drawingml/2006/main" rot="19681658">
          <a:off x="4337051" y="3260310"/>
          <a:ext cx="1297608" cy="34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Corona GGD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0.51858</cdr:x>
      <cdr:y>0.28455</cdr:y>
    </cdr:from>
    <cdr:to>
      <cdr:x>0.5622</cdr:x>
      <cdr:y>0.59621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0E12A303-28CF-D7F8-A00A-20F5DA4FDFB5}"/>
            </a:ext>
          </a:extLst>
        </cdr:cNvPr>
        <cdr:cNvSpPr txBox="1"/>
      </cdr:nvSpPr>
      <cdr:spPr>
        <a:xfrm xmlns:a="http://schemas.openxmlformats.org/drawingml/2006/main" rot="17627128">
          <a:off x="3517886" y="1892298"/>
          <a:ext cx="1460532" cy="3429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Ongevaccineerd</a:t>
          </a:r>
        </a:p>
      </cdr:txBody>
    </cdr:sp>
  </cdr:relSizeAnchor>
  <cdr:relSizeAnchor xmlns:cdr="http://schemas.openxmlformats.org/drawingml/2006/chartDrawing">
    <cdr:from>
      <cdr:x>0.58966</cdr:x>
      <cdr:y>0.37127</cdr:y>
    </cdr:from>
    <cdr:to>
      <cdr:x>0.63328</cdr:x>
      <cdr:y>0.68293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A75C31D8-ECFF-2FDF-7ED6-4838570A1620}"/>
            </a:ext>
          </a:extLst>
        </cdr:cNvPr>
        <cdr:cNvSpPr txBox="1"/>
      </cdr:nvSpPr>
      <cdr:spPr>
        <a:xfrm xmlns:a="http://schemas.openxmlformats.org/drawingml/2006/main" rot="17448152">
          <a:off x="4076715" y="2298696"/>
          <a:ext cx="1460532" cy="3429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70C0"/>
              </a:solidFill>
            </a:rPr>
            <a:t>Gevaccineerd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44450</xdr:colOff>
      <xdr:row>4</xdr:row>
      <xdr:rowOff>152400</xdr:rowOff>
    </xdr:from>
    <xdr:to>
      <xdr:col>37</xdr:col>
      <xdr:colOff>622300</xdr:colOff>
      <xdr:row>28</xdr:row>
      <xdr:rowOff>12700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BF94DF44-7649-B39F-74B5-92B798801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762000</xdr:colOff>
      <xdr:row>4</xdr:row>
      <xdr:rowOff>101600</xdr:rowOff>
    </xdr:from>
    <xdr:to>
      <xdr:col>47</xdr:col>
      <xdr:colOff>488950</xdr:colOff>
      <xdr:row>27</xdr:row>
      <xdr:rowOff>165100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F047A38-98CF-4D4C-85C1-B744540C6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30</xdr:row>
      <xdr:rowOff>0</xdr:rowOff>
    </xdr:from>
    <xdr:to>
      <xdr:col>37</xdr:col>
      <xdr:colOff>590550</xdr:colOff>
      <xdr:row>53</xdr:row>
      <xdr:rowOff>63500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7A2C9EFB-F113-1F4C-86D1-6A9C963EB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55</xdr:row>
      <xdr:rowOff>0</xdr:rowOff>
    </xdr:from>
    <xdr:to>
      <xdr:col>37</xdr:col>
      <xdr:colOff>590550</xdr:colOff>
      <xdr:row>78</xdr:row>
      <xdr:rowOff>63500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769FD1A1-3192-6040-AEAA-D41700365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30</xdr:row>
      <xdr:rowOff>0</xdr:rowOff>
    </xdr:from>
    <xdr:to>
      <xdr:col>47</xdr:col>
      <xdr:colOff>590550</xdr:colOff>
      <xdr:row>53</xdr:row>
      <xdr:rowOff>63500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F67E8357-6933-3C45-AAEA-A40D9414A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56</xdr:col>
      <xdr:colOff>590550</xdr:colOff>
      <xdr:row>53</xdr:row>
      <xdr:rowOff>63500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85CD378B-1513-704A-A8B7-6187DE819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272144</xdr:colOff>
      <xdr:row>57</xdr:row>
      <xdr:rowOff>18143</xdr:rowOff>
    </xdr:from>
    <xdr:to>
      <xdr:col>57</xdr:col>
      <xdr:colOff>65314</xdr:colOff>
      <xdr:row>76</xdr:row>
      <xdr:rowOff>161473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8E9ECC80-0B75-334D-B431-37A606846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326572</xdr:colOff>
      <xdr:row>7</xdr:row>
      <xdr:rowOff>101601</xdr:rowOff>
    </xdr:from>
    <xdr:to>
      <xdr:col>57</xdr:col>
      <xdr:colOff>156242</xdr:colOff>
      <xdr:row>26</xdr:row>
      <xdr:rowOff>161366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C21FC2D2-BA2B-0949-8E9C-F3EA577CD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55</xdr:row>
      <xdr:rowOff>0</xdr:rowOff>
    </xdr:from>
    <xdr:to>
      <xdr:col>47</xdr:col>
      <xdr:colOff>557987</xdr:colOff>
      <xdr:row>78</xdr:row>
      <xdr:rowOff>63500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213E449-55AE-0F4B-B63B-FBCA88542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80</xdr:row>
      <xdr:rowOff>0</xdr:rowOff>
    </xdr:from>
    <xdr:to>
      <xdr:col>37</xdr:col>
      <xdr:colOff>590550</xdr:colOff>
      <xdr:row>103</xdr:row>
      <xdr:rowOff>63500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FA301092-DD98-8E42-B4C1-0949DAEE0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762000</xdr:colOff>
      <xdr:row>80</xdr:row>
      <xdr:rowOff>152400</xdr:rowOff>
    </xdr:from>
    <xdr:to>
      <xdr:col>47</xdr:col>
      <xdr:colOff>488950</xdr:colOff>
      <xdr:row>104</xdr:row>
      <xdr:rowOff>12700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E3740C1B-F2D2-C047-8DC3-89F1284C0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152400</xdr:colOff>
      <xdr:row>80</xdr:row>
      <xdr:rowOff>50800</xdr:rowOff>
    </xdr:from>
    <xdr:to>
      <xdr:col>56</xdr:col>
      <xdr:colOff>742950</xdr:colOff>
      <xdr:row>103</xdr:row>
      <xdr:rowOff>114300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17017FE2-FCA2-0748-A790-FA2F68BEB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0</xdr:colOff>
      <xdr:row>106</xdr:row>
      <xdr:rowOff>0</xdr:rowOff>
    </xdr:from>
    <xdr:to>
      <xdr:col>47</xdr:col>
      <xdr:colOff>557987</xdr:colOff>
      <xdr:row>129</xdr:row>
      <xdr:rowOff>63500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18B16A4A-DC4F-3844-9745-8519DDA21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771071</xdr:colOff>
      <xdr:row>106</xdr:row>
      <xdr:rowOff>45357</xdr:rowOff>
    </xdr:from>
    <xdr:to>
      <xdr:col>37</xdr:col>
      <xdr:colOff>557987</xdr:colOff>
      <xdr:row>129</xdr:row>
      <xdr:rowOff>108857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AD9F2E12-C754-9048-9363-7AA4D5632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0.92586</cdr:x>
      <cdr:y>0.87936</cdr:y>
    </cdr:from>
    <cdr:to>
      <cdr:x>0.99647</cdr:x>
      <cdr:y>0.99196</cdr:y>
    </cdr:to>
    <cdr:sp macro="" textlink="">
      <cdr:nvSpPr>
        <cdr:cNvPr id="2" name="Rechthoek 1">
          <a:extLst xmlns:a="http://schemas.openxmlformats.org/drawingml/2006/main">
            <a:ext uri="{FF2B5EF4-FFF2-40B4-BE49-F238E27FC236}">
              <a16:creationId xmlns:a16="http://schemas.microsoft.com/office/drawing/2014/main" id="{6A9EF6F6-C0D5-4E31-C64A-512903BC21B6}"/>
            </a:ext>
          </a:extLst>
        </cdr:cNvPr>
        <cdr:cNvSpPr/>
      </cdr:nvSpPr>
      <cdr:spPr>
        <a:xfrm xmlns:a="http://schemas.openxmlformats.org/drawingml/2006/main">
          <a:off x="6661150" y="4165600"/>
          <a:ext cx="508000" cy="533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8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0.16771</cdr:x>
      <cdr:y>0.24957</cdr:y>
    </cdr:from>
    <cdr:to>
      <cdr:x>0.85309</cdr:x>
      <cdr:y>0.25264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88B3E4DE-7329-906F-128B-D7D2CE824BD4}"/>
            </a:ext>
          </a:extLst>
        </cdr:cNvPr>
        <cdr:cNvCxnSpPr/>
      </cdr:nvCxnSpPr>
      <cdr:spPr>
        <a:xfrm xmlns:a="http://schemas.openxmlformats.org/drawingml/2006/main" flipV="1">
          <a:off x="1200727" y="1175328"/>
          <a:ext cx="4906819" cy="14432"/>
        </a:xfrm>
        <a:prstGeom xmlns:a="http://schemas.openxmlformats.org/drawingml/2006/main" prst="line">
          <a:avLst/>
        </a:prstGeom>
        <a:ln xmlns:a="http://schemas.openxmlformats.org/drawingml/2006/main" w="38100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0.29874</cdr:x>
      <cdr:y>0.20054</cdr:y>
    </cdr:from>
    <cdr:to>
      <cdr:x>0.52854</cdr:x>
      <cdr:y>0.28328</cdr:y>
    </cdr:to>
    <cdr:sp macro="" textlink="">
      <cdr:nvSpPr>
        <cdr:cNvPr id="8" name="Tekstvak 7">
          <a:extLst xmlns:a="http://schemas.openxmlformats.org/drawingml/2006/main">
            <a:ext uri="{FF2B5EF4-FFF2-40B4-BE49-F238E27FC236}">
              <a16:creationId xmlns:a16="http://schemas.microsoft.com/office/drawing/2014/main" id="{AE6C7F2F-033C-4478-DB84-97C50740D679}"/>
            </a:ext>
          </a:extLst>
        </cdr:cNvPr>
        <cdr:cNvSpPr txBox="1"/>
      </cdr:nvSpPr>
      <cdr:spPr>
        <a:xfrm xmlns:a="http://schemas.openxmlformats.org/drawingml/2006/main">
          <a:off x="2138795" y="944418"/>
          <a:ext cx="1645228" cy="3896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200">
              <a:solidFill>
                <a:srgbClr val="0070C0"/>
              </a:solidFill>
            </a:rPr>
            <a:t>Veronderstelde VE</a:t>
          </a:r>
        </a:p>
      </cdr:txBody>
    </cdr:sp>
  </cdr:relSizeAnchor>
  <cdr:relSizeAnchor xmlns:cdr="http://schemas.openxmlformats.org/drawingml/2006/chartDrawing">
    <cdr:from>
      <cdr:x>0.30241</cdr:x>
      <cdr:y>0.26054</cdr:y>
    </cdr:from>
    <cdr:to>
      <cdr:x>0.35684</cdr:x>
      <cdr:y>0.60989</cdr:y>
    </cdr:to>
    <cdr:sp macro="" textlink="">
      <cdr:nvSpPr>
        <cdr:cNvPr id="9" name="Tekstvak 1">
          <a:extLst xmlns:a="http://schemas.openxmlformats.org/drawingml/2006/main">
            <a:ext uri="{FF2B5EF4-FFF2-40B4-BE49-F238E27FC236}">
              <a16:creationId xmlns:a16="http://schemas.microsoft.com/office/drawing/2014/main" id="{A32928A2-28EA-B94D-F279-FDF809E02283}"/>
            </a:ext>
          </a:extLst>
        </cdr:cNvPr>
        <cdr:cNvSpPr txBox="1"/>
      </cdr:nvSpPr>
      <cdr:spPr>
        <a:xfrm xmlns:a="http://schemas.openxmlformats.org/drawingml/2006/main" rot="4247197">
          <a:off x="1537277" y="1854777"/>
          <a:ext cx="1645228" cy="3896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>
              <a:solidFill>
                <a:srgbClr val="0070C0"/>
              </a:solidFill>
            </a:rPr>
            <a:t>Berekende</a:t>
          </a:r>
          <a:r>
            <a:rPr lang="nl-NL" sz="1200" baseline="0">
              <a:solidFill>
                <a:srgbClr val="0070C0"/>
              </a:solidFill>
            </a:rPr>
            <a:t> </a:t>
          </a:r>
          <a:r>
            <a:rPr lang="nl-NL" sz="1200">
              <a:solidFill>
                <a:srgbClr val="0070C0"/>
              </a:solidFill>
            </a:rPr>
            <a:t>VE</a:t>
          </a:r>
        </a:p>
      </cdr:txBody>
    </cdr:sp>
  </cdr:relSizeAnchor>
  <cdr:relSizeAnchor xmlns:cdr="http://schemas.openxmlformats.org/drawingml/2006/chartDrawing">
    <cdr:from>
      <cdr:x>0.47121</cdr:x>
      <cdr:y>0.2674</cdr:y>
    </cdr:from>
    <cdr:to>
      <cdr:x>0.52563</cdr:x>
      <cdr:y>0.4866</cdr:y>
    </cdr:to>
    <cdr:sp macro="" textlink="">
      <cdr:nvSpPr>
        <cdr:cNvPr id="10" name="Tekstvak 1">
          <a:extLst xmlns:a="http://schemas.openxmlformats.org/drawingml/2006/main">
            <a:ext uri="{FF2B5EF4-FFF2-40B4-BE49-F238E27FC236}">
              <a16:creationId xmlns:a16="http://schemas.microsoft.com/office/drawing/2014/main" id="{A32928A2-28EA-B94D-F279-FDF809E02283}"/>
            </a:ext>
          </a:extLst>
        </cdr:cNvPr>
        <cdr:cNvSpPr txBox="1"/>
      </cdr:nvSpPr>
      <cdr:spPr>
        <a:xfrm xmlns:a="http://schemas.openxmlformats.org/drawingml/2006/main" rot="18122042">
          <a:off x="3052207" y="1580599"/>
          <a:ext cx="1032305" cy="3896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>
              <a:solidFill>
                <a:schemeClr val="tx1"/>
              </a:solidFill>
            </a:rPr>
            <a:t>Oversterfte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0.77357</cdr:x>
      <cdr:y>0.10295</cdr:y>
    </cdr:from>
    <cdr:to>
      <cdr:x>0.97873</cdr:x>
      <cdr:y>0.16872</cdr:y>
    </cdr:to>
    <cdr:sp macro="" textlink="">
      <cdr:nvSpPr>
        <cdr:cNvPr id="4" name="Tekstvak 3">
          <a:extLst xmlns:a="http://schemas.openxmlformats.org/drawingml/2006/main">
            <a:ext uri="{FF2B5EF4-FFF2-40B4-BE49-F238E27FC236}">
              <a16:creationId xmlns:a16="http://schemas.microsoft.com/office/drawing/2014/main" id="{D1CDE701-0001-9DA8-B0E2-5CCA6EFA0804}"/>
            </a:ext>
          </a:extLst>
        </cdr:cNvPr>
        <cdr:cNvSpPr txBox="1"/>
      </cdr:nvSpPr>
      <cdr:spPr>
        <a:xfrm xmlns:a="http://schemas.openxmlformats.org/drawingml/2006/main">
          <a:off x="5552871" y="486383"/>
          <a:ext cx="1472659" cy="310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800">
              <a:solidFill>
                <a:srgbClr val="00B050"/>
              </a:solidFill>
            </a:rPr>
            <a:t>Beloofd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0.77357</cdr:x>
      <cdr:y>0.10295</cdr:y>
    </cdr:from>
    <cdr:to>
      <cdr:x>0.97873</cdr:x>
      <cdr:y>0.16872</cdr:y>
    </cdr:to>
    <cdr:sp macro="" textlink="">
      <cdr:nvSpPr>
        <cdr:cNvPr id="4" name="Tekstvak 3">
          <a:extLst xmlns:a="http://schemas.openxmlformats.org/drawingml/2006/main">
            <a:ext uri="{FF2B5EF4-FFF2-40B4-BE49-F238E27FC236}">
              <a16:creationId xmlns:a16="http://schemas.microsoft.com/office/drawing/2014/main" id="{D1CDE701-0001-9DA8-B0E2-5CCA6EFA0804}"/>
            </a:ext>
          </a:extLst>
        </cdr:cNvPr>
        <cdr:cNvSpPr txBox="1"/>
      </cdr:nvSpPr>
      <cdr:spPr>
        <a:xfrm xmlns:a="http://schemas.openxmlformats.org/drawingml/2006/main">
          <a:off x="5552871" y="486383"/>
          <a:ext cx="1472659" cy="310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800">
              <a:solidFill>
                <a:srgbClr val="00B050"/>
              </a:solidFill>
            </a:rPr>
            <a:t>Beloofd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36689</xdr:colOff>
      <xdr:row>68</xdr:row>
      <xdr:rowOff>62089</xdr:rowOff>
    </xdr:from>
    <xdr:to>
      <xdr:col>28</xdr:col>
      <xdr:colOff>87489</xdr:colOff>
      <xdr:row>91</xdr:row>
      <xdr:rowOff>125589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7D460BB-77C4-10ED-5591-3CE378890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225778</xdr:colOff>
      <xdr:row>68</xdr:row>
      <xdr:rowOff>28223</xdr:rowOff>
    </xdr:from>
    <xdr:to>
      <xdr:col>41</xdr:col>
      <xdr:colOff>56445</xdr:colOff>
      <xdr:row>92</xdr:row>
      <xdr:rowOff>112890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A9156B7-9FAF-2949-8D8E-105A2AD798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0.32898</cdr:x>
      <cdr:y>0.27573</cdr:y>
    </cdr:from>
    <cdr:to>
      <cdr:x>0.48647</cdr:x>
      <cdr:y>0.41578</cdr:y>
    </cdr:to>
    <cdr:sp macro="" textlink="">
      <cdr:nvSpPr>
        <cdr:cNvPr id="3" name="Ovale toelichting 2">
          <a:extLst xmlns:a="http://schemas.openxmlformats.org/drawingml/2006/main">
            <a:ext uri="{FF2B5EF4-FFF2-40B4-BE49-F238E27FC236}">
              <a16:creationId xmlns:a16="http://schemas.microsoft.com/office/drawing/2014/main" id="{532133E0-A946-3E22-6D99-6A41B996FB9B}"/>
            </a:ext>
          </a:extLst>
        </cdr:cNvPr>
        <cdr:cNvSpPr/>
      </cdr:nvSpPr>
      <cdr:spPr>
        <a:xfrm xmlns:a="http://schemas.openxmlformats.org/drawingml/2006/main">
          <a:off x="2739522" y="1284425"/>
          <a:ext cx="1311452" cy="652399"/>
        </a:xfrm>
        <a:prstGeom xmlns:a="http://schemas.openxmlformats.org/drawingml/2006/main" prst="wedgeEllipseCallout">
          <a:avLst>
            <a:gd name="adj1" fmla="val -65493"/>
            <a:gd name="adj2" fmla="val 104613"/>
          </a:avLst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sz="1400"/>
            <a:t>Hittegolf</a:t>
          </a:r>
        </a:p>
      </cdr:txBody>
    </cdr:sp>
  </cdr:relSizeAnchor>
  <cdr:relSizeAnchor xmlns:cdr="http://schemas.openxmlformats.org/drawingml/2006/chartDrawing">
    <cdr:from>
      <cdr:x>0.64315</cdr:x>
      <cdr:y>0.21866</cdr:y>
    </cdr:from>
    <cdr:to>
      <cdr:x>0.80065</cdr:x>
      <cdr:y>0.35872</cdr:y>
    </cdr:to>
    <cdr:sp macro="" textlink="">
      <cdr:nvSpPr>
        <cdr:cNvPr id="4" name="Ovale toelichting 3">
          <a:extLst xmlns:a="http://schemas.openxmlformats.org/drawingml/2006/main">
            <a:ext uri="{FF2B5EF4-FFF2-40B4-BE49-F238E27FC236}">
              <a16:creationId xmlns:a16="http://schemas.microsoft.com/office/drawing/2014/main" id="{92EE9327-08F1-EE4D-B448-F872F0BA8669}"/>
            </a:ext>
          </a:extLst>
        </cdr:cNvPr>
        <cdr:cNvSpPr/>
      </cdr:nvSpPr>
      <cdr:spPr>
        <a:xfrm xmlns:a="http://schemas.openxmlformats.org/drawingml/2006/main">
          <a:off x="5355630" y="1018611"/>
          <a:ext cx="1311535" cy="652446"/>
        </a:xfrm>
        <a:prstGeom xmlns:a="http://schemas.openxmlformats.org/drawingml/2006/main" prst="wedgeEllipseCallout">
          <a:avLst>
            <a:gd name="adj1" fmla="val 97614"/>
            <a:gd name="adj2" fmla="val 142898"/>
          </a:avLst>
        </a:prstGeom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sz="1400"/>
            <a:t>Influenza</a:t>
          </a:r>
        </a:p>
      </cdr:txBody>
    </cdr:sp>
  </cdr:relSizeAnchor>
  <cdr:relSizeAnchor xmlns:cdr="http://schemas.openxmlformats.org/drawingml/2006/chartDrawing">
    <cdr:from>
      <cdr:x>0.52019</cdr:x>
      <cdr:y>0.52659</cdr:y>
    </cdr:from>
    <cdr:to>
      <cdr:x>0.5577</cdr:x>
      <cdr:y>0.77881</cdr:y>
    </cdr:to>
    <cdr:sp macro="" textlink="">
      <cdr:nvSpPr>
        <cdr:cNvPr id="2" name="Tekstvak 2">
          <a:extLst xmlns:a="http://schemas.openxmlformats.org/drawingml/2006/main">
            <a:ext uri="{FF2B5EF4-FFF2-40B4-BE49-F238E27FC236}">
              <a16:creationId xmlns:a16="http://schemas.microsoft.com/office/drawing/2014/main" id="{81512375-85EE-FF2A-27CF-E7B1FD1BAC2E}"/>
            </a:ext>
          </a:extLst>
        </cdr:cNvPr>
        <cdr:cNvSpPr txBox="1"/>
      </cdr:nvSpPr>
      <cdr:spPr>
        <a:xfrm xmlns:a="http://schemas.openxmlformats.org/drawingml/2006/main" rot="17306787">
          <a:off x="3900413" y="2884301"/>
          <a:ext cx="1174924" cy="31235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FF0000"/>
              </a:solidFill>
            </a:rPr>
            <a:t>Gevaccineerd</a:t>
          </a:r>
        </a:p>
      </cdr:txBody>
    </cdr:sp>
  </cdr:relSizeAnchor>
  <cdr:relSizeAnchor xmlns:cdr="http://schemas.openxmlformats.org/drawingml/2006/chartDrawing">
    <cdr:from>
      <cdr:x>0.5204</cdr:x>
      <cdr:y>0.20042</cdr:y>
    </cdr:from>
    <cdr:to>
      <cdr:x>0.5579</cdr:x>
      <cdr:y>0.49245</cdr:y>
    </cdr:to>
    <cdr:sp macro="" textlink="">
      <cdr:nvSpPr>
        <cdr:cNvPr id="5" name="Tekstvak 3">
          <a:extLst xmlns:a="http://schemas.openxmlformats.org/drawingml/2006/main">
            <a:ext uri="{FF2B5EF4-FFF2-40B4-BE49-F238E27FC236}">
              <a16:creationId xmlns:a16="http://schemas.microsoft.com/office/drawing/2014/main" id="{80215DFA-CD6F-DE4C-B84A-DCB9ED0B3A57}"/>
            </a:ext>
          </a:extLst>
        </cdr:cNvPr>
        <cdr:cNvSpPr txBox="1"/>
      </cdr:nvSpPr>
      <cdr:spPr>
        <a:xfrm xmlns:a="http://schemas.openxmlformats.org/drawingml/2006/main" rot="17239739">
          <a:off x="3809454" y="1457679"/>
          <a:ext cx="1360372" cy="31227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rgbClr val="00B050"/>
              </a:solidFill>
            </a:rPr>
            <a:t>Ongevaccineerd</a:t>
          </a:r>
        </a:p>
      </cdr:txBody>
    </cdr:sp>
  </cdr:relSizeAnchor>
  <cdr:relSizeAnchor xmlns:cdr="http://schemas.openxmlformats.org/drawingml/2006/chartDrawing">
    <cdr:from>
      <cdr:x>0.05821</cdr:x>
      <cdr:y>0.10305</cdr:y>
    </cdr:from>
    <cdr:to>
      <cdr:x>0.26361</cdr:x>
      <cdr:y>0.16992</cdr:y>
    </cdr:to>
    <cdr:sp macro="" textlink="">
      <cdr:nvSpPr>
        <cdr:cNvPr id="6" name="Tekstvak 2">
          <a:extLst xmlns:a="http://schemas.openxmlformats.org/drawingml/2006/main">
            <a:ext uri="{FF2B5EF4-FFF2-40B4-BE49-F238E27FC236}">
              <a16:creationId xmlns:a16="http://schemas.microsoft.com/office/drawing/2014/main" id="{C667AA76-4A6D-B543-B236-3CA4ADA89E08}"/>
            </a:ext>
          </a:extLst>
        </cdr:cNvPr>
        <cdr:cNvSpPr txBox="1"/>
      </cdr:nvSpPr>
      <cdr:spPr>
        <a:xfrm xmlns:a="http://schemas.openxmlformats.org/drawingml/2006/main">
          <a:off x="484727" y="480041"/>
          <a:ext cx="1710405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 b="1">
              <a:solidFill>
                <a:schemeClr val="tx1"/>
              </a:solidFill>
            </a:rPr>
            <a:t>89% vaccinatiegraad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16</xdr:col>
      <xdr:colOff>697353</xdr:colOff>
      <xdr:row>25</xdr:row>
      <xdr:rowOff>6335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9864B06-3129-A44A-B30D-FF83D2EEF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27</xdr:row>
      <xdr:rowOff>0</xdr:rowOff>
    </xdr:from>
    <xdr:to>
      <xdr:col>16</xdr:col>
      <xdr:colOff>342900</xdr:colOff>
      <xdr:row>50</xdr:row>
      <xdr:rowOff>85723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A02F84D5-6212-4A44-A75D-D11FF55F8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53</xdr:row>
      <xdr:rowOff>127000</xdr:rowOff>
    </xdr:from>
    <xdr:to>
      <xdr:col>16</xdr:col>
      <xdr:colOff>304800</xdr:colOff>
      <xdr:row>77</xdr:row>
      <xdr:rowOff>9523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2D453DF1-C5D1-8D4D-85B2-B9D45CE8B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0.05997</cdr:x>
      <cdr:y>0.7221</cdr:y>
    </cdr:from>
    <cdr:to>
      <cdr:x>0.98105</cdr:x>
      <cdr:y>0.72508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035C4191-AC06-6C74-D8CC-069D15F8EE91}"/>
            </a:ext>
          </a:extLst>
        </cdr:cNvPr>
        <cdr:cNvCxnSpPr/>
      </cdr:nvCxnSpPr>
      <cdr:spPr>
        <a:xfrm xmlns:a="http://schemas.openxmlformats.org/drawingml/2006/main" flipV="1">
          <a:off x="434717" y="3174639"/>
          <a:ext cx="6677320" cy="13093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chemeClr val="tx1">
              <a:alpha val="18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0.69569</cdr:x>
      <cdr:y>0.31113</cdr:y>
    </cdr:from>
    <cdr:to>
      <cdr:x>0.81851</cdr:x>
      <cdr:y>0.39749</cdr:y>
    </cdr:to>
    <cdr:sp macro="" textlink="">
      <cdr:nvSpPr>
        <cdr:cNvPr id="6" name="Tekstvak 5">
          <a:extLst xmlns:a="http://schemas.openxmlformats.org/drawingml/2006/main">
            <a:ext uri="{FF2B5EF4-FFF2-40B4-BE49-F238E27FC236}">
              <a16:creationId xmlns:a16="http://schemas.microsoft.com/office/drawing/2014/main" id="{F6410557-2976-471A-9331-BFAF0BBE4090}"/>
            </a:ext>
          </a:extLst>
        </cdr:cNvPr>
        <cdr:cNvSpPr txBox="1"/>
      </cdr:nvSpPr>
      <cdr:spPr>
        <a:xfrm xmlns:a="http://schemas.openxmlformats.org/drawingml/2006/main">
          <a:off x="5043378" y="1367834"/>
          <a:ext cx="890309" cy="37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600" b="1">
              <a:solidFill>
                <a:srgbClr val="0070C0"/>
              </a:solidFill>
            </a:rPr>
            <a:t>2018</a:t>
          </a:r>
        </a:p>
      </cdr:txBody>
    </cdr:sp>
  </cdr:relSizeAnchor>
  <cdr:relSizeAnchor xmlns:cdr="http://schemas.openxmlformats.org/drawingml/2006/chartDrawing">
    <cdr:from>
      <cdr:x>0.47309</cdr:x>
      <cdr:y>0.27129</cdr:y>
    </cdr:from>
    <cdr:to>
      <cdr:x>0.52547</cdr:x>
      <cdr:y>0.4738</cdr:y>
    </cdr:to>
    <cdr:sp macro="" textlink="">
      <cdr:nvSpPr>
        <cdr:cNvPr id="10" name="Tekstvak 1">
          <a:extLst xmlns:a="http://schemas.openxmlformats.org/drawingml/2006/main">
            <a:ext uri="{FF2B5EF4-FFF2-40B4-BE49-F238E27FC236}">
              <a16:creationId xmlns:a16="http://schemas.microsoft.com/office/drawing/2014/main" id="{98514A53-CAD9-C759-046D-4AFC9321D03A}"/>
            </a:ext>
          </a:extLst>
        </cdr:cNvPr>
        <cdr:cNvSpPr txBox="1"/>
      </cdr:nvSpPr>
      <cdr:spPr>
        <a:xfrm xmlns:a="http://schemas.openxmlformats.org/drawingml/2006/main" rot="16856005">
          <a:off x="3207553" y="1371368"/>
          <a:ext cx="849023" cy="3810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600" b="1">
              <a:solidFill>
                <a:srgbClr val="00B050"/>
              </a:solidFill>
            </a:rPr>
            <a:t>2022/23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0.07304</cdr:x>
      <cdr:y>0.813</cdr:y>
    </cdr:from>
    <cdr:to>
      <cdr:x>0.96892</cdr:x>
      <cdr:y>0.81578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85FA80B7-8D28-EF50-1DB0-1780561D9EE6}"/>
            </a:ext>
          </a:extLst>
        </cdr:cNvPr>
        <cdr:cNvCxnSpPr/>
      </cdr:nvCxnSpPr>
      <cdr:spPr>
        <a:xfrm xmlns:a="http://schemas.openxmlformats.org/drawingml/2006/main">
          <a:off x="533381" y="3809965"/>
          <a:ext cx="6542164" cy="13028"/>
        </a:xfrm>
        <a:prstGeom xmlns:a="http://schemas.openxmlformats.org/drawingml/2006/main" prst="line">
          <a:avLst/>
        </a:prstGeom>
        <a:ln xmlns:a="http://schemas.openxmlformats.org/drawingml/2006/main" w="41275">
          <a:solidFill>
            <a:schemeClr val="tx1">
              <a:alpha val="2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0.07304</cdr:x>
      <cdr:y>0.813</cdr:y>
    </cdr:from>
    <cdr:to>
      <cdr:x>0.96892</cdr:x>
      <cdr:y>0.81578</cdr:y>
    </cdr:to>
    <cdr:cxnSp macro="">
      <cdr:nvCxnSpPr>
        <cdr:cNvPr id="3" name="Rechte verbindingslijn 2">
          <a:extLst xmlns:a="http://schemas.openxmlformats.org/drawingml/2006/main">
            <a:ext uri="{FF2B5EF4-FFF2-40B4-BE49-F238E27FC236}">
              <a16:creationId xmlns:a16="http://schemas.microsoft.com/office/drawing/2014/main" id="{85FA80B7-8D28-EF50-1DB0-1780561D9EE6}"/>
            </a:ext>
          </a:extLst>
        </cdr:cNvPr>
        <cdr:cNvCxnSpPr/>
      </cdr:nvCxnSpPr>
      <cdr:spPr>
        <a:xfrm xmlns:a="http://schemas.openxmlformats.org/drawingml/2006/main">
          <a:off x="533381" y="3809965"/>
          <a:ext cx="6542164" cy="13028"/>
        </a:xfrm>
        <a:prstGeom xmlns:a="http://schemas.openxmlformats.org/drawingml/2006/main" prst="line">
          <a:avLst/>
        </a:prstGeom>
        <a:ln xmlns:a="http://schemas.openxmlformats.org/drawingml/2006/main" w="41275">
          <a:solidFill>
            <a:schemeClr val="tx1">
              <a:alpha val="2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rmansteigstra/Library/CloudStorage/Dropbox/Covid%2019/Corona.xlsx" TargetMode="External"/><Relationship Id="rId1" Type="http://schemas.openxmlformats.org/officeDocument/2006/relationships/externalLinkPath" Target="Coro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jfers"/>
      <sheetName val="Effect"/>
      <sheetName val="2022-23"/>
      <sheetName val="Graphs"/>
      <sheetName val="Rioolwater"/>
      <sheetName val="Cumulatief"/>
      <sheetName val="Vaccinaties"/>
      <sheetName val="Vax80P"/>
      <sheetName val="VaxRisk"/>
      <sheetName val="Vax riool"/>
    </sheetNames>
    <sheetDataSet>
      <sheetData sheetId="0">
        <row r="158">
          <cell r="R158">
            <v>4.1748299319727895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tabel-557fa828-405a-4ae1-86e0-7dd3ce3187f3" connectionId="3" xr16:uid="{C74C53DD-2E6C-2540-8DC1-22CFBBBF4AF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tabel-5498f8e9-d98c-433b-9ae8-845ebf120eca" connectionId="2" xr16:uid="{BBA28311-8803-C94E-989B-A266892C8C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tabel-cfafa6db-e588-46e6-bffb-dc002bef3f2e" connectionId="4" xr16:uid="{224A5DF5-76A7-D84C-BC2C-3861E81C4D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tabel-1cd4820b-3961-480b-9d85-eb5e1bda9573" connectionId="1" xr16:uid="{E33583B5-2023-634D-A94F-9FEDDBD007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76C2-A88E-1340-A558-39D2B2A65447}">
  <dimension ref="A1:E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6" x14ac:dyDescent="0.2"/>
  <cols>
    <col min="1" max="1" width="12" customWidth="1"/>
    <col min="2" max="2" width="8.5" bestFit="1" customWidth="1"/>
    <col min="3" max="3" width="22.1640625" customWidth="1"/>
    <col min="4" max="4" width="19.33203125" customWidth="1"/>
    <col min="5" max="5" width="17.664062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2021</v>
      </c>
      <c r="B2" t="s">
        <v>5</v>
      </c>
      <c r="C2">
        <v>0</v>
      </c>
      <c r="D2">
        <v>0</v>
      </c>
      <c r="E2">
        <v>0</v>
      </c>
    </row>
    <row r="3" spans="1:5" x14ac:dyDescent="0.2">
      <c r="A3">
        <v>2021</v>
      </c>
      <c r="B3" t="s">
        <v>6</v>
      </c>
      <c r="C3">
        <v>0</v>
      </c>
      <c r="D3">
        <v>0</v>
      </c>
      <c r="E3">
        <v>0</v>
      </c>
    </row>
    <row r="4" spans="1:5" x14ac:dyDescent="0.2">
      <c r="A4">
        <v>2021</v>
      </c>
      <c r="B4" t="s">
        <v>7</v>
      </c>
      <c r="C4">
        <v>0</v>
      </c>
      <c r="D4">
        <v>0</v>
      </c>
      <c r="E4">
        <v>0</v>
      </c>
    </row>
    <row r="5" spans="1:5" x14ac:dyDescent="0.2">
      <c r="A5">
        <v>2021</v>
      </c>
      <c r="B5" t="s">
        <v>8</v>
      </c>
      <c r="C5">
        <v>0</v>
      </c>
      <c r="D5">
        <v>8</v>
      </c>
      <c r="E5">
        <v>0</v>
      </c>
    </row>
    <row r="6" spans="1:5" x14ac:dyDescent="0.2">
      <c r="A6">
        <v>2021</v>
      </c>
      <c r="B6" t="s">
        <v>9</v>
      </c>
      <c r="C6">
        <v>0</v>
      </c>
      <c r="D6">
        <v>32</v>
      </c>
      <c r="E6">
        <v>0</v>
      </c>
    </row>
    <row r="7" spans="1:5" x14ac:dyDescent="0.2">
      <c r="A7">
        <v>2021</v>
      </c>
      <c r="B7" t="s">
        <v>10</v>
      </c>
      <c r="C7">
        <v>0</v>
      </c>
      <c r="D7">
        <v>109</v>
      </c>
      <c r="E7">
        <v>1</v>
      </c>
    </row>
    <row r="8" spans="1:5" x14ac:dyDescent="0.2">
      <c r="A8">
        <v>2021</v>
      </c>
      <c r="B8" t="s">
        <v>11</v>
      </c>
      <c r="C8">
        <v>1</v>
      </c>
      <c r="D8">
        <v>155</v>
      </c>
      <c r="E8">
        <v>4</v>
      </c>
    </row>
    <row r="9" spans="1:5" x14ac:dyDescent="0.2">
      <c r="A9">
        <v>2021</v>
      </c>
      <c r="B9" t="s">
        <v>12</v>
      </c>
      <c r="C9">
        <v>3</v>
      </c>
      <c r="D9">
        <v>107</v>
      </c>
      <c r="E9">
        <v>4</v>
      </c>
    </row>
    <row r="10" spans="1:5" x14ac:dyDescent="0.2">
      <c r="A10">
        <v>2021</v>
      </c>
      <c r="B10" t="s">
        <v>13</v>
      </c>
      <c r="C10">
        <v>1</v>
      </c>
      <c r="D10">
        <v>72</v>
      </c>
      <c r="E10">
        <v>4</v>
      </c>
    </row>
    <row r="11" spans="1:5" x14ac:dyDescent="0.2">
      <c r="A11">
        <v>2021</v>
      </c>
      <c r="B11" t="s">
        <v>14</v>
      </c>
      <c r="C11">
        <v>1</v>
      </c>
      <c r="D11">
        <v>52</v>
      </c>
      <c r="E11">
        <v>14</v>
      </c>
    </row>
    <row r="12" spans="1:5" x14ac:dyDescent="0.2">
      <c r="A12">
        <v>2021</v>
      </c>
      <c r="B12" t="s">
        <v>15</v>
      </c>
      <c r="C12">
        <v>6</v>
      </c>
      <c r="D12">
        <v>27</v>
      </c>
      <c r="E12">
        <v>7</v>
      </c>
    </row>
    <row r="13" spans="1:5" x14ac:dyDescent="0.2">
      <c r="A13">
        <v>2021</v>
      </c>
      <c r="B13" t="s">
        <v>16</v>
      </c>
      <c r="C13">
        <v>12</v>
      </c>
      <c r="D13">
        <v>39</v>
      </c>
      <c r="E13">
        <v>14</v>
      </c>
    </row>
    <row r="14" spans="1:5" x14ac:dyDescent="0.2">
      <c r="A14">
        <v>2021</v>
      </c>
      <c r="B14" t="s">
        <v>17</v>
      </c>
      <c r="C14">
        <v>5</v>
      </c>
      <c r="D14">
        <v>14</v>
      </c>
      <c r="E14">
        <v>8</v>
      </c>
    </row>
    <row r="15" spans="1:5" x14ac:dyDescent="0.2">
      <c r="A15">
        <v>2021</v>
      </c>
      <c r="B15" t="s">
        <v>18</v>
      </c>
      <c r="C15">
        <v>5</v>
      </c>
      <c r="D15">
        <v>17</v>
      </c>
      <c r="E15">
        <v>8</v>
      </c>
    </row>
    <row r="16" spans="1:5" x14ac:dyDescent="0.2">
      <c r="A16">
        <v>2021</v>
      </c>
      <c r="B16" t="s">
        <v>19</v>
      </c>
      <c r="C16">
        <v>5</v>
      </c>
      <c r="D16">
        <v>21</v>
      </c>
      <c r="E16">
        <v>7</v>
      </c>
    </row>
    <row r="17" spans="1:5" x14ac:dyDescent="0.2">
      <c r="A17">
        <v>2021</v>
      </c>
      <c r="B17" t="s">
        <v>20</v>
      </c>
      <c r="C17">
        <v>6</v>
      </c>
      <c r="D17">
        <v>11</v>
      </c>
      <c r="E17">
        <v>7</v>
      </c>
    </row>
    <row r="18" spans="1:5" x14ac:dyDescent="0.2">
      <c r="A18">
        <v>2021</v>
      </c>
      <c r="B18" t="s">
        <v>21</v>
      </c>
      <c r="C18">
        <v>11</v>
      </c>
      <c r="D18">
        <v>15</v>
      </c>
      <c r="E18">
        <v>11</v>
      </c>
    </row>
    <row r="19" spans="1:5" x14ac:dyDescent="0.2">
      <c r="A19">
        <v>2021</v>
      </c>
      <c r="B19" t="s">
        <v>22</v>
      </c>
      <c r="C19">
        <v>11</v>
      </c>
      <c r="D19">
        <v>21</v>
      </c>
      <c r="E19">
        <v>12</v>
      </c>
    </row>
    <row r="20" spans="1:5" x14ac:dyDescent="0.2">
      <c r="A20">
        <v>2021</v>
      </c>
      <c r="B20" t="s">
        <v>23</v>
      </c>
      <c r="C20">
        <v>13</v>
      </c>
      <c r="D20">
        <v>17</v>
      </c>
      <c r="E20">
        <v>14</v>
      </c>
    </row>
    <row r="21" spans="1:5" x14ac:dyDescent="0.2">
      <c r="A21">
        <v>2021</v>
      </c>
      <c r="B21" t="s">
        <v>24</v>
      </c>
      <c r="C21">
        <v>10</v>
      </c>
      <c r="D21">
        <v>16</v>
      </c>
      <c r="E21">
        <v>10</v>
      </c>
    </row>
    <row r="22" spans="1:5" x14ac:dyDescent="0.2">
      <c r="A22">
        <v>2021</v>
      </c>
      <c r="B22" t="s">
        <v>25</v>
      </c>
      <c r="C22">
        <v>1</v>
      </c>
      <c r="D22">
        <v>4</v>
      </c>
      <c r="E22">
        <v>2</v>
      </c>
    </row>
    <row r="23" spans="1:5" x14ac:dyDescent="0.2">
      <c r="A23">
        <v>2021</v>
      </c>
      <c r="B23" t="s">
        <v>26</v>
      </c>
      <c r="C23">
        <v>7</v>
      </c>
      <c r="D23">
        <v>11</v>
      </c>
      <c r="E23">
        <v>7</v>
      </c>
    </row>
    <row r="24" spans="1:5" x14ac:dyDescent="0.2">
      <c r="A24">
        <v>2021</v>
      </c>
      <c r="B24" t="s">
        <v>27</v>
      </c>
      <c r="C24">
        <v>4</v>
      </c>
      <c r="D24">
        <v>7</v>
      </c>
      <c r="E24">
        <v>4</v>
      </c>
    </row>
    <row r="25" spans="1:5" x14ac:dyDescent="0.2">
      <c r="A25">
        <v>2021</v>
      </c>
      <c r="B25" t="s">
        <v>28</v>
      </c>
      <c r="C25">
        <v>3</v>
      </c>
      <c r="D25">
        <v>5</v>
      </c>
      <c r="E25">
        <v>3</v>
      </c>
    </row>
    <row r="26" spans="1:5" x14ac:dyDescent="0.2">
      <c r="A26">
        <v>2021</v>
      </c>
      <c r="B26" t="s">
        <v>29</v>
      </c>
      <c r="C26">
        <v>3</v>
      </c>
      <c r="D26">
        <v>3</v>
      </c>
      <c r="E26">
        <v>3</v>
      </c>
    </row>
    <row r="27" spans="1:5" x14ac:dyDescent="0.2">
      <c r="A27">
        <v>2021</v>
      </c>
      <c r="B27" t="s">
        <v>30</v>
      </c>
      <c r="C27">
        <v>4</v>
      </c>
      <c r="D27">
        <v>6</v>
      </c>
      <c r="E27">
        <v>5</v>
      </c>
    </row>
    <row r="28" spans="1:5" x14ac:dyDescent="0.2">
      <c r="A28">
        <v>2021</v>
      </c>
      <c r="B28" t="s">
        <v>31</v>
      </c>
      <c r="C28">
        <v>4</v>
      </c>
      <c r="D28">
        <v>4</v>
      </c>
      <c r="E28">
        <v>4</v>
      </c>
    </row>
    <row r="29" spans="1:5" x14ac:dyDescent="0.2">
      <c r="A29">
        <v>2021</v>
      </c>
      <c r="B29" t="s">
        <v>32</v>
      </c>
      <c r="C29">
        <v>4</v>
      </c>
      <c r="D29">
        <v>4</v>
      </c>
      <c r="E29">
        <v>4</v>
      </c>
    </row>
    <row r="30" spans="1:5" x14ac:dyDescent="0.2">
      <c r="A30">
        <v>2021</v>
      </c>
      <c r="B30" t="s">
        <v>33</v>
      </c>
      <c r="C30">
        <v>18</v>
      </c>
      <c r="D30">
        <v>21</v>
      </c>
      <c r="E30">
        <v>18</v>
      </c>
    </row>
    <row r="31" spans="1:5" x14ac:dyDescent="0.2">
      <c r="A31">
        <v>2021</v>
      </c>
      <c r="B31" t="s">
        <v>34</v>
      </c>
      <c r="C31">
        <v>24</v>
      </c>
      <c r="D31">
        <v>25</v>
      </c>
      <c r="E31">
        <v>24</v>
      </c>
    </row>
    <row r="32" spans="1:5" x14ac:dyDescent="0.2">
      <c r="A32">
        <v>2021</v>
      </c>
      <c r="B32" t="s">
        <v>35</v>
      </c>
      <c r="C32">
        <v>33</v>
      </c>
      <c r="D32">
        <v>39</v>
      </c>
      <c r="E32">
        <v>33</v>
      </c>
    </row>
    <row r="33" spans="1:5" x14ac:dyDescent="0.2">
      <c r="A33">
        <v>2021</v>
      </c>
      <c r="B33" t="s">
        <v>36</v>
      </c>
      <c r="C33">
        <v>27</v>
      </c>
      <c r="D33">
        <v>28</v>
      </c>
      <c r="E33">
        <v>27</v>
      </c>
    </row>
    <row r="34" spans="1:5" x14ac:dyDescent="0.2">
      <c r="A34">
        <v>2021</v>
      </c>
      <c r="B34" t="s">
        <v>37</v>
      </c>
      <c r="C34">
        <v>26</v>
      </c>
      <c r="D34">
        <v>27</v>
      </c>
      <c r="E34">
        <v>26</v>
      </c>
    </row>
    <row r="35" spans="1:5" x14ac:dyDescent="0.2">
      <c r="A35">
        <v>2021</v>
      </c>
      <c r="B35" t="s">
        <v>38</v>
      </c>
      <c r="C35">
        <v>20</v>
      </c>
      <c r="D35">
        <v>21</v>
      </c>
      <c r="E35">
        <v>20</v>
      </c>
    </row>
    <row r="36" spans="1:5" x14ac:dyDescent="0.2">
      <c r="A36">
        <v>2021</v>
      </c>
      <c r="B36" t="s">
        <v>39</v>
      </c>
      <c r="C36">
        <v>14</v>
      </c>
      <c r="D36">
        <v>16</v>
      </c>
      <c r="E36">
        <v>14</v>
      </c>
    </row>
    <row r="37" spans="1:5" x14ac:dyDescent="0.2">
      <c r="A37">
        <v>2021</v>
      </c>
      <c r="B37" t="s">
        <v>40</v>
      </c>
      <c r="C37">
        <v>24</v>
      </c>
      <c r="D37">
        <v>25</v>
      </c>
      <c r="E37">
        <v>24</v>
      </c>
    </row>
    <row r="38" spans="1:5" x14ac:dyDescent="0.2">
      <c r="A38">
        <v>2021</v>
      </c>
      <c r="B38" t="s">
        <v>41</v>
      </c>
      <c r="C38">
        <v>28</v>
      </c>
      <c r="D38">
        <v>35</v>
      </c>
      <c r="E38">
        <v>29</v>
      </c>
    </row>
    <row r="39" spans="1:5" x14ac:dyDescent="0.2">
      <c r="A39">
        <v>2021</v>
      </c>
      <c r="B39" t="s">
        <v>42</v>
      </c>
      <c r="C39">
        <v>14</v>
      </c>
      <c r="D39">
        <v>15</v>
      </c>
      <c r="E39">
        <v>14</v>
      </c>
    </row>
    <row r="40" spans="1:5" x14ac:dyDescent="0.2">
      <c r="A40">
        <v>2021</v>
      </c>
      <c r="B40" t="s">
        <v>43</v>
      </c>
      <c r="C40">
        <v>9</v>
      </c>
      <c r="D40">
        <v>11</v>
      </c>
      <c r="E40">
        <v>9</v>
      </c>
    </row>
    <row r="41" spans="1:5" x14ac:dyDescent="0.2">
      <c r="A41">
        <v>2021</v>
      </c>
      <c r="B41" t="s">
        <v>44</v>
      </c>
      <c r="C41">
        <v>18</v>
      </c>
      <c r="D41">
        <v>19</v>
      </c>
      <c r="E41">
        <v>18</v>
      </c>
    </row>
    <row r="42" spans="1:5" x14ac:dyDescent="0.2">
      <c r="A42">
        <v>2021</v>
      </c>
      <c r="B42" t="s">
        <v>45</v>
      </c>
      <c r="C42">
        <v>33</v>
      </c>
      <c r="D42">
        <v>35</v>
      </c>
      <c r="E42">
        <v>33</v>
      </c>
    </row>
    <row r="43" spans="1:5" x14ac:dyDescent="0.2">
      <c r="A43">
        <v>2021</v>
      </c>
      <c r="B43" t="s">
        <v>46</v>
      </c>
      <c r="C43">
        <v>80</v>
      </c>
      <c r="D43">
        <v>82</v>
      </c>
      <c r="E43">
        <v>80</v>
      </c>
    </row>
    <row r="44" spans="1:5" x14ac:dyDescent="0.2">
      <c r="A44">
        <v>2021</v>
      </c>
      <c r="B44" t="s">
        <v>47</v>
      </c>
      <c r="C44">
        <v>108</v>
      </c>
      <c r="D44">
        <v>115</v>
      </c>
      <c r="E44">
        <v>108</v>
      </c>
    </row>
    <row r="45" spans="1:5" x14ac:dyDescent="0.2">
      <c r="A45">
        <v>2021</v>
      </c>
      <c r="B45" t="s">
        <v>48</v>
      </c>
      <c r="C45">
        <v>133</v>
      </c>
      <c r="D45">
        <v>143</v>
      </c>
      <c r="E45">
        <v>133</v>
      </c>
    </row>
    <row r="46" spans="1:5" x14ac:dyDescent="0.2">
      <c r="A46">
        <v>2021</v>
      </c>
      <c r="B46" t="s">
        <v>49</v>
      </c>
      <c r="C46">
        <v>210</v>
      </c>
      <c r="D46">
        <v>215</v>
      </c>
      <c r="E46">
        <v>210</v>
      </c>
    </row>
    <row r="47" spans="1:5" x14ac:dyDescent="0.2">
      <c r="A47">
        <v>2021</v>
      </c>
      <c r="B47" t="s">
        <v>50</v>
      </c>
      <c r="C47">
        <v>318</v>
      </c>
      <c r="D47">
        <v>336</v>
      </c>
      <c r="E47">
        <v>318</v>
      </c>
    </row>
    <row r="48" spans="1:5" x14ac:dyDescent="0.2">
      <c r="A48">
        <v>2021</v>
      </c>
      <c r="B48" t="s">
        <v>51</v>
      </c>
      <c r="C48">
        <v>386</v>
      </c>
      <c r="D48">
        <v>406</v>
      </c>
      <c r="E48">
        <v>386</v>
      </c>
    </row>
    <row r="49" spans="1:5" x14ac:dyDescent="0.2">
      <c r="A49">
        <v>2021</v>
      </c>
      <c r="B49" t="s">
        <v>52</v>
      </c>
      <c r="C49">
        <v>401</v>
      </c>
      <c r="D49">
        <v>415</v>
      </c>
      <c r="E49">
        <v>401</v>
      </c>
    </row>
    <row r="50" spans="1:5" x14ac:dyDescent="0.2">
      <c r="A50">
        <v>2021</v>
      </c>
      <c r="B50" t="s">
        <v>53</v>
      </c>
      <c r="C50">
        <v>426</v>
      </c>
      <c r="D50">
        <v>450</v>
      </c>
      <c r="E50">
        <v>428</v>
      </c>
    </row>
    <row r="51" spans="1:5" x14ac:dyDescent="0.2">
      <c r="A51">
        <v>2021</v>
      </c>
      <c r="B51" t="s">
        <v>54</v>
      </c>
      <c r="C51">
        <v>289</v>
      </c>
      <c r="D51">
        <v>310</v>
      </c>
      <c r="E51">
        <v>290</v>
      </c>
    </row>
    <row r="52" spans="1:5" x14ac:dyDescent="0.2">
      <c r="A52">
        <v>2021</v>
      </c>
      <c r="B52" t="s">
        <v>55</v>
      </c>
      <c r="C52">
        <v>170</v>
      </c>
      <c r="D52">
        <v>180</v>
      </c>
      <c r="E52">
        <v>170</v>
      </c>
    </row>
    <row r="53" spans="1:5" x14ac:dyDescent="0.2">
      <c r="A53">
        <v>2021</v>
      </c>
      <c r="B53" t="s">
        <v>56</v>
      </c>
      <c r="C53">
        <v>124</v>
      </c>
      <c r="D53">
        <v>129</v>
      </c>
      <c r="E53">
        <v>124</v>
      </c>
    </row>
    <row r="54" spans="1:5" x14ac:dyDescent="0.2">
      <c r="A54">
        <v>2022</v>
      </c>
      <c r="B54" t="s">
        <v>5</v>
      </c>
      <c r="C54">
        <v>68</v>
      </c>
      <c r="D54">
        <v>73</v>
      </c>
      <c r="E54">
        <v>69</v>
      </c>
    </row>
    <row r="55" spans="1:5" x14ac:dyDescent="0.2">
      <c r="A55">
        <v>2022</v>
      </c>
      <c r="B55" t="s">
        <v>6</v>
      </c>
      <c r="C55">
        <v>58</v>
      </c>
      <c r="D55">
        <v>61</v>
      </c>
      <c r="E55">
        <v>58</v>
      </c>
    </row>
    <row r="56" spans="1:5" x14ac:dyDescent="0.2">
      <c r="A56">
        <v>2022</v>
      </c>
      <c r="B56" t="s">
        <v>7</v>
      </c>
      <c r="C56">
        <v>49</v>
      </c>
      <c r="D56">
        <v>51</v>
      </c>
      <c r="E56">
        <v>49</v>
      </c>
    </row>
    <row r="57" spans="1:5" x14ac:dyDescent="0.2">
      <c r="A57">
        <v>2022</v>
      </c>
      <c r="B57" t="s">
        <v>8</v>
      </c>
      <c r="C57">
        <v>55</v>
      </c>
      <c r="D57">
        <v>58</v>
      </c>
      <c r="E57">
        <v>56</v>
      </c>
    </row>
    <row r="58" spans="1:5" x14ac:dyDescent="0.2">
      <c r="A58">
        <v>2022</v>
      </c>
      <c r="B58" t="s">
        <v>9</v>
      </c>
      <c r="C58">
        <v>76</v>
      </c>
      <c r="D58">
        <v>78</v>
      </c>
      <c r="E58">
        <v>76</v>
      </c>
    </row>
    <row r="59" spans="1:5" x14ac:dyDescent="0.2">
      <c r="A59">
        <v>2022</v>
      </c>
      <c r="B59" t="s">
        <v>10</v>
      </c>
      <c r="C59">
        <v>86</v>
      </c>
      <c r="D59">
        <v>89</v>
      </c>
      <c r="E59">
        <v>86</v>
      </c>
    </row>
    <row r="60" spans="1:5" x14ac:dyDescent="0.2">
      <c r="A60">
        <v>2022</v>
      </c>
      <c r="B60" t="s">
        <v>11</v>
      </c>
      <c r="C60">
        <v>99</v>
      </c>
      <c r="D60">
        <v>103</v>
      </c>
      <c r="E60">
        <v>100</v>
      </c>
    </row>
    <row r="61" spans="1:5" x14ac:dyDescent="0.2">
      <c r="A61">
        <v>2022</v>
      </c>
      <c r="B61" t="s">
        <v>12</v>
      </c>
      <c r="C61">
        <v>77</v>
      </c>
      <c r="D61">
        <v>80</v>
      </c>
      <c r="E61">
        <v>77</v>
      </c>
    </row>
    <row r="62" spans="1:5" x14ac:dyDescent="0.2">
      <c r="A62">
        <v>2022</v>
      </c>
      <c r="B62" t="s">
        <v>13</v>
      </c>
      <c r="C62">
        <v>90</v>
      </c>
      <c r="D62">
        <v>93</v>
      </c>
      <c r="E62">
        <v>90</v>
      </c>
    </row>
    <row r="63" spans="1:5" x14ac:dyDescent="0.2">
      <c r="A63">
        <v>2022</v>
      </c>
      <c r="B63" t="s">
        <v>14</v>
      </c>
      <c r="C63">
        <v>113</v>
      </c>
      <c r="D63">
        <v>118</v>
      </c>
      <c r="E63">
        <v>114</v>
      </c>
    </row>
    <row r="64" spans="1:5" x14ac:dyDescent="0.2">
      <c r="A64">
        <v>2022</v>
      </c>
      <c r="B64" t="s">
        <v>15</v>
      </c>
      <c r="C64">
        <v>176</v>
      </c>
      <c r="D64">
        <v>182</v>
      </c>
      <c r="E64">
        <v>176</v>
      </c>
    </row>
    <row r="65" spans="1:5" x14ac:dyDescent="0.2">
      <c r="A65">
        <v>2022</v>
      </c>
      <c r="B65" t="s">
        <v>16</v>
      </c>
      <c r="C65">
        <v>166</v>
      </c>
      <c r="D65">
        <v>174</v>
      </c>
      <c r="E65">
        <v>166</v>
      </c>
    </row>
    <row r="66" spans="1:5" x14ac:dyDescent="0.2">
      <c r="A66">
        <v>2022</v>
      </c>
      <c r="B66" t="s">
        <v>17</v>
      </c>
      <c r="C66">
        <v>168</v>
      </c>
      <c r="D66">
        <v>170</v>
      </c>
      <c r="E66">
        <v>168</v>
      </c>
    </row>
    <row r="67" spans="1:5" x14ac:dyDescent="0.2">
      <c r="A67">
        <v>2022</v>
      </c>
      <c r="B67" t="s">
        <v>18</v>
      </c>
      <c r="C67">
        <v>125</v>
      </c>
      <c r="D67">
        <v>128</v>
      </c>
      <c r="E67">
        <v>125</v>
      </c>
    </row>
    <row r="68" spans="1:5" x14ac:dyDescent="0.2">
      <c r="A68">
        <v>2022</v>
      </c>
      <c r="B68" t="s">
        <v>19</v>
      </c>
      <c r="C68">
        <v>105</v>
      </c>
      <c r="D68">
        <v>108</v>
      </c>
      <c r="E68">
        <v>105</v>
      </c>
    </row>
    <row r="69" spans="1:5" x14ac:dyDescent="0.2">
      <c r="A69">
        <v>2022</v>
      </c>
      <c r="B69" t="s">
        <v>20</v>
      </c>
      <c r="C69">
        <v>73</v>
      </c>
      <c r="D69">
        <v>75</v>
      </c>
      <c r="E69">
        <v>73</v>
      </c>
    </row>
    <row r="70" spans="1:5" x14ac:dyDescent="0.2">
      <c r="A70">
        <v>2022</v>
      </c>
      <c r="B70" t="s">
        <v>21</v>
      </c>
      <c r="C70">
        <v>50</v>
      </c>
      <c r="D70">
        <v>52</v>
      </c>
      <c r="E70">
        <v>50</v>
      </c>
    </row>
    <row r="71" spans="1:5" x14ac:dyDescent="0.2">
      <c r="A71">
        <v>2022</v>
      </c>
      <c r="B71" t="s">
        <v>22</v>
      </c>
      <c r="C71">
        <v>29</v>
      </c>
      <c r="D71">
        <v>31</v>
      </c>
      <c r="E71">
        <v>29</v>
      </c>
    </row>
    <row r="72" spans="1:5" x14ac:dyDescent="0.2">
      <c r="A72">
        <v>2022</v>
      </c>
      <c r="B72" t="s">
        <v>23</v>
      </c>
      <c r="C72">
        <v>18</v>
      </c>
      <c r="D72">
        <v>19</v>
      </c>
      <c r="E72">
        <v>18</v>
      </c>
    </row>
    <row r="73" spans="1:5" x14ac:dyDescent="0.2">
      <c r="A73">
        <v>2022</v>
      </c>
      <c r="B73" t="s">
        <v>24</v>
      </c>
      <c r="C73">
        <v>25</v>
      </c>
      <c r="D73">
        <v>25</v>
      </c>
      <c r="E73">
        <v>25</v>
      </c>
    </row>
    <row r="74" spans="1:5" x14ac:dyDescent="0.2">
      <c r="A74">
        <v>2022</v>
      </c>
      <c r="B74" t="s">
        <v>25</v>
      </c>
      <c r="C74">
        <v>11</v>
      </c>
      <c r="D74">
        <v>11</v>
      </c>
      <c r="E74">
        <v>11</v>
      </c>
    </row>
    <row r="75" spans="1:5" x14ac:dyDescent="0.2">
      <c r="A75">
        <v>2022</v>
      </c>
      <c r="B75" t="s">
        <v>26</v>
      </c>
      <c r="C75">
        <v>12</v>
      </c>
      <c r="D75">
        <v>12</v>
      </c>
      <c r="E75">
        <v>12</v>
      </c>
    </row>
    <row r="76" spans="1:5" x14ac:dyDescent="0.2">
      <c r="A76">
        <v>2022</v>
      </c>
      <c r="B76" t="s">
        <v>27</v>
      </c>
      <c r="C76">
        <v>9</v>
      </c>
      <c r="D76">
        <v>9</v>
      </c>
      <c r="E76">
        <v>9</v>
      </c>
    </row>
    <row r="77" spans="1:5" x14ac:dyDescent="0.2">
      <c r="A77">
        <v>2022</v>
      </c>
      <c r="B77" t="s">
        <v>28</v>
      </c>
      <c r="C77">
        <v>30</v>
      </c>
      <c r="D77">
        <v>30</v>
      </c>
      <c r="E77">
        <v>30</v>
      </c>
    </row>
    <row r="78" spans="1:5" x14ac:dyDescent="0.2">
      <c r="A78">
        <v>2022</v>
      </c>
      <c r="B78" t="s">
        <v>29</v>
      </c>
      <c r="C78">
        <v>38</v>
      </c>
      <c r="D78">
        <v>39</v>
      </c>
      <c r="E78">
        <v>38</v>
      </c>
    </row>
    <row r="79" spans="1:5" x14ac:dyDescent="0.2">
      <c r="A79">
        <v>2022</v>
      </c>
      <c r="B79" t="s">
        <v>30</v>
      </c>
      <c r="C79">
        <v>64</v>
      </c>
      <c r="D79">
        <v>65</v>
      </c>
      <c r="E79">
        <v>64</v>
      </c>
    </row>
    <row r="80" spans="1:5" x14ac:dyDescent="0.2">
      <c r="A80">
        <v>2022</v>
      </c>
      <c r="B80" t="s">
        <v>31</v>
      </c>
      <c r="C80">
        <v>47</v>
      </c>
      <c r="D80">
        <v>47</v>
      </c>
      <c r="E80">
        <v>47</v>
      </c>
    </row>
    <row r="81" spans="1:5" x14ac:dyDescent="0.2">
      <c r="A81">
        <v>2022</v>
      </c>
      <c r="B81" t="s">
        <v>32</v>
      </c>
      <c r="C81">
        <v>79</v>
      </c>
      <c r="D81">
        <v>80</v>
      </c>
      <c r="E81">
        <v>79</v>
      </c>
    </row>
    <row r="82" spans="1:5" x14ac:dyDescent="0.2">
      <c r="A82">
        <v>2022</v>
      </c>
      <c r="B82" t="s">
        <v>33</v>
      </c>
      <c r="C82">
        <v>88</v>
      </c>
      <c r="D82">
        <v>88</v>
      </c>
      <c r="E82">
        <v>88</v>
      </c>
    </row>
    <row r="83" spans="1:5" x14ac:dyDescent="0.2">
      <c r="A83">
        <v>2022</v>
      </c>
      <c r="B83" t="s">
        <v>34</v>
      </c>
      <c r="C83">
        <v>85</v>
      </c>
      <c r="D83">
        <v>86</v>
      </c>
      <c r="E83">
        <v>85</v>
      </c>
    </row>
    <row r="84" spans="1:5" x14ac:dyDescent="0.2">
      <c r="A84">
        <v>2022</v>
      </c>
      <c r="B84" t="s">
        <v>35</v>
      </c>
      <c r="C84">
        <v>75</v>
      </c>
      <c r="D84">
        <v>75</v>
      </c>
      <c r="E84">
        <v>75</v>
      </c>
    </row>
    <row r="85" spans="1:5" x14ac:dyDescent="0.2">
      <c r="A85">
        <v>2022</v>
      </c>
      <c r="B85" t="s">
        <v>36</v>
      </c>
      <c r="C85">
        <v>63</v>
      </c>
      <c r="D85">
        <v>63</v>
      </c>
      <c r="E85">
        <v>63</v>
      </c>
    </row>
    <row r="86" spans="1:5" x14ac:dyDescent="0.2">
      <c r="A86">
        <v>2022</v>
      </c>
      <c r="B86" t="s">
        <v>37</v>
      </c>
      <c r="C86">
        <v>52</v>
      </c>
      <c r="D86">
        <v>53</v>
      </c>
      <c r="E86">
        <v>52</v>
      </c>
    </row>
    <row r="87" spans="1:5" x14ac:dyDescent="0.2">
      <c r="A87">
        <v>2022</v>
      </c>
      <c r="B87" t="s">
        <v>38</v>
      </c>
      <c r="C87">
        <v>35</v>
      </c>
      <c r="D87">
        <v>35</v>
      </c>
      <c r="E87">
        <v>35</v>
      </c>
    </row>
    <row r="88" spans="1:5" x14ac:dyDescent="0.2">
      <c r="A88">
        <v>2022</v>
      </c>
      <c r="B88" t="s">
        <v>39</v>
      </c>
      <c r="C88">
        <v>33</v>
      </c>
      <c r="D88">
        <v>33</v>
      </c>
      <c r="E88">
        <v>33</v>
      </c>
    </row>
    <row r="89" spans="1:5" x14ac:dyDescent="0.2">
      <c r="A89">
        <v>2022</v>
      </c>
      <c r="B89" t="s">
        <v>40</v>
      </c>
      <c r="C89">
        <v>36</v>
      </c>
      <c r="D89">
        <v>36</v>
      </c>
      <c r="E89">
        <v>36</v>
      </c>
    </row>
    <row r="90" spans="1:5" x14ac:dyDescent="0.2">
      <c r="A90">
        <v>2022</v>
      </c>
      <c r="B90" t="s">
        <v>41</v>
      </c>
      <c r="C90">
        <v>26</v>
      </c>
      <c r="D90">
        <v>26</v>
      </c>
      <c r="E90">
        <v>26</v>
      </c>
    </row>
    <row r="91" spans="1:5" x14ac:dyDescent="0.2">
      <c r="A91">
        <v>2022</v>
      </c>
      <c r="B91" t="s">
        <v>42</v>
      </c>
      <c r="C91">
        <v>26</v>
      </c>
      <c r="D91">
        <v>26</v>
      </c>
      <c r="E91">
        <v>26</v>
      </c>
    </row>
    <row r="92" spans="1:5" x14ac:dyDescent="0.2">
      <c r="A92">
        <v>2022</v>
      </c>
      <c r="B92" t="s">
        <v>43</v>
      </c>
      <c r="C92">
        <v>47</v>
      </c>
      <c r="D92">
        <v>48</v>
      </c>
      <c r="E92">
        <v>47</v>
      </c>
    </row>
    <row r="93" spans="1:5" x14ac:dyDescent="0.2">
      <c r="A93">
        <v>2022</v>
      </c>
      <c r="B93" t="s">
        <v>44</v>
      </c>
      <c r="C93">
        <v>84</v>
      </c>
      <c r="D93">
        <v>84</v>
      </c>
      <c r="E93">
        <v>84</v>
      </c>
    </row>
    <row r="94" spans="1:5" x14ac:dyDescent="0.2">
      <c r="A94">
        <v>2022</v>
      </c>
      <c r="B94" t="s">
        <v>45</v>
      </c>
      <c r="C94">
        <v>93</v>
      </c>
      <c r="D94">
        <v>94</v>
      </c>
      <c r="E94">
        <v>93</v>
      </c>
    </row>
    <row r="95" spans="1:5" x14ac:dyDescent="0.2">
      <c r="A95">
        <v>2022</v>
      </c>
      <c r="B95" t="s">
        <v>46</v>
      </c>
      <c r="C95">
        <v>104</v>
      </c>
      <c r="D95">
        <v>106</v>
      </c>
      <c r="E95">
        <v>104</v>
      </c>
    </row>
    <row r="96" spans="1:5" x14ac:dyDescent="0.2">
      <c r="A96">
        <v>2022</v>
      </c>
      <c r="B96" t="s">
        <v>47</v>
      </c>
      <c r="C96">
        <v>72</v>
      </c>
      <c r="D96">
        <v>72</v>
      </c>
      <c r="E96">
        <v>72</v>
      </c>
    </row>
    <row r="97" spans="1:5" x14ac:dyDescent="0.2">
      <c r="A97">
        <v>2022</v>
      </c>
      <c r="B97" t="s">
        <v>48</v>
      </c>
      <c r="C97">
        <v>53</v>
      </c>
      <c r="D97">
        <v>54</v>
      </c>
      <c r="E97">
        <v>53</v>
      </c>
    </row>
    <row r="98" spans="1:5" x14ac:dyDescent="0.2">
      <c r="A98">
        <v>2022</v>
      </c>
      <c r="B98" t="s">
        <v>49</v>
      </c>
      <c r="C98">
        <v>44</v>
      </c>
      <c r="D98">
        <v>44</v>
      </c>
      <c r="E98">
        <v>44</v>
      </c>
    </row>
    <row r="99" spans="1:5" x14ac:dyDescent="0.2">
      <c r="A99">
        <v>2022</v>
      </c>
      <c r="B99" t="s">
        <v>50</v>
      </c>
      <c r="C99">
        <v>33</v>
      </c>
      <c r="D99">
        <v>36</v>
      </c>
      <c r="E99">
        <v>33</v>
      </c>
    </row>
    <row r="100" spans="1:5" x14ac:dyDescent="0.2">
      <c r="A100">
        <v>2022</v>
      </c>
      <c r="B100" t="s">
        <v>51</v>
      </c>
      <c r="C100">
        <v>22</v>
      </c>
      <c r="D100">
        <v>22</v>
      </c>
      <c r="E100">
        <v>22</v>
      </c>
    </row>
    <row r="101" spans="1:5" x14ac:dyDescent="0.2">
      <c r="A101">
        <v>2022</v>
      </c>
      <c r="B101" t="s">
        <v>52</v>
      </c>
      <c r="C101">
        <v>43</v>
      </c>
      <c r="D101">
        <v>43</v>
      </c>
      <c r="E101">
        <v>43</v>
      </c>
    </row>
    <row r="102" spans="1:5" x14ac:dyDescent="0.2">
      <c r="A102">
        <v>2022</v>
      </c>
      <c r="B102" t="s">
        <v>53</v>
      </c>
      <c r="C102">
        <v>42</v>
      </c>
      <c r="D102">
        <v>42</v>
      </c>
      <c r="E102">
        <v>42</v>
      </c>
    </row>
    <row r="103" spans="1:5" x14ac:dyDescent="0.2">
      <c r="A103">
        <v>2022</v>
      </c>
      <c r="B103" t="s">
        <v>54</v>
      </c>
      <c r="C103">
        <v>55</v>
      </c>
      <c r="D103">
        <v>55</v>
      </c>
      <c r="E103">
        <v>55</v>
      </c>
    </row>
    <row r="104" spans="1:5" x14ac:dyDescent="0.2">
      <c r="A104">
        <v>2022</v>
      </c>
      <c r="B104" t="s">
        <v>55</v>
      </c>
      <c r="C104">
        <v>80</v>
      </c>
      <c r="D104">
        <v>82</v>
      </c>
      <c r="E104">
        <v>80</v>
      </c>
    </row>
    <row r="105" spans="1:5" x14ac:dyDescent="0.2">
      <c r="A105">
        <v>2022</v>
      </c>
      <c r="B105" t="s">
        <v>57</v>
      </c>
      <c r="C105">
        <v>70</v>
      </c>
      <c r="D105">
        <v>70</v>
      </c>
      <c r="E105">
        <v>70</v>
      </c>
    </row>
    <row r="106" spans="1:5" x14ac:dyDescent="0.2">
      <c r="A10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D470-B2B1-2840-9F99-429820E3C5C5}">
  <dimension ref="A1:I106"/>
  <sheetViews>
    <sheetView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I40" sqref="I40"/>
    </sheetView>
  </sheetViews>
  <sheetFormatPr baseColWidth="10" defaultRowHeight="16" x14ac:dyDescent="0.2"/>
  <cols>
    <col min="1" max="1" width="18.5" customWidth="1"/>
    <col min="2" max="2" width="8.5" bestFit="1" customWidth="1"/>
    <col min="3" max="3" width="15.6640625" customWidth="1"/>
    <col min="4" max="4" width="17.1640625" customWidth="1"/>
    <col min="5" max="5" width="20.1640625" customWidth="1"/>
  </cols>
  <sheetData>
    <row r="1" spans="1:5" ht="6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2021</v>
      </c>
      <c r="B2" t="s">
        <v>5</v>
      </c>
      <c r="C2">
        <v>0</v>
      </c>
      <c r="D2">
        <v>0</v>
      </c>
      <c r="E2">
        <v>0</v>
      </c>
    </row>
    <row r="3" spans="1:5" x14ac:dyDescent="0.2">
      <c r="A3">
        <v>2021</v>
      </c>
      <c r="B3" t="s">
        <v>6</v>
      </c>
      <c r="C3">
        <v>0</v>
      </c>
      <c r="D3">
        <v>0</v>
      </c>
      <c r="E3">
        <v>0</v>
      </c>
    </row>
    <row r="4" spans="1:5" x14ac:dyDescent="0.2">
      <c r="A4">
        <v>2021</v>
      </c>
      <c r="B4" t="s">
        <v>7</v>
      </c>
      <c r="C4">
        <v>0</v>
      </c>
      <c r="D4">
        <v>0</v>
      </c>
      <c r="E4">
        <v>0</v>
      </c>
    </row>
    <row r="5" spans="1:5" x14ac:dyDescent="0.2">
      <c r="A5">
        <v>2021</v>
      </c>
      <c r="B5" t="s">
        <v>8</v>
      </c>
      <c r="C5">
        <v>0</v>
      </c>
      <c r="D5">
        <v>0</v>
      </c>
      <c r="E5">
        <v>0</v>
      </c>
    </row>
    <row r="6" spans="1:5" x14ac:dyDescent="0.2">
      <c r="A6">
        <v>2021</v>
      </c>
      <c r="B6" t="s">
        <v>9</v>
      </c>
      <c r="C6">
        <v>0</v>
      </c>
      <c r="D6">
        <v>1</v>
      </c>
      <c r="E6">
        <v>0</v>
      </c>
    </row>
    <row r="7" spans="1:5" x14ac:dyDescent="0.2">
      <c r="A7">
        <v>2021</v>
      </c>
      <c r="B7" t="s">
        <v>10</v>
      </c>
      <c r="C7">
        <v>0</v>
      </c>
      <c r="D7">
        <v>18</v>
      </c>
      <c r="E7">
        <v>1</v>
      </c>
    </row>
    <row r="8" spans="1:5" x14ac:dyDescent="0.2">
      <c r="A8">
        <v>2021</v>
      </c>
      <c r="B8" t="s">
        <v>11</v>
      </c>
      <c r="C8">
        <v>0</v>
      </c>
      <c r="D8">
        <v>20</v>
      </c>
      <c r="E8">
        <v>0</v>
      </c>
    </row>
    <row r="9" spans="1:5" x14ac:dyDescent="0.2">
      <c r="A9">
        <v>2021</v>
      </c>
      <c r="B9" t="s">
        <v>12</v>
      </c>
      <c r="C9">
        <v>0</v>
      </c>
      <c r="D9">
        <v>24</v>
      </c>
      <c r="E9">
        <v>0</v>
      </c>
    </row>
    <row r="10" spans="1:5" x14ac:dyDescent="0.2">
      <c r="A10">
        <v>2021</v>
      </c>
      <c r="B10" t="s">
        <v>13</v>
      </c>
      <c r="C10">
        <v>0</v>
      </c>
      <c r="D10">
        <v>35</v>
      </c>
      <c r="E10">
        <v>0</v>
      </c>
    </row>
    <row r="11" spans="1:5" x14ac:dyDescent="0.2">
      <c r="A11">
        <v>2021</v>
      </c>
      <c r="B11" t="s">
        <v>14</v>
      </c>
      <c r="C11">
        <v>1</v>
      </c>
      <c r="D11">
        <v>40</v>
      </c>
      <c r="E11">
        <v>2</v>
      </c>
    </row>
    <row r="12" spans="1:5" x14ac:dyDescent="0.2">
      <c r="A12">
        <v>2021</v>
      </c>
      <c r="B12" t="s">
        <v>15</v>
      </c>
      <c r="C12">
        <v>0</v>
      </c>
      <c r="D12">
        <v>37</v>
      </c>
      <c r="E12">
        <v>1</v>
      </c>
    </row>
    <row r="13" spans="1:5" x14ac:dyDescent="0.2">
      <c r="A13">
        <v>2021</v>
      </c>
      <c r="B13" t="s">
        <v>16</v>
      </c>
      <c r="C13">
        <v>3</v>
      </c>
      <c r="D13">
        <v>35</v>
      </c>
      <c r="E13">
        <v>6</v>
      </c>
    </row>
    <row r="14" spans="1:5" x14ac:dyDescent="0.2">
      <c r="A14">
        <v>2021</v>
      </c>
      <c r="B14" t="s">
        <v>17</v>
      </c>
      <c r="C14">
        <v>4</v>
      </c>
      <c r="D14">
        <v>51</v>
      </c>
      <c r="E14">
        <v>9</v>
      </c>
    </row>
    <row r="15" spans="1:5" x14ac:dyDescent="0.2">
      <c r="A15">
        <v>2021</v>
      </c>
      <c r="B15" t="s">
        <v>18</v>
      </c>
      <c r="C15">
        <v>5</v>
      </c>
      <c r="D15">
        <v>48</v>
      </c>
      <c r="E15">
        <v>12</v>
      </c>
    </row>
    <row r="16" spans="1:5" x14ac:dyDescent="0.2">
      <c r="A16">
        <v>2021</v>
      </c>
      <c r="B16" t="s">
        <v>19</v>
      </c>
      <c r="C16">
        <v>5</v>
      </c>
      <c r="D16">
        <v>50</v>
      </c>
      <c r="E16">
        <v>10</v>
      </c>
    </row>
    <row r="17" spans="1:5" x14ac:dyDescent="0.2">
      <c r="A17">
        <v>2021</v>
      </c>
      <c r="B17" t="s">
        <v>20</v>
      </c>
      <c r="C17">
        <v>8</v>
      </c>
      <c r="D17">
        <v>55</v>
      </c>
      <c r="E17">
        <v>9</v>
      </c>
    </row>
    <row r="18" spans="1:5" x14ac:dyDescent="0.2">
      <c r="A18">
        <v>2021</v>
      </c>
      <c r="B18" t="s">
        <v>21</v>
      </c>
      <c r="C18">
        <v>6</v>
      </c>
      <c r="D18">
        <v>65</v>
      </c>
      <c r="E18">
        <v>10</v>
      </c>
    </row>
    <row r="19" spans="1:5" x14ac:dyDescent="0.2">
      <c r="A19">
        <v>2021</v>
      </c>
      <c r="B19" t="s">
        <v>22</v>
      </c>
      <c r="C19">
        <v>3</v>
      </c>
      <c r="D19">
        <v>65</v>
      </c>
      <c r="E19">
        <v>7</v>
      </c>
    </row>
    <row r="20" spans="1:5" x14ac:dyDescent="0.2">
      <c r="A20">
        <v>2021</v>
      </c>
      <c r="B20" t="s">
        <v>23</v>
      </c>
      <c r="C20">
        <v>9</v>
      </c>
      <c r="D20">
        <v>73</v>
      </c>
      <c r="E20">
        <v>13</v>
      </c>
    </row>
    <row r="21" spans="1:5" x14ac:dyDescent="0.2">
      <c r="A21">
        <v>2021</v>
      </c>
      <c r="B21" t="s">
        <v>24</v>
      </c>
      <c r="C21">
        <v>11</v>
      </c>
      <c r="D21">
        <v>58</v>
      </c>
      <c r="E21">
        <v>14</v>
      </c>
    </row>
    <row r="22" spans="1:5" x14ac:dyDescent="0.2">
      <c r="A22">
        <v>2021</v>
      </c>
      <c r="B22" t="s">
        <v>25</v>
      </c>
      <c r="C22">
        <v>4</v>
      </c>
      <c r="D22">
        <v>30</v>
      </c>
      <c r="E22">
        <v>4</v>
      </c>
    </row>
    <row r="23" spans="1:5" x14ac:dyDescent="0.2">
      <c r="A23">
        <v>2021</v>
      </c>
      <c r="B23" t="s">
        <v>26</v>
      </c>
      <c r="C23">
        <v>10</v>
      </c>
      <c r="D23">
        <v>40</v>
      </c>
      <c r="E23">
        <v>10</v>
      </c>
    </row>
    <row r="24" spans="1:5" x14ac:dyDescent="0.2">
      <c r="A24">
        <v>2021</v>
      </c>
      <c r="B24" t="s">
        <v>27</v>
      </c>
      <c r="C24">
        <v>4</v>
      </c>
      <c r="D24">
        <v>20</v>
      </c>
      <c r="E24">
        <v>4</v>
      </c>
    </row>
    <row r="25" spans="1:5" x14ac:dyDescent="0.2">
      <c r="A25">
        <v>2021</v>
      </c>
      <c r="B25" t="s">
        <v>28</v>
      </c>
      <c r="C25">
        <v>0</v>
      </c>
      <c r="D25">
        <v>5</v>
      </c>
      <c r="E25">
        <v>1</v>
      </c>
    </row>
    <row r="26" spans="1:5" x14ac:dyDescent="0.2">
      <c r="A26">
        <v>2021</v>
      </c>
      <c r="B26" t="s">
        <v>29</v>
      </c>
      <c r="C26">
        <v>2</v>
      </c>
      <c r="D26">
        <v>7</v>
      </c>
      <c r="E26">
        <v>2</v>
      </c>
    </row>
    <row r="27" spans="1:5" x14ac:dyDescent="0.2">
      <c r="A27">
        <v>2021</v>
      </c>
      <c r="B27" t="s">
        <v>30</v>
      </c>
      <c r="C27">
        <v>3</v>
      </c>
      <c r="D27">
        <v>7</v>
      </c>
      <c r="E27">
        <v>3</v>
      </c>
    </row>
    <row r="28" spans="1:5" x14ac:dyDescent="0.2">
      <c r="A28">
        <v>2021</v>
      </c>
      <c r="B28" t="s">
        <v>31</v>
      </c>
      <c r="C28">
        <v>2</v>
      </c>
      <c r="D28">
        <v>4</v>
      </c>
      <c r="E28">
        <v>2</v>
      </c>
    </row>
    <row r="29" spans="1:5" x14ac:dyDescent="0.2">
      <c r="A29">
        <v>2021</v>
      </c>
      <c r="B29" t="s">
        <v>32</v>
      </c>
      <c r="C29">
        <v>2</v>
      </c>
      <c r="D29">
        <v>5</v>
      </c>
      <c r="E29">
        <v>3</v>
      </c>
    </row>
    <row r="30" spans="1:5" x14ac:dyDescent="0.2">
      <c r="A30">
        <v>2021</v>
      </c>
      <c r="B30" t="s">
        <v>33</v>
      </c>
      <c r="C30">
        <v>9</v>
      </c>
      <c r="D30">
        <v>15</v>
      </c>
      <c r="E30">
        <v>9</v>
      </c>
    </row>
    <row r="31" spans="1:5" x14ac:dyDescent="0.2">
      <c r="A31">
        <v>2021</v>
      </c>
      <c r="B31" t="s">
        <v>34</v>
      </c>
      <c r="C31">
        <v>12</v>
      </c>
      <c r="D31">
        <v>15</v>
      </c>
      <c r="E31">
        <v>12</v>
      </c>
    </row>
    <row r="32" spans="1:5" x14ac:dyDescent="0.2">
      <c r="A32">
        <v>2021</v>
      </c>
      <c r="B32" t="s">
        <v>35</v>
      </c>
      <c r="C32">
        <v>19</v>
      </c>
      <c r="D32">
        <v>20</v>
      </c>
      <c r="E32">
        <v>19</v>
      </c>
    </row>
    <row r="33" spans="1:9" x14ac:dyDescent="0.2">
      <c r="A33">
        <v>2021</v>
      </c>
      <c r="B33" t="s">
        <v>36</v>
      </c>
      <c r="C33">
        <v>20</v>
      </c>
      <c r="D33">
        <v>26</v>
      </c>
      <c r="E33">
        <v>21</v>
      </c>
    </row>
    <row r="34" spans="1:9" x14ac:dyDescent="0.2">
      <c r="A34">
        <v>2021</v>
      </c>
      <c r="B34" t="s">
        <v>37</v>
      </c>
      <c r="C34">
        <v>20</v>
      </c>
      <c r="D34">
        <v>23</v>
      </c>
      <c r="E34">
        <v>20</v>
      </c>
    </row>
    <row r="35" spans="1:9" x14ac:dyDescent="0.2">
      <c r="A35">
        <v>2021</v>
      </c>
      <c r="B35" t="s">
        <v>38</v>
      </c>
      <c r="C35">
        <v>24</v>
      </c>
      <c r="D35">
        <v>27</v>
      </c>
      <c r="E35">
        <v>24</v>
      </c>
    </row>
    <row r="36" spans="1:9" x14ac:dyDescent="0.2">
      <c r="A36">
        <v>2021</v>
      </c>
      <c r="B36" t="s">
        <v>39</v>
      </c>
      <c r="C36">
        <v>28</v>
      </c>
      <c r="D36">
        <v>30</v>
      </c>
      <c r="E36">
        <v>28</v>
      </c>
    </row>
    <row r="37" spans="1:9" x14ac:dyDescent="0.2">
      <c r="A37">
        <v>2021</v>
      </c>
      <c r="B37" t="s">
        <v>40</v>
      </c>
      <c r="C37">
        <v>25</v>
      </c>
      <c r="D37">
        <v>25</v>
      </c>
      <c r="E37">
        <v>25</v>
      </c>
    </row>
    <row r="38" spans="1:9" x14ac:dyDescent="0.2">
      <c r="A38">
        <v>2021</v>
      </c>
      <c r="B38" t="s">
        <v>41</v>
      </c>
      <c r="C38">
        <v>20</v>
      </c>
      <c r="D38">
        <v>21</v>
      </c>
      <c r="E38">
        <v>20</v>
      </c>
      <c r="I38">
        <f>1-9/91</f>
        <v>0.90109890109890112</v>
      </c>
    </row>
    <row r="39" spans="1:9" x14ac:dyDescent="0.2">
      <c r="A39">
        <v>2021</v>
      </c>
      <c r="B39" t="s">
        <v>42</v>
      </c>
      <c r="C39">
        <v>22</v>
      </c>
      <c r="D39">
        <v>22</v>
      </c>
      <c r="E39">
        <v>22</v>
      </c>
    </row>
    <row r="40" spans="1:9" x14ac:dyDescent="0.2">
      <c r="A40">
        <v>2021</v>
      </c>
      <c r="B40" t="s">
        <v>43</v>
      </c>
      <c r="C40">
        <v>17</v>
      </c>
      <c r="D40">
        <v>18</v>
      </c>
      <c r="E40">
        <v>17</v>
      </c>
      <c r="I40">
        <f>1-(8/9)/2</f>
        <v>0.55555555555555558</v>
      </c>
    </row>
    <row r="41" spans="1:9" x14ac:dyDescent="0.2">
      <c r="A41">
        <v>2021</v>
      </c>
      <c r="B41" t="s">
        <v>44</v>
      </c>
      <c r="C41">
        <v>18</v>
      </c>
      <c r="D41">
        <v>18</v>
      </c>
      <c r="E41">
        <v>18</v>
      </c>
    </row>
    <row r="42" spans="1:9" x14ac:dyDescent="0.2">
      <c r="A42">
        <v>2021</v>
      </c>
      <c r="B42" t="s">
        <v>45</v>
      </c>
      <c r="C42">
        <v>27</v>
      </c>
      <c r="D42">
        <v>27</v>
      </c>
      <c r="E42">
        <v>27</v>
      </c>
    </row>
    <row r="43" spans="1:9" x14ac:dyDescent="0.2">
      <c r="A43">
        <v>2021</v>
      </c>
      <c r="B43" t="s">
        <v>46</v>
      </c>
      <c r="C43">
        <v>40</v>
      </c>
      <c r="D43">
        <v>40</v>
      </c>
      <c r="E43">
        <v>40</v>
      </c>
    </row>
    <row r="44" spans="1:9" x14ac:dyDescent="0.2">
      <c r="A44">
        <v>2021</v>
      </c>
      <c r="B44" t="s">
        <v>47</v>
      </c>
      <c r="C44">
        <v>88</v>
      </c>
      <c r="D44">
        <v>90</v>
      </c>
      <c r="E44">
        <v>88</v>
      </c>
    </row>
    <row r="45" spans="1:9" x14ac:dyDescent="0.2">
      <c r="A45">
        <v>2021</v>
      </c>
      <c r="B45" t="s">
        <v>48</v>
      </c>
      <c r="C45">
        <v>137</v>
      </c>
      <c r="D45">
        <v>139</v>
      </c>
      <c r="E45">
        <v>137</v>
      </c>
    </row>
    <row r="46" spans="1:9" x14ac:dyDescent="0.2">
      <c r="A46">
        <v>2021</v>
      </c>
      <c r="B46" t="s">
        <v>49</v>
      </c>
      <c r="C46">
        <v>160</v>
      </c>
      <c r="D46">
        <v>163</v>
      </c>
      <c r="E46">
        <v>160</v>
      </c>
    </row>
    <row r="47" spans="1:9" x14ac:dyDescent="0.2">
      <c r="A47">
        <v>2021</v>
      </c>
      <c r="B47" t="s">
        <v>50</v>
      </c>
      <c r="C47">
        <v>239</v>
      </c>
      <c r="D47">
        <v>247</v>
      </c>
      <c r="E47">
        <v>241</v>
      </c>
    </row>
    <row r="48" spans="1:9" x14ac:dyDescent="0.2">
      <c r="A48">
        <v>2021</v>
      </c>
      <c r="B48" t="s">
        <v>51</v>
      </c>
      <c r="C48">
        <v>324</v>
      </c>
      <c r="D48">
        <v>330</v>
      </c>
      <c r="E48">
        <v>324</v>
      </c>
    </row>
    <row r="49" spans="1:5" x14ac:dyDescent="0.2">
      <c r="A49">
        <v>2021</v>
      </c>
      <c r="B49" t="s">
        <v>52</v>
      </c>
      <c r="C49">
        <v>341</v>
      </c>
      <c r="D49">
        <v>350</v>
      </c>
      <c r="E49">
        <v>341</v>
      </c>
    </row>
    <row r="50" spans="1:5" x14ac:dyDescent="0.2">
      <c r="A50">
        <v>2021</v>
      </c>
      <c r="B50" t="s">
        <v>53</v>
      </c>
      <c r="C50">
        <v>281</v>
      </c>
      <c r="D50">
        <v>292</v>
      </c>
      <c r="E50">
        <v>282</v>
      </c>
    </row>
    <row r="51" spans="1:5" x14ac:dyDescent="0.2">
      <c r="A51">
        <v>2021</v>
      </c>
      <c r="B51" t="s">
        <v>54</v>
      </c>
      <c r="C51">
        <v>209</v>
      </c>
      <c r="D51">
        <v>216</v>
      </c>
      <c r="E51">
        <v>209</v>
      </c>
    </row>
    <row r="52" spans="1:5" x14ac:dyDescent="0.2">
      <c r="A52">
        <v>2021</v>
      </c>
      <c r="B52" t="s">
        <v>55</v>
      </c>
      <c r="C52">
        <v>206</v>
      </c>
      <c r="D52">
        <v>208</v>
      </c>
      <c r="E52">
        <v>206</v>
      </c>
    </row>
    <row r="53" spans="1:5" x14ac:dyDescent="0.2">
      <c r="A53">
        <v>2021</v>
      </c>
      <c r="B53" t="s">
        <v>56</v>
      </c>
      <c r="C53">
        <v>137</v>
      </c>
      <c r="D53">
        <v>141</v>
      </c>
      <c r="E53">
        <v>137</v>
      </c>
    </row>
    <row r="54" spans="1:5" x14ac:dyDescent="0.2">
      <c r="A54">
        <v>2022</v>
      </c>
      <c r="B54" t="s">
        <v>5</v>
      </c>
      <c r="C54">
        <v>91</v>
      </c>
      <c r="D54">
        <v>94</v>
      </c>
      <c r="E54">
        <v>91</v>
      </c>
    </row>
    <row r="55" spans="1:5" x14ac:dyDescent="0.2">
      <c r="A55">
        <v>2022</v>
      </c>
      <c r="B55" t="s">
        <v>6</v>
      </c>
      <c r="C55">
        <v>65</v>
      </c>
      <c r="D55">
        <v>67</v>
      </c>
      <c r="E55">
        <v>65</v>
      </c>
    </row>
    <row r="56" spans="1:5" x14ac:dyDescent="0.2">
      <c r="A56">
        <v>2022</v>
      </c>
      <c r="B56" t="s">
        <v>7</v>
      </c>
      <c r="C56">
        <v>50</v>
      </c>
      <c r="D56">
        <v>50</v>
      </c>
      <c r="E56">
        <v>50</v>
      </c>
    </row>
    <row r="57" spans="1:5" x14ac:dyDescent="0.2">
      <c r="A57">
        <v>2022</v>
      </c>
      <c r="B57" t="s">
        <v>8</v>
      </c>
      <c r="C57">
        <v>58</v>
      </c>
      <c r="D57">
        <v>60</v>
      </c>
      <c r="E57">
        <v>58</v>
      </c>
    </row>
    <row r="58" spans="1:5" x14ac:dyDescent="0.2">
      <c r="A58">
        <v>2022</v>
      </c>
      <c r="B58" t="s">
        <v>9</v>
      </c>
      <c r="C58">
        <v>68</v>
      </c>
      <c r="D58">
        <v>70</v>
      </c>
      <c r="E58">
        <v>68</v>
      </c>
    </row>
    <row r="59" spans="1:5" x14ac:dyDescent="0.2">
      <c r="A59">
        <v>2022</v>
      </c>
      <c r="B59" t="s">
        <v>10</v>
      </c>
      <c r="C59">
        <v>61</v>
      </c>
      <c r="D59">
        <v>64</v>
      </c>
      <c r="E59">
        <v>61</v>
      </c>
    </row>
    <row r="60" spans="1:5" x14ac:dyDescent="0.2">
      <c r="A60">
        <v>2022</v>
      </c>
      <c r="B60" t="s">
        <v>11</v>
      </c>
      <c r="C60">
        <v>72</v>
      </c>
      <c r="D60">
        <v>75</v>
      </c>
      <c r="E60">
        <v>72</v>
      </c>
    </row>
    <row r="61" spans="1:5" x14ac:dyDescent="0.2">
      <c r="A61">
        <v>2022</v>
      </c>
      <c r="B61" t="s">
        <v>12</v>
      </c>
      <c r="C61">
        <v>67</v>
      </c>
      <c r="D61">
        <v>69</v>
      </c>
      <c r="E61">
        <v>67</v>
      </c>
    </row>
    <row r="62" spans="1:5" x14ac:dyDescent="0.2">
      <c r="A62">
        <v>2022</v>
      </c>
      <c r="B62" t="s">
        <v>13</v>
      </c>
      <c r="C62">
        <v>58</v>
      </c>
      <c r="D62">
        <v>59</v>
      </c>
      <c r="E62">
        <v>58</v>
      </c>
    </row>
    <row r="63" spans="1:5" x14ac:dyDescent="0.2">
      <c r="A63">
        <v>2022</v>
      </c>
      <c r="B63" t="s">
        <v>14</v>
      </c>
      <c r="C63">
        <v>106</v>
      </c>
      <c r="D63">
        <v>108</v>
      </c>
      <c r="E63">
        <v>106</v>
      </c>
    </row>
    <row r="64" spans="1:5" x14ac:dyDescent="0.2">
      <c r="A64">
        <v>2022</v>
      </c>
      <c r="B64" t="s">
        <v>15</v>
      </c>
      <c r="C64">
        <v>108</v>
      </c>
      <c r="D64">
        <v>110</v>
      </c>
      <c r="E64">
        <v>109</v>
      </c>
    </row>
    <row r="65" spans="1:5" x14ac:dyDescent="0.2">
      <c r="A65">
        <v>2022</v>
      </c>
      <c r="B65" t="s">
        <v>16</v>
      </c>
      <c r="C65">
        <v>113</v>
      </c>
      <c r="D65">
        <v>115</v>
      </c>
      <c r="E65">
        <v>113</v>
      </c>
    </row>
    <row r="66" spans="1:5" x14ac:dyDescent="0.2">
      <c r="A66">
        <v>2022</v>
      </c>
      <c r="B66" t="s">
        <v>17</v>
      </c>
      <c r="C66">
        <v>90</v>
      </c>
      <c r="D66">
        <v>93</v>
      </c>
      <c r="E66">
        <v>90</v>
      </c>
    </row>
    <row r="67" spans="1:5" x14ac:dyDescent="0.2">
      <c r="A67">
        <v>2022</v>
      </c>
      <c r="B67" t="s">
        <v>18</v>
      </c>
      <c r="C67">
        <v>89</v>
      </c>
      <c r="D67">
        <v>93</v>
      </c>
      <c r="E67">
        <v>89</v>
      </c>
    </row>
    <row r="68" spans="1:5" x14ac:dyDescent="0.2">
      <c r="A68">
        <v>2022</v>
      </c>
      <c r="B68" t="s">
        <v>19</v>
      </c>
      <c r="C68">
        <v>72</v>
      </c>
      <c r="D68">
        <v>72</v>
      </c>
      <c r="E68">
        <v>72</v>
      </c>
    </row>
    <row r="69" spans="1:5" x14ac:dyDescent="0.2">
      <c r="A69">
        <v>2022</v>
      </c>
      <c r="B69" t="s">
        <v>20</v>
      </c>
      <c r="C69">
        <v>66</v>
      </c>
      <c r="D69">
        <v>66</v>
      </c>
      <c r="E69">
        <v>66</v>
      </c>
    </row>
    <row r="70" spans="1:5" x14ac:dyDescent="0.2">
      <c r="A70">
        <v>2022</v>
      </c>
      <c r="B70" t="s">
        <v>21</v>
      </c>
      <c r="C70">
        <v>39</v>
      </c>
      <c r="D70">
        <v>39</v>
      </c>
      <c r="E70">
        <v>39</v>
      </c>
    </row>
    <row r="71" spans="1:5" x14ac:dyDescent="0.2">
      <c r="A71">
        <v>2022</v>
      </c>
      <c r="B71" t="s">
        <v>22</v>
      </c>
      <c r="C71">
        <v>30</v>
      </c>
      <c r="D71">
        <v>31</v>
      </c>
      <c r="E71">
        <v>30</v>
      </c>
    </row>
    <row r="72" spans="1:5" x14ac:dyDescent="0.2">
      <c r="A72">
        <v>2022</v>
      </c>
      <c r="B72" t="s">
        <v>23</v>
      </c>
      <c r="C72">
        <v>25</v>
      </c>
      <c r="D72">
        <v>26</v>
      </c>
      <c r="E72">
        <v>25</v>
      </c>
    </row>
    <row r="73" spans="1:5" x14ac:dyDescent="0.2">
      <c r="A73">
        <v>2022</v>
      </c>
      <c r="B73" t="s">
        <v>24</v>
      </c>
      <c r="C73">
        <v>18</v>
      </c>
      <c r="D73">
        <v>18</v>
      </c>
      <c r="E73">
        <v>18</v>
      </c>
    </row>
    <row r="74" spans="1:5" x14ac:dyDescent="0.2">
      <c r="A74">
        <v>2022</v>
      </c>
      <c r="B74" t="s">
        <v>25</v>
      </c>
      <c r="C74">
        <v>21</v>
      </c>
      <c r="D74">
        <v>21</v>
      </c>
      <c r="E74">
        <v>21</v>
      </c>
    </row>
    <row r="75" spans="1:5" x14ac:dyDescent="0.2">
      <c r="A75">
        <v>2022</v>
      </c>
      <c r="B75" t="s">
        <v>26</v>
      </c>
      <c r="C75">
        <v>14</v>
      </c>
      <c r="D75">
        <v>14</v>
      </c>
      <c r="E75">
        <v>14</v>
      </c>
    </row>
    <row r="76" spans="1:5" x14ac:dyDescent="0.2">
      <c r="A76">
        <v>2022</v>
      </c>
      <c r="B76" t="s">
        <v>27</v>
      </c>
      <c r="C76">
        <v>13</v>
      </c>
      <c r="D76">
        <v>13</v>
      </c>
      <c r="E76">
        <v>13</v>
      </c>
    </row>
    <row r="77" spans="1:5" x14ac:dyDescent="0.2">
      <c r="A77">
        <v>2022</v>
      </c>
      <c r="B77" t="s">
        <v>28</v>
      </c>
      <c r="C77">
        <v>32</v>
      </c>
      <c r="D77">
        <v>32</v>
      </c>
      <c r="E77">
        <v>32</v>
      </c>
    </row>
    <row r="78" spans="1:5" x14ac:dyDescent="0.2">
      <c r="A78">
        <v>2022</v>
      </c>
      <c r="B78" t="s">
        <v>29</v>
      </c>
      <c r="C78">
        <v>22</v>
      </c>
      <c r="D78">
        <v>22</v>
      </c>
      <c r="E78">
        <v>22</v>
      </c>
    </row>
    <row r="79" spans="1:5" x14ac:dyDescent="0.2">
      <c r="A79">
        <v>2022</v>
      </c>
      <c r="B79" t="s">
        <v>30</v>
      </c>
      <c r="C79">
        <v>57</v>
      </c>
      <c r="D79">
        <v>58</v>
      </c>
      <c r="E79">
        <v>57</v>
      </c>
    </row>
    <row r="80" spans="1:5" x14ac:dyDescent="0.2">
      <c r="A80">
        <v>2022</v>
      </c>
      <c r="B80" t="s">
        <v>31</v>
      </c>
      <c r="C80">
        <v>37</v>
      </c>
      <c r="D80">
        <v>38</v>
      </c>
      <c r="E80">
        <v>37</v>
      </c>
    </row>
    <row r="81" spans="1:5" x14ac:dyDescent="0.2">
      <c r="A81">
        <v>2022</v>
      </c>
      <c r="B81" t="s">
        <v>32</v>
      </c>
      <c r="C81">
        <v>51</v>
      </c>
      <c r="D81">
        <v>51</v>
      </c>
      <c r="E81">
        <v>51</v>
      </c>
    </row>
    <row r="82" spans="1:5" x14ac:dyDescent="0.2">
      <c r="A82">
        <v>2022</v>
      </c>
      <c r="B82" t="s">
        <v>33</v>
      </c>
      <c r="C82">
        <v>59</v>
      </c>
      <c r="D82">
        <v>60</v>
      </c>
      <c r="E82">
        <v>59</v>
      </c>
    </row>
    <row r="83" spans="1:5" x14ac:dyDescent="0.2">
      <c r="A83">
        <v>2022</v>
      </c>
      <c r="B83" t="s">
        <v>34</v>
      </c>
      <c r="C83">
        <v>63</v>
      </c>
      <c r="D83">
        <v>63</v>
      </c>
      <c r="E83">
        <v>63</v>
      </c>
    </row>
    <row r="84" spans="1:5" x14ac:dyDescent="0.2">
      <c r="A84">
        <v>2022</v>
      </c>
      <c r="B84" t="s">
        <v>35</v>
      </c>
      <c r="C84">
        <v>50</v>
      </c>
      <c r="D84">
        <v>50</v>
      </c>
      <c r="E84">
        <v>50</v>
      </c>
    </row>
    <row r="85" spans="1:5" x14ac:dyDescent="0.2">
      <c r="A85">
        <v>2022</v>
      </c>
      <c r="B85" t="s">
        <v>36</v>
      </c>
      <c r="C85">
        <v>46</v>
      </c>
      <c r="D85">
        <v>46</v>
      </c>
      <c r="E85">
        <v>46</v>
      </c>
    </row>
    <row r="86" spans="1:5" x14ac:dyDescent="0.2">
      <c r="A86">
        <v>2022</v>
      </c>
      <c r="B86" t="s">
        <v>37</v>
      </c>
      <c r="C86">
        <v>30</v>
      </c>
      <c r="D86">
        <v>31</v>
      </c>
      <c r="E86">
        <v>30</v>
      </c>
    </row>
    <row r="87" spans="1:5" x14ac:dyDescent="0.2">
      <c r="A87">
        <v>2022</v>
      </c>
      <c r="B87" t="s">
        <v>38</v>
      </c>
      <c r="C87">
        <v>35</v>
      </c>
      <c r="D87">
        <v>35</v>
      </c>
      <c r="E87">
        <v>35</v>
      </c>
    </row>
    <row r="88" spans="1:5" x14ac:dyDescent="0.2">
      <c r="A88">
        <v>2022</v>
      </c>
      <c r="B88" t="s">
        <v>39</v>
      </c>
      <c r="C88">
        <v>23</v>
      </c>
      <c r="D88">
        <v>23</v>
      </c>
      <c r="E88">
        <v>23</v>
      </c>
    </row>
    <row r="89" spans="1:5" x14ac:dyDescent="0.2">
      <c r="A89">
        <v>2022</v>
      </c>
      <c r="B89" t="s">
        <v>40</v>
      </c>
      <c r="C89">
        <v>22</v>
      </c>
      <c r="D89">
        <v>24</v>
      </c>
      <c r="E89">
        <v>22</v>
      </c>
    </row>
    <row r="90" spans="1:5" x14ac:dyDescent="0.2">
      <c r="A90">
        <v>2022</v>
      </c>
      <c r="B90" t="s">
        <v>41</v>
      </c>
      <c r="C90">
        <v>20</v>
      </c>
      <c r="D90">
        <v>20</v>
      </c>
      <c r="E90">
        <v>20</v>
      </c>
    </row>
    <row r="91" spans="1:5" x14ac:dyDescent="0.2">
      <c r="A91">
        <v>2022</v>
      </c>
      <c r="B91" t="s">
        <v>42</v>
      </c>
      <c r="C91">
        <v>20</v>
      </c>
      <c r="D91">
        <v>20</v>
      </c>
      <c r="E91">
        <v>20</v>
      </c>
    </row>
    <row r="92" spans="1:5" x14ac:dyDescent="0.2">
      <c r="A92">
        <v>2022</v>
      </c>
      <c r="B92" t="s">
        <v>43</v>
      </c>
      <c r="C92">
        <v>42</v>
      </c>
      <c r="D92">
        <v>42</v>
      </c>
      <c r="E92">
        <v>42</v>
      </c>
    </row>
    <row r="93" spans="1:5" x14ac:dyDescent="0.2">
      <c r="A93">
        <v>2022</v>
      </c>
      <c r="B93" t="s">
        <v>44</v>
      </c>
      <c r="C93">
        <v>57</v>
      </c>
      <c r="D93">
        <v>58</v>
      </c>
      <c r="E93">
        <v>57</v>
      </c>
    </row>
    <row r="94" spans="1:5" x14ac:dyDescent="0.2">
      <c r="A94">
        <v>2022</v>
      </c>
      <c r="B94" t="s">
        <v>45</v>
      </c>
      <c r="C94">
        <v>73</v>
      </c>
      <c r="D94">
        <v>75</v>
      </c>
      <c r="E94">
        <v>73</v>
      </c>
    </row>
    <row r="95" spans="1:5" x14ac:dyDescent="0.2">
      <c r="A95">
        <v>2022</v>
      </c>
      <c r="B95" t="s">
        <v>46</v>
      </c>
      <c r="C95">
        <v>80</v>
      </c>
      <c r="D95">
        <v>80</v>
      </c>
      <c r="E95">
        <v>80</v>
      </c>
    </row>
    <row r="96" spans="1:5" x14ac:dyDescent="0.2">
      <c r="A96">
        <v>2022</v>
      </c>
      <c r="B96" t="s">
        <v>47</v>
      </c>
      <c r="C96">
        <v>67</v>
      </c>
      <c r="D96">
        <v>67</v>
      </c>
      <c r="E96">
        <v>67</v>
      </c>
    </row>
    <row r="97" spans="1:5" x14ac:dyDescent="0.2">
      <c r="A97">
        <v>2022</v>
      </c>
      <c r="B97" t="s">
        <v>48</v>
      </c>
      <c r="C97">
        <v>34</v>
      </c>
      <c r="D97">
        <v>34</v>
      </c>
      <c r="E97">
        <v>34</v>
      </c>
    </row>
    <row r="98" spans="1:5" x14ac:dyDescent="0.2">
      <c r="A98">
        <v>2022</v>
      </c>
      <c r="B98" t="s">
        <v>49</v>
      </c>
      <c r="C98">
        <v>35</v>
      </c>
      <c r="D98">
        <v>35</v>
      </c>
      <c r="E98">
        <v>35</v>
      </c>
    </row>
    <row r="99" spans="1:5" x14ac:dyDescent="0.2">
      <c r="A99">
        <v>2022</v>
      </c>
      <c r="B99" t="s">
        <v>50</v>
      </c>
      <c r="C99">
        <v>28</v>
      </c>
      <c r="D99">
        <v>29</v>
      </c>
      <c r="E99">
        <v>28</v>
      </c>
    </row>
    <row r="100" spans="1:5" x14ac:dyDescent="0.2">
      <c r="A100">
        <v>2022</v>
      </c>
      <c r="B100" t="s">
        <v>51</v>
      </c>
      <c r="C100">
        <v>34</v>
      </c>
      <c r="D100">
        <v>35</v>
      </c>
      <c r="E100">
        <v>34</v>
      </c>
    </row>
    <row r="101" spans="1:5" x14ac:dyDescent="0.2">
      <c r="A101">
        <v>2022</v>
      </c>
      <c r="B101" t="s">
        <v>52</v>
      </c>
      <c r="C101">
        <v>29</v>
      </c>
      <c r="D101">
        <v>30</v>
      </c>
      <c r="E101">
        <v>29</v>
      </c>
    </row>
    <row r="102" spans="1:5" x14ac:dyDescent="0.2">
      <c r="A102">
        <v>2022</v>
      </c>
      <c r="B102" t="s">
        <v>53</v>
      </c>
      <c r="C102">
        <v>31</v>
      </c>
      <c r="D102">
        <v>31</v>
      </c>
      <c r="E102">
        <v>31</v>
      </c>
    </row>
    <row r="103" spans="1:5" x14ac:dyDescent="0.2">
      <c r="A103">
        <v>2022</v>
      </c>
      <c r="B103" t="s">
        <v>54</v>
      </c>
      <c r="C103">
        <v>44</v>
      </c>
      <c r="D103">
        <v>44</v>
      </c>
      <c r="E103">
        <v>44</v>
      </c>
    </row>
    <row r="104" spans="1:5" x14ac:dyDescent="0.2">
      <c r="A104">
        <v>2022</v>
      </c>
      <c r="B104" t="s">
        <v>55</v>
      </c>
      <c r="C104">
        <v>39</v>
      </c>
      <c r="D104">
        <v>39</v>
      </c>
      <c r="E104">
        <v>39</v>
      </c>
    </row>
    <row r="105" spans="1:5" x14ac:dyDescent="0.2">
      <c r="A105">
        <v>2022</v>
      </c>
      <c r="B105" t="s">
        <v>57</v>
      </c>
      <c r="C105">
        <v>58</v>
      </c>
      <c r="D105">
        <v>59</v>
      </c>
      <c r="E105">
        <v>58</v>
      </c>
    </row>
    <row r="106" spans="1:5" x14ac:dyDescent="0.2">
      <c r="A10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6B0-0DCB-8B4A-A8D9-43CC90360C71}">
  <dimension ref="A1:G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baseColWidth="10" defaultRowHeight="16" x14ac:dyDescent="0.2"/>
  <cols>
    <col min="1" max="1" width="14.5" customWidth="1"/>
    <col min="2" max="2" width="8" bestFit="1" customWidth="1"/>
    <col min="3" max="3" width="20.5" customWidth="1"/>
    <col min="4" max="4" width="20.83203125" customWidth="1"/>
    <col min="5" max="5" width="18" customWidth="1"/>
  </cols>
  <sheetData>
    <row r="1" spans="1:7" ht="6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7" x14ac:dyDescent="0.2">
      <c r="A2">
        <v>2021</v>
      </c>
      <c r="B2" t="s">
        <v>5</v>
      </c>
      <c r="C2">
        <v>0</v>
      </c>
      <c r="D2">
        <v>0</v>
      </c>
      <c r="E2">
        <v>0</v>
      </c>
    </row>
    <row r="3" spans="1:7" x14ac:dyDescent="0.2">
      <c r="A3">
        <v>2021</v>
      </c>
      <c r="B3" t="s">
        <v>6</v>
      </c>
      <c r="C3">
        <v>0</v>
      </c>
      <c r="D3">
        <v>0</v>
      </c>
      <c r="E3">
        <v>0</v>
      </c>
    </row>
    <row r="4" spans="1:7" x14ac:dyDescent="0.2">
      <c r="A4">
        <v>2021</v>
      </c>
      <c r="B4" t="s">
        <v>7</v>
      </c>
      <c r="C4">
        <v>0</v>
      </c>
      <c r="D4">
        <v>0</v>
      </c>
      <c r="E4">
        <v>0</v>
      </c>
    </row>
    <row r="5" spans="1:7" x14ac:dyDescent="0.2">
      <c r="A5">
        <v>2021</v>
      </c>
      <c r="B5" t="s">
        <v>8</v>
      </c>
      <c r="C5">
        <v>0</v>
      </c>
      <c r="D5">
        <v>20</v>
      </c>
      <c r="E5">
        <v>1</v>
      </c>
    </row>
    <row r="6" spans="1:7" x14ac:dyDescent="0.2">
      <c r="A6">
        <v>2021</v>
      </c>
      <c r="B6" t="s">
        <v>9</v>
      </c>
      <c r="C6">
        <v>0</v>
      </c>
      <c r="D6" s="4">
        <v>211</v>
      </c>
      <c r="E6">
        <v>6</v>
      </c>
      <c r="G6" t="s">
        <v>78</v>
      </c>
    </row>
    <row r="7" spans="1:7" x14ac:dyDescent="0.2">
      <c r="A7">
        <v>2021</v>
      </c>
      <c r="B7" t="s">
        <v>10</v>
      </c>
      <c r="C7">
        <v>0</v>
      </c>
      <c r="D7">
        <v>375</v>
      </c>
      <c r="E7">
        <v>6</v>
      </c>
    </row>
    <row r="8" spans="1:7" x14ac:dyDescent="0.2">
      <c r="A8">
        <v>2021</v>
      </c>
      <c r="B8" t="s">
        <v>11</v>
      </c>
      <c r="C8" s="5">
        <v>12</v>
      </c>
      <c r="D8">
        <v>478</v>
      </c>
      <c r="E8">
        <v>36</v>
      </c>
      <c r="G8" t="s">
        <v>79</v>
      </c>
    </row>
    <row r="9" spans="1:7" x14ac:dyDescent="0.2">
      <c r="A9">
        <v>2021</v>
      </c>
      <c r="B9" t="s">
        <v>12</v>
      </c>
      <c r="C9">
        <v>20</v>
      </c>
      <c r="D9">
        <v>472</v>
      </c>
      <c r="E9">
        <v>42</v>
      </c>
    </row>
    <row r="10" spans="1:7" x14ac:dyDescent="0.2">
      <c r="A10">
        <v>2021</v>
      </c>
      <c r="B10" t="s">
        <v>13</v>
      </c>
      <c r="C10">
        <v>33</v>
      </c>
      <c r="D10">
        <v>478</v>
      </c>
      <c r="E10" s="5">
        <v>206</v>
      </c>
      <c r="G10" t="s">
        <v>80</v>
      </c>
    </row>
    <row r="11" spans="1:7" x14ac:dyDescent="0.2">
      <c r="A11">
        <v>2021</v>
      </c>
      <c r="B11" t="s">
        <v>14</v>
      </c>
      <c r="C11">
        <v>54</v>
      </c>
      <c r="D11">
        <v>566</v>
      </c>
      <c r="E11">
        <v>351</v>
      </c>
    </row>
    <row r="12" spans="1:7" x14ac:dyDescent="0.2">
      <c r="A12">
        <v>2021</v>
      </c>
      <c r="B12" t="s">
        <v>15</v>
      </c>
      <c r="C12" s="5">
        <v>216</v>
      </c>
      <c r="D12">
        <v>509</v>
      </c>
      <c r="E12">
        <v>353</v>
      </c>
      <c r="G12" t="s">
        <v>81</v>
      </c>
    </row>
    <row r="13" spans="1:7" x14ac:dyDescent="0.2">
      <c r="A13">
        <v>2021</v>
      </c>
      <c r="B13" t="s">
        <v>16</v>
      </c>
      <c r="C13">
        <v>411</v>
      </c>
      <c r="D13">
        <v>581</v>
      </c>
      <c r="E13">
        <v>428</v>
      </c>
    </row>
    <row r="14" spans="1:7" x14ac:dyDescent="0.2">
      <c r="A14">
        <v>2021</v>
      </c>
      <c r="B14" t="s">
        <v>17</v>
      </c>
      <c r="C14">
        <v>419</v>
      </c>
      <c r="D14">
        <v>587</v>
      </c>
      <c r="E14">
        <v>445</v>
      </c>
    </row>
    <row r="15" spans="1:7" x14ac:dyDescent="0.2">
      <c r="A15">
        <v>2021</v>
      </c>
      <c r="B15" t="s">
        <v>18</v>
      </c>
      <c r="C15">
        <v>437</v>
      </c>
      <c r="D15">
        <v>606</v>
      </c>
      <c r="E15">
        <v>487</v>
      </c>
    </row>
    <row r="16" spans="1:7" x14ac:dyDescent="0.2">
      <c r="A16">
        <v>2021</v>
      </c>
      <c r="B16" t="s">
        <v>19</v>
      </c>
      <c r="C16">
        <v>459</v>
      </c>
      <c r="D16">
        <v>604</v>
      </c>
      <c r="E16">
        <v>513</v>
      </c>
    </row>
    <row r="17" spans="1:5" x14ac:dyDescent="0.2">
      <c r="A17">
        <v>2021</v>
      </c>
      <c r="B17" t="s">
        <v>20</v>
      </c>
      <c r="C17">
        <v>508</v>
      </c>
      <c r="D17">
        <v>634</v>
      </c>
      <c r="E17">
        <v>533</v>
      </c>
    </row>
    <row r="18" spans="1:5" x14ac:dyDescent="0.2">
      <c r="A18">
        <v>2021</v>
      </c>
      <c r="B18" t="s">
        <v>21</v>
      </c>
      <c r="C18">
        <v>557</v>
      </c>
      <c r="D18">
        <v>667</v>
      </c>
      <c r="E18">
        <v>564</v>
      </c>
    </row>
    <row r="19" spans="1:5" x14ac:dyDescent="0.2">
      <c r="A19">
        <v>2021</v>
      </c>
      <c r="B19" t="s">
        <v>22</v>
      </c>
      <c r="C19">
        <v>590</v>
      </c>
      <c r="D19">
        <v>700</v>
      </c>
      <c r="E19">
        <v>597</v>
      </c>
    </row>
    <row r="20" spans="1:5" x14ac:dyDescent="0.2">
      <c r="A20">
        <v>2021</v>
      </c>
      <c r="B20" t="s">
        <v>23</v>
      </c>
      <c r="C20">
        <v>570</v>
      </c>
      <c r="D20">
        <v>700</v>
      </c>
      <c r="E20">
        <v>585</v>
      </c>
    </row>
    <row r="21" spans="1:5" x14ac:dyDescent="0.2">
      <c r="A21">
        <v>2021</v>
      </c>
      <c r="B21" t="s">
        <v>24</v>
      </c>
      <c r="C21">
        <v>556</v>
      </c>
      <c r="D21">
        <v>698</v>
      </c>
      <c r="E21">
        <v>578</v>
      </c>
    </row>
    <row r="22" spans="1:5" x14ac:dyDescent="0.2">
      <c r="A22">
        <v>2021</v>
      </c>
      <c r="B22" t="s">
        <v>25</v>
      </c>
      <c r="C22">
        <v>627</v>
      </c>
      <c r="D22">
        <v>742</v>
      </c>
      <c r="E22">
        <v>641</v>
      </c>
    </row>
    <row r="23" spans="1:5" x14ac:dyDescent="0.2">
      <c r="A23">
        <v>2021</v>
      </c>
      <c r="B23" t="s">
        <v>26</v>
      </c>
      <c r="C23">
        <v>715</v>
      </c>
      <c r="D23">
        <v>811</v>
      </c>
      <c r="E23">
        <v>726</v>
      </c>
    </row>
    <row r="24" spans="1:5" x14ac:dyDescent="0.2">
      <c r="A24">
        <v>2021</v>
      </c>
      <c r="B24" t="s">
        <v>27</v>
      </c>
      <c r="C24">
        <v>647</v>
      </c>
      <c r="D24">
        <v>757</v>
      </c>
      <c r="E24">
        <v>655</v>
      </c>
    </row>
    <row r="25" spans="1:5" x14ac:dyDescent="0.2">
      <c r="A25">
        <v>2021</v>
      </c>
      <c r="B25" t="s">
        <v>28</v>
      </c>
      <c r="C25">
        <v>726</v>
      </c>
      <c r="D25">
        <v>834</v>
      </c>
      <c r="E25">
        <v>732</v>
      </c>
    </row>
    <row r="26" spans="1:5" x14ac:dyDescent="0.2">
      <c r="A26">
        <v>2021</v>
      </c>
      <c r="B26" t="s">
        <v>29</v>
      </c>
      <c r="C26">
        <v>623</v>
      </c>
      <c r="D26">
        <v>725</v>
      </c>
      <c r="E26">
        <v>633</v>
      </c>
    </row>
    <row r="27" spans="1:5" x14ac:dyDescent="0.2">
      <c r="A27">
        <v>2021</v>
      </c>
      <c r="B27" t="s">
        <v>30</v>
      </c>
      <c r="C27">
        <v>686</v>
      </c>
      <c r="D27">
        <v>773</v>
      </c>
      <c r="E27">
        <v>693</v>
      </c>
    </row>
    <row r="28" spans="1:5" x14ac:dyDescent="0.2">
      <c r="A28">
        <v>2021</v>
      </c>
      <c r="B28" t="s">
        <v>31</v>
      </c>
      <c r="C28">
        <v>721</v>
      </c>
      <c r="D28">
        <v>818</v>
      </c>
      <c r="E28">
        <v>730</v>
      </c>
    </row>
    <row r="29" spans="1:5" x14ac:dyDescent="0.2">
      <c r="A29">
        <v>2021</v>
      </c>
      <c r="B29" t="s">
        <v>32</v>
      </c>
      <c r="C29">
        <v>720</v>
      </c>
      <c r="D29">
        <v>814</v>
      </c>
      <c r="E29">
        <v>731</v>
      </c>
    </row>
    <row r="30" spans="1:5" x14ac:dyDescent="0.2">
      <c r="A30">
        <v>2021</v>
      </c>
      <c r="B30" t="s">
        <v>33</v>
      </c>
      <c r="C30">
        <v>700</v>
      </c>
      <c r="D30">
        <v>772</v>
      </c>
      <c r="E30">
        <v>710</v>
      </c>
    </row>
    <row r="31" spans="1:5" x14ac:dyDescent="0.2">
      <c r="A31">
        <v>2021</v>
      </c>
      <c r="B31" t="s">
        <v>34</v>
      </c>
      <c r="C31">
        <v>767</v>
      </c>
      <c r="D31">
        <v>833</v>
      </c>
      <c r="E31">
        <v>775</v>
      </c>
    </row>
    <row r="32" spans="1:5" x14ac:dyDescent="0.2">
      <c r="A32">
        <v>2021</v>
      </c>
      <c r="B32" t="s">
        <v>35</v>
      </c>
      <c r="C32">
        <v>760</v>
      </c>
      <c r="D32">
        <v>839</v>
      </c>
      <c r="E32">
        <v>766</v>
      </c>
    </row>
    <row r="33" spans="1:5" x14ac:dyDescent="0.2">
      <c r="A33">
        <v>2021</v>
      </c>
      <c r="B33" t="s">
        <v>36</v>
      </c>
      <c r="C33">
        <v>750</v>
      </c>
      <c r="D33">
        <v>816</v>
      </c>
      <c r="E33">
        <v>753</v>
      </c>
    </row>
    <row r="34" spans="1:5" x14ac:dyDescent="0.2">
      <c r="A34">
        <v>2021</v>
      </c>
      <c r="B34" t="s">
        <v>37</v>
      </c>
      <c r="C34">
        <v>765</v>
      </c>
      <c r="D34">
        <v>845</v>
      </c>
      <c r="E34">
        <v>769</v>
      </c>
    </row>
    <row r="35" spans="1:5" x14ac:dyDescent="0.2">
      <c r="A35">
        <v>2021</v>
      </c>
      <c r="B35" t="s">
        <v>38</v>
      </c>
      <c r="C35">
        <v>725</v>
      </c>
      <c r="D35">
        <v>793</v>
      </c>
      <c r="E35">
        <v>725</v>
      </c>
    </row>
    <row r="36" spans="1:5" x14ac:dyDescent="0.2">
      <c r="A36">
        <v>2021</v>
      </c>
      <c r="B36" t="s">
        <v>39</v>
      </c>
      <c r="C36">
        <v>778</v>
      </c>
      <c r="D36">
        <v>838</v>
      </c>
      <c r="E36">
        <v>780</v>
      </c>
    </row>
    <row r="37" spans="1:5" x14ac:dyDescent="0.2">
      <c r="A37">
        <v>2021</v>
      </c>
      <c r="B37" t="s">
        <v>40</v>
      </c>
      <c r="C37">
        <v>804</v>
      </c>
      <c r="D37">
        <v>874</v>
      </c>
      <c r="E37">
        <v>808</v>
      </c>
    </row>
    <row r="38" spans="1:5" x14ac:dyDescent="0.2">
      <c r="A38">
        <v>2021</v>
      </c>
      <c r="B38" t="s">
        <v>41</v>
      </c>
      <c r="C38">
        <v>733</v>
      </c>
      <c r="D38">
        <v>790</v>
      </c>
      <c r="E38">
        <v>733</v>
      </c>
    </row>
    <row r="39" spans="1:5" x14ac:dyDescent="0.2">
      <c r="A39">
        <v>2021</v>
      </c>
      <c r="B39" t="s">
        <v>42</v>
      </c>
      <c r="C39">
        <v>776</v>
      </c>
      <c r="D39">
        <v>833</v>
      </c>
      <c r="E39">
        <v>777</v>
      </c>
    </row>
    <row r="40" spans="1:5" x14ac:dyDescent="0.2">
      <c r="A40">
        <v>2021</v>
      </c>
      <c r="B40" t="s">
        <v>43</v>
      </c>
      <c r="C40">
        <v>794</v>
      </c>
      <c r="D40">
        <v>843</v>
      </c>
      <c r="E40">
        <v>796</v>
      </c>
    </row>
    <row r="41" spans="1:5" x14ac:dyDescent="0.2">
      <c r="A41">
        <v>2021</v>
      </c>
      <c r="B41" t="s">
        <v>44</v>
      </c>
      <c r="C41">
        <v>846</v>
      </c>
      <c r="D41">
        <v>910</v>
      </c>
      <c r="E41">
        <v>847</v>
      </c>
    </row>
    <row r="42" spans="1:5" x14ac:dyDescent="0.2">
      <c r="A42">
        <v>2021</v>
      </c>
      <c r="B42" t="s">
        <v>45</v>
      </c>
      <c r="C42">
        <v>829</v>
      </c>
      <c r="D42">
        <v>893</v>
      </c>
      <c r="E42">
        <v>829</v>
      </c>
    </row>
    <row r="43" spans="1:5" x14ac:dyDescent="0.2">
      <c r="A43">
        <v>2021</v>
      </c>
      <c r="B43" t="s">
        <v>46</v>
      </c>
      <c r="C43">
        <v>868</v>
      </c>
      <c r="D43">
        <v>935</v>
      </c>
      <c r="E43">
        <v>869</v>
      </c>
    </row>
    <row r="44" spans="1:5" x14ac:dyDescent="0.2">
      <c r="A44">
        <v>2021</v>
      </c>
      <c r="B44" t="s">
        <v>47</v>
      </c>
      <c r="C44">
        <v>939</v>
      </c>
      <c r="D44">
        <v>998</v>
      </c>
      <c r="E44">
        <v>940</v>
      </c>
    </row>
    <row r="45" spans="1:5" x14ac:dyDescent="0.2">
      <c r="A45">
        <v>2021</v>
      </c>
      <c r="B45" t="s">
        <v>48</v>
      </c>
      <c r="C45">
        <v>886</v>
      </c>
      <c r="D45">
        <v>942</v>
      </c>
      <c r="E45">
        <v>886</v>
      </c>
    </row>
    <row r="46" spans="1:5" x14ac:dyDescent="0.2">
      <c r="A46">
        <v>2021</v>
      </c>
      <c r="B46" t="s">
        <v>49</v>
      </c>
      <c r="C46">
        <v>940</v>
      </c>
      <c r="D46">
        <v>993</v>
      </c>
      <c r="E46">
        <v>940</v>
      </c>
    </row>
    <row r="47" spans="1:5" x14ac:dyDescent="0.2">
      <c r="A47">
        <v>2021</v>
      </c>
      <c r="B47" t="s">
        <v>50</v>
      </c>
      <c r="C47">
        <v>951</v>
      </c>
      <c r="D47">
        <v>1007</v>
      </c>
      <c r="E47">
        <v>953</v>
      </c>
    </row>
    <row r="48" spans="1:5" x14ac:dyDescent="0.2">
      <c r="A48">
        <v>2021</v>
      </c>
      <c r="B48" t="s">
        <v>51</v>
      </c>
      <c r="C48">
        <v>935</v>
      </c>
      <c r="D48">
        <v>994</v>
      </c>
      <c r="E48">
        <v>936</v>
      </c>
    </row>
    <row r="49" spans="1:5" x14ac:dyDescent="0.2">
      <c r="A49">
        <v>2021</v>
      </c>
      <c r="B49" t="s">
        <v>52</v>
      </c>
      <c r="C49">
        <v>967</v>
      </c>
      <c r="D49">
        <v>1005</v>
      </c>
      <c r="E49">
        <v>968</v>
      </c>
    </row>
    <row r="50" spans="1:5" x14ac:dyDescent="0.2">
      <c r="A50">
        <v>2021</v>
      </c>
      <c r="B50" t="s">
        <v>53</v>
      </c>
      <c r="C50">
        <v>1007</v>
      </c>
      <c r="D50">
        <v>1055</v>
      </c>
      <c r="E50">
        <v>1009</v>
      </c>
    </row>
    <row r="51" spans="1:5" x14ac:dyDescent="0.2">
      <c r="A51">
        <v>2021</v>
      </c>
      <c r="B51" t="s">
        <v>54</v>
      </c>
      <c r="C51">
        <v>1025</v>
      </c>
      <c r="D51">
        <v>1059</v>
      </c>
      <c r="E51">
        <v>1026</v>
      </c>
    </row>
    <row r="52" spans="1:5" x14ac:dyDescent="0.2">
      <c r="A52">
        <v>2021</v>
      </c>
      <c r="B52" t="s">
        <v>55</v>
      </c>
      <c r="C52">
        <v>1011</v>
      </c>
      <c r="D52">
        <v>1042</v>
      </c>
      <c r="E52">
        <v>1011</v>
      </c>
    </row>
    <row r="53" spans="1:5" x14ac:dyDescent="0.2">
      <c r="A53">
        <v>2021</v>
      </c>
      <c r="B53" t="s">
        <v>57</v>
      </c>
      <c r="C53">
        <v>1020</v>
      </c>
      <c r="D53">
        <v>1048</v>
      </c>
      <c r="E53">
        <v>1020</v>
      </c>
    </row>
    <row r="54" spans="1:5" x14ac:dyDescent="0.2">
      <c r="A54">
        <v>2022</v>
      </c>
      <c r="B54" t="s">
        <v>5</v>
      </c>
      <c r="C54">
        <v>935</v>
      </c>
      <c r="D54">
        <v>971</v>
      </c>
      <c r="E54">
        <v>935</v>
      </c>
    </row>
    <row r="55" spans="1:5" x14ac:dyDescent="0.2">
      <c r="A55">
        <v>2022</v>
      </c>
      <c r="B55" t="s">
        <v>6</v>
      </c>
      <c r="C55">
        <v>948</v>
      </c>
      <c r="D55">
        <v>967</v>
      </c>
      <c r="E55">
        <v>948</v>
      </c>
    </row>
    <row r="56" spans="1:5" x14ac:dyDescent="0.2">
      <c r="A56">
        <v>2022</v>
      </c>
      <c r="B56" t="s">
        <v>7</v>
      </c>
      <c r="C56">
        <v>909</v>
      </c>
      <c r="D56">
        <v>940</v>
      </c>
      <c r="E56">
        <v>909</v>
      </c>
    </row>
    <row r="57" spans="1:5" x14ac:dyDescent="0.2">
      <c r="A57">
        <v>2022</v>
      </c>
      <c r="B57" t="s">
        <v>8</v>
      </c>
      <c r="C57">
        <v>978</v>
      </c>
      <c r="D57">
        <v>1000</v>
      </c>
      <c r="E57">
        <v>978</v>
      </c>
    </row>
    <row r="58" spans="1:5" x14ac:dyDescent="0.2">
      <c r="A58">
        <v>2022</v>
      </c>
      <c r="B58" t="s">
        <v>9</v>
      </c>
      <c r="C58">
        <v>878</v>
      </c>
      <c r="D58">
        <v>909</v>
      </c>
      <c r="E58">
        <v>878</v>
      </c>
    </row>
    <row r="59" spans="1:5" x14ac:dyDescent="0.2">
      <c r="A59">
        <v>2022</v>
      </c>
      <c r="B59" t="s">
        <v>10</v>
      </c>
      <c r="C59">
        <v>960</v>
      </c>
      <c r="D59">
        <v>983</v>
      </c>
      <c r="E59">
        <v>960</v>
      </c>
    </row>
    <row r="60" spans="1:5" x14ac:dyDescent="0.2">
      <c r="A60">
        <v>2022</v>
      </c>
      <c r="B60" t="s">
        <v>11</v>
      </c>
      <c r="C60">
        <v>935</v>
      </c>
      <c r="D60">
        <v>964</v>
      </c>
      <c r="E60">
        <v>935</v>
      </c>
    </row>
    <row r="61" spans="1:5" x14ac:dyDescent="0.2">
      <c r="A61">
        <v>2022</v>
      </c>
      <c r="B61" t="s">
        <v>12</v>
      </c>
      <c r="C61">
        <v>1012</v>
      </c>
      <c r="D61">
        <v>1029</v>
      </c>
      <c r="E61">
        <v>1012</v>
      </c>
    </row>
    <row r="62" spans="1:5" x14ac:dyDescent="0.2">
      <c r="A62">
        <v>2022</v>
      </c>
      <c r="B62" t="s">
        <v>13</v>
      </c>
      <c r="C62">
        <v>978</v>
      </c>
      <c r="D62">
        <v>998</v>
      </c>
      <c r="E62">
        <v>978</v>
      </c>
    </row>
    <row r="63" spans="1:5" x14ac:dyDescent="0.2">
      <c r="A63">
        <v>2022</v>
      </c>
      <c r="B63" t="s">
        <v>14</v>
      </c>
      <c r="C63">
        <v>986</v>
      </c>
      <c r="D63">
        <v>1009</v>
      </c>
      <c r="E63">
        <v>987</v>
      </c>
    </row>
    <row r="64" spans="1:5" x14ac:dyDescent="0.2">
      <c r="A64">
        <v>2022</v>
      </c>
      <c r="B64" t="s">
        <v>15</v>
      </c>
      <c r="C64">
        <v>1030</v>
      </c>
      <c r="D64">
        <v>1051</v>
      </c>
      <c r="E64">
        <v>1031</v>
      </c>
    </row>
    <row r="65" spans="1:5" x14ac:dyDescent="0.2">
      <c r="A65">
        <v>2022</v>
      </c>
      <c r="B65" t="s">
        <v>16</v>
      </c>
      <c r="C65">
        <v>1087</v>
      </c>
      <c r="D65">
        <v>1112</v>
      </c>
      <c r="E65">
        <v>1087</v>
      </c>
    </row>
    <row r="66" spans="1:5" x14ac:dyDescent="0.2">
      <c r="A66">
        <v>2022</v>
      </c>
      <c r="B66" t="s">
        <v>17</v>
      </c>
      <c r="C66">
        <v>1092</v>
      </c>
      <c r="D66">
        <v>1118</v>
      </c>
      <c r="E66">
        <v>1092</v>
      </c>
    </row>
    <row r="67" spans="1:5" x14ac:dyDescent="0.2">
      <c r="A67">
        <v>2022</v>
      </c>
      <c r="B67" t="s">
        <v>18</v>
      </c>
      <c r="C67">
        <v>1112</v>
      </c>
      <c r="D67">
        <v>1128</v>
      </c>
      <c r="E67">
        <v>1112</v>
      </c>
    </row>
    <row r="68" spans="1:5" x14ac:dyDescent="0.2">
      <c r="A68">
        <v>2022</v>
      </c>
      <c r="B68" t="s">
        <v>19</v>
      </c>
      <c r="C68">
        <v>1134</v>
      </c>
      <c r="D68">
        <v>1161</v>
      </c>
      <c r="E68">
        <v>1136</v>
      </c>
    </row>
    <row r="69" spans="1:5" x14ac:dyDescent="0.2">
      <c r="A69">
        <v>2022</v>
      </c>
      <c r="B69" t="s">
        <v>20</v>
      </c>
      <c r="C69">
        <v>1058</v>
      </c>
      <c r="D69">
        <v>1068</v>
      </c>
      <c r="E69">
        <v>1058</v>
      </c>
    </row>
    <row r="70" spans="1:5" x14ac:dyDescent="0.2">
      <c r="A70">
        <v>2022</v>
      </c>
      <c r="B70" t="s">
        <v>21</v>
      </c>
      <c r="C70">
        <v>1065</v>
      </c>
      <c r="D70">
        <v>1075</v>
      </c>
      <c r="E70">
        <v>1065</v>
      </c>
    </row>
    <row r="71" spans="1:5" x14ac:dyDescent="0.2">
      <c r="A71">
        <v>2022</v>
      </c>
      <c r="B71" t="s">
        <v>22</v>
      </c>
      <c r="C71">
        <v>1085</v>
      </c>
      <c r="D71">
        <v>1094</v>
      </c>
      <c r="E71">
        <v>1085</v>
      </c>
    </row>
    <row r="72" spans="1:5" x14ac:dyDescent="0.2">
      <c r="A72">
        <v>2022</v>
      </c>
      <c r="B72" t="s">
        <v>23</v>
      </c>
      <c r="C72">
        <v>1012</v>
      </c>
      <c r="D72">
        <v>1024</v>
      </c>
      <c r="E72">
        <v>1012</v>
      </c>
    </row>
    <row r="73" spans="1:5" x14ac:dyDescent="0.2">
      <c r="A73">
        <v>2022</v>
      </c>
      <c r="B73" t="s">
        <v>24</v>
      </c>
      <c r="C73">
        <v>1050</v>
      </c>
      <c r="D73">
        <v>1060</v>
      </c>
      <c r="E73">
        <v>1050</v>
      </c>
    </row>
    <row r="74" spans="1:5" x14ac:dyDescent="0.2">
      <c r="A74">
        <v>2022</v>
      </c>
      <c r="B74" t="s">
        <v>25</v>
      </c>
      <c r="C74">
        <v>944</v>
      </c>
      <c r="D74">
        <v>957</v>
      </c>
      <c r="E74">
        <v>944</v>
      </c>
    </row>
    <row r="75" spans="1:5" x14ac:dyDescent="0.2">
      <c r="A75">
        <v>2022</v>
      </c>
      <c r="B75" t="s">
        <v>26</v>
      </c>
      <c r="C75">
        <v>988</v>
      </c>
      <c r="D75">
        <v>1000</v>
      </c>
      <c r="E75">
        <v>988</v>
      </c>
    </row>
    <row r="76" spans="1:5" x14ac:dyDescent="0.2">
      <c r="A76">
        <v>2022</v>
      </c>
      <c r="B76" t="s">
        <v>27</v>
      </c>
      <c r="C76">
        <v>977</v>
      </c>
      <c r="D76">
        <v>993</v>
      </c>
      <c r="E76">
        <v>977</v>
      </c>
    </row>
    <row r="77" spans="1:5" x14ac:dyDescent="0.2">
      <c r="A77">
        <v>2022</v>
      </c>
      <c r="B77" t="s">
        <v>28</v>
      </c>
      <c r="C77">
        <v>1045</v>
      </c>
      <c r="D77">
        <v>1055</v>
      </c>
      <c r="E77">
        <v>1045</v>
      </c>
    </row>
    <row r="78" spans="1:5" x14ac:dyDescent="0.2">
      <c r="A78">
        <v>2022</v>
      </c>
      <c r="B78" t="s">
        <v>29</v>
      </c>
      <c r="C78">
        <v>1040</v>
      </c>
      <c r="D78">
        <v>1051</v>
      </c>
      <c r="E78">
        <v>1040</v>
      </c>
    </row>
    <row r="79" spans="1:5" x14ac:dyDescent="0.2">
      <c r="A79">
        <v>2022</v>
      </c>
      <c r="B79" t="s">
        <v>30</v>
      </c>
      <c r="C79">
        <v>1034</v>
      </c>
      <c r="D79">
        <v>1045</v>
      </c>
      <c r="E79">
        <v>1034</v>
      </c>
    </row>
    <row r="80" spans="1:5" x14ac:dyDescent="0.2">
      <c r="A80">
        <v>2022</v>
      </c>
      <c r="B80" t="s">
        <v>31</v>
      </c>
      <c r="C80">
        <v>1002</v>
      </c>
      <c r="D80">
        <v>1014</v>
      </c>
      <c r="E80">
        <v>1003</v>
      </c>
    </row>
    <row r="81" spans="1:5" x14ac:dyDescent="0.2">
      <c r="A81">
        <v>2022</v>
      </c>
      <c r="B81" t="s">
        <v>32</v>
      </c>
      <c r="C81">
        <v>1001</v>
      </c>
      <c r="D81">
        <v>1011</v>
      </c>
      <c r="E81">
        <v>1001</v>
      </c>
    </row>
    <row r="82" spans="1:5" x14ac:dyDescent="0.2">
      <c r="A82">
        <v>2022</v>
      </c>
      <c r="B82" t="s">
        <v>33</v>
      </c>
      <c r="C82">
        <v>1065</v>
      </c>
      <c r="D82">
        <v>1074</v>
      </c>
      <c r="E82">
        <v>1065</v>
      </c>
    </row>
    <row r="83" spans="1:5" x14ac:dyDescent="0.2">
      <c r="A83">
        <v>2022</v>
      </c>
      <c r="B83" t="s">
        <v>34</v>
      </c>
      <c r="C83">
        <v>1033</v>
      </c>
      <c r="D83">
        <v>1045</v>
      </c>
      <c r="E83">
        <v>1033</v>
      </c>
    </row>
    <row r="84" spans="1:5" x14ac:dyDescent="0.2">
      <c r="A84">
        <v>2022</v>
      </c>
      <c r="B84" t="s">
        <v>35</v>
      </c>
      <c r="C84">
        <v>963</v>
      </c>
      <c r="D84">
        <v>977</v>
      </c>
      <c r="E84">
        <v>964</v>
      </c>
    </row>
    <row r="85" spans="1:5" x14ac:dyDescent="0.2">
      <c r="A85">
        <v>2022</v>
      </c>
      <c r="B85" t="s">
        <v>36</v>
      </c>
      <c r="C85">
        <v>1014</v>
      </c>
      <c r="D85">
        <v>1025</v>
      </c>
      <c r="E85">
        <v>1014</v>
      </c>
    </row>
    <row r="86" spans="1:5" x14ac:dyDescent="0.2">
      <c r="A86">
        <v>2022</v>
      </c>
      <c r="B86" t="s">
        <v>37</v>
      </c>
      <c r="C86">
        <v>1032</v>
      </c>
      <c r="D86">
        <v>1045</v>
      </c>
      <c r="E86">
        <v>1032</v>
      </c>
    </row>
    <row r="87" spans="1:5" x14ac:dyDescent="0.2">
      <c r="A87">
        <v>2022</v>
      </c>
      <c r="B87" t="s">
        <v>38</v>
      </c>
      <c r="C87">
        <v>995</v>
      </c>
      <c r="D87">
        <v>1002</v>
      </c>
      <c r="E87">
        <v>995</v>
      </c>
    </row>
    <row r="88" spans="1:5" x14ac:dyDescent="0.2">
      <c r="A88">
        <v>2022</v>
      </c>
      <c r="B88" t="s">
        <v>39</v>
      </c>
      <c r="C88">
        <v>993</v>
      </c>
      <c r="D88">
        <v>1007</v>
      </c>
      <c r="E88">
        <v>993</v>
      </c>
    </row>
    <row r="89" spans="1:5" x14ac:dyDescent="0.2">
      <c r="A89">
        <v>2022</v>
      </c>
      <c r="B89" t="s">
        <v>40</v>
      </c>
      <c r="C89">
        <v>1001</v>
      </c>
      <c r="D89">
        <v>1012</v>
      </c>
      <c r="E89">
        <v>1001</v>
      </c>
    </row>
    <row r="90" spans="1:5" x14ac:dyDescent="0.2">
      <c r="A90">
        <v>2022</v>
      </c>
      <c r="B90" t="s">
        <v>41</v>
      </c>
      <c r="C90">
        <v>933</v>
      </c>
      <c r="D90">
        <v>944</v>
      </c>
      <c r="E90">
        <v>933</v>
      </c>
    </row>
    <row r="91" spans="1:5" x14ac:dyDescent="0.2">
      <c r="A91">
        <v>2022</v>
      </c>
      <c r="B91" t="s">
        <v>42</v>
      </c>
      <c r="C91">
        <v>973</v>
      </c>
      <c r="D91">
        <v>981</v>
      </c>
      <c r="E91">
        <v>973</v>
      </c>
    </row>
    <row r="92" spans="1:5" x14ac:dyDescent="0.2">
      <c r="A92">
        <v>2022</v>
      </c>
      <c r="B92" t="s">
        <v>43</v>
      </c>
      <c r="C92">
        <v>1070</v>
      </c>
      <c r="D92">
        <v>1078</v>
      </c>
      <c r="E92">
        <v>1070</v>
      </c>
    </row>
    <row r="93" spans="1:5" x14ac:dyDescent="0.2">
      <c r="A93">
        <v>2022</v>
      </c>
      <c r="B93" t="s">
        <v>44</v>
      </c>
      <c r="C93">
        <v>1108</v>
      </c>
      <c r="D93">
        <v>1117</v>
      </c>
      <c r="E93">
        <v>1108</v>
      </c>
    </row>
    <row r="94" spans="1:5" x14ac:dyDescent="0.2">
      <c r="A94">
        <v>2022</v>
      </c>
      <c r="B94" t="s">
        <v>45</v>
      </c>
      <c r="C94">
        <v>1103</v>
      </c>
      <c r="D94">
        <v>1118</v>
      </c>
      <c r="E94">
        <v>1103</v>
      </c>
    </row>
    <row r="95" spans="1:5" x14ac:dyDescent="0.2">
      <c r="A95">
        <v>2022</v>
      </c>
      <c r="B95" t="s">
        <v>46</v>
      </c>
      <c r="C95">
        <v>1109</v>
      </c>
      <c r="D95">
        <v>1114</v>
      </c>
      <c r="E95">
        <v>1109</v>
      </c>
    </row>
    <row r="96" spans="1:5" x14ac:dyDescent="0.2">
      <c r="A96">
        <v>2022</v>
      </c>
      <c r="B96" t="s">
        <v>47</v>
      </c>
      <c r="C96">
        <v>1101</v>
      </c>
      <c r="D96">
        <v>1110</v>
      </c>
      <c r="E96">
        <v>1102</v>
      </c>
    </row>
    <row r="97" spans="1:5" x14ac:dyDescent="0.2">
      <c r="A97">
        <v>2022</v>
      </c>
      <c r="B97" t="s">
        <v>48</v>
      </c>
      <c r="C97">
        <v>1081</v>
      </c>
      <c r="D97">
        <v>1091</v>
      </c>
      <c r="E97">
        <v>1081</v>
      </c>
    </row>
    <row r="98" spans="1:5" x14ac:dyDescent="0.2">
      <c r="A98">
        <v>2022</v>
      </c>
      <c r="B98" t="s">
        <v>49</v>
      </c>
      <c r="C98">
        <v>1046</v>
      </c>
      <c r="D98">
        <v>1056</v>
      </c>
      <c r="E98">
        <v>1046</v>
      </c>
    </row>
    <row r="99" spans="1:5" x14ac:dyDescent="0.2">
      <c r="A99">
        <v>2022</v>
      </c>
      <c r="B99" t="s">
        <v>50</v>
      </c>
      <c r="C99">
        <v>1058</v>
      </c>
      <c r="D99">
        <v>1065</v>
      </c>
      <c r="E99">
        <v>1058</v>
      </c>
    </row>
    <row r="100" spans="1:5" x14ac:dyDescent="0.2">
      <c r="A100">
        <v>2022</v>
      </c>
      <c r="B100" t="s">
        <v>51</v>
      </c>
      <c r="C100">
        <v>1197</v>
      </c>
      <c r="D100">
        <v>1203</v>
      </c>
      <c r="E100">
        <v>1197</v>
      </c>
    </row>
    <row r="101" spans="1:5" x14ac:dyDescent="0.2">
      <c r="A101">
        <v>2022</v>
      </c>
      <c r="B101" t="s">
        <v>52</v>
      </c>
      <c r="C101">
        <v>1126</v>
      </c>
      <c r="D101">
        <v>1132</v>
      </c>
      <c r="E101">
        <v>1126</v>
      </c>
    </row>
    <row r="102" spans="1:5" x14ac:dyDescent="0.2">
      <c r="A102">
        <v>2022</v>
      </c>
      <c r="B102" t="s">
        <v>53</v>
      </c>
      <c r="C102">
        <v>1230</v>
      </c>
      <c r="D102">
        <v>1243</v>
      </c>
      <c r="E102">
        <v>1230</v>
      </c>
    </row>
    <row r="103" spans="1:5" x14ac:dyDescent="0.2">
      <c r="A103">
        <v>2022</v>
      </c>
      <c r="B103" t="s">
        <v>54</v>
      </c>
      <c r="C103">
        <v>1383</v>
      </c>
      <c r="D103">
        <v>1397</v>
      </c>
      <c r="E103">
        <v>1383</v>
      </c>
    </row>
    <row r="104" spans="1:5" x14ac:dyDescent="0.2">
      <c r="A104">
        <v>2022</v>
      </c>
      <c r="B104" t="s">
        <v>55</v>
      </c>
      <c r="C104">
        <v>1530</v>
      </c>
      <c r="D104">
        <v>1544</v>
      </c>
      <c r="E104">
        <v>1530</v>
      </c>
    </row>
    <row r="105" spans="1:5" x14ac:dyDescent="0.2">
      <c r="A105">
        <v>2022</v>
      </c>
      <c r="B105" t="s">
        <v>57</v>
      </c>
      <c r="C105">
        <v>1541</v>
      </c>
      <c r="D105">
        <v>1553</v>
      </c>
      <c r="E105">
        <v>1541</v>
      </c>
    </row>
    <row r="106" spans="1:5" x14ac:dyDescent="0.2">
      <c r="A10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F8EF-D6A6-C344-9866-FEC2573A694C}">
  <dimension ref="A1:G106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105" sqref="D105"/>
    </sheetView>
  </sheetViews>
  <sheetFormatPr baseColWidth="10" defaultRowHeight="16" x14ac:dyDescent="0.2"/>
  <cols>
    <col min="1" max="1" width="12" customWidth="1"/>
    <col min="2" max="2" width="8" bestFit="1" customWidth="1"/>
    <col min="3" max="3" width="17.5" customWidth="1"/>
    <col min="4" max="4" width="16.33203125" customWidth="1"/>
    <col min="5" max="5" width="17" customWidth="1"/>
  </cols>
  <sheetData>
    <row r="1" spans="1:6" ht="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>
        <v>2021</v>
      </c>
      <c r="B2" t="s">
        <v>5</v>
      </c>
      <c r="C2">
        <v>0</v>
      </c>
      <c r="D2">
        <v>0</v>
      </c>
      <c r="E2">
        <v>0</v>
      </c>
    </row>
    <row r="3" spans="1:6" x14ac:dyDescent="0.2">
      <c r="A3">
        <v>2021</v>
      </c>
      <c r="B3" t="s">
        <v>6</v>
      </c>
      <c r="C3">
        <v>0</v>
      </c>
      <c r="D3">
        <v>0</v>
      </c>
      <c r="E3">
        <v>0</v>
      </c>
    </row>
    <row r="4" spans="1:6" x14ac:dyDescent="0.2">
      <c r="A4">
        <v>2021</v>
      </c>
      <c r="B4" t="s">
        <v>7</v>
      </c>
      <c r="C4">
        <v>0</v>
      </c>
      <c r="D4">
        <v>0</v>
      </c>
      <c r="E4">
        <v>0</v>
      </c>
    </row>
    <row r="5" spans="1:6" x14ac:dyDescent="0.2">
      <c r="A5">
        <v>2021</v>
      </c>
      <c r="B5" t="s">
        <v>8</v>
      </c>
      <c r="C5">
        <v>0</v>
      </c>
      <c r="D5">
        <v>2</v>
      </c>
      <c r="E5">
        <v>0</v>
      </c>
    </row>
    <row r="6" spans="1:6" x14ac:dyDescent="0.2">
      <c r="A6">
        <v>2021</v>
      </c>
      <c r="B6" t="s">
        <v>9</v>
      </c>
      <c r="C6">
        <v>0</v>
      </c>
      <c r="D6">
        <v>25</v>
      </c>
      <c r="E6">
        <v>1</v>
      </c>
    </row>
    <row r="7" spans="1:6" x14ac:dyDescent="0.2">
      <c r="A7">
        <v>2021</v>
      </c>
      <c r="B7" t="s">
        <v>10</v>
      </c>
      <c r="C7">
        <v>0</v>
      </c>
      <c r="D7">
        <v>67</v>
      </c>
      <c r="E7">
        <v>1</v>
      </c>
    </row>
    <row r="8" spans="1:6" x14ac:dyDescent="0.2">
      <c r="A8">
        <v>2021</v>
      </c>
      <c r="B8" t="s">
        <v>11</v>
      </c>
      <c r="C8">
        <v>3</v>
      </c>
      <c r="D8">
        <v>121</v>
      </c>
      <c r="E8">
        <v>4</v>
      </c>
    </row>
    <row r="9" spans="1:6" x14ac:dyDescent="0.2">
      <c r="A9">
        <v>2021</v>
      </c>
      <c r="B9" t="s">
        <v>12</v>
      </c>
      <c r="C9">
        <v>2</v>
      </c>
      <c r="D9">
        <v>132</v>
      </c>
      <c r="E9">
        <v>4</v>
      </c>
    </row>
    <row r="10" spans="1:6" x14ac:dyDescent="0.2">
      <c r="A10">
        <v>2021</v>
      </c>
      <c r="B10" t="s">
        <v>13</v>
      </c>
      <c r="C10">
        <v>3</v>
      </c>
      <c r="D10">
        <v>192</v>
      </c>
      <c r="E10">
        <v>13</v>
      </c>
    </row>
    <row r="11" spans="1:6" x14ac:dyDescent="0.2">
      <c r="A11">
        <v>2021</v>
      </c>
      <c r="B11" t="s">
        <v>14</v>
      </c>
      <c r="C11">
        <v>9</v>
      </c>
      <c r="D11">
        <v>264</v>
      </c>
      <c r="E11">
        <v>18</v>
      </c>
    </row>
    <row r="12" spans="1:6" x14ac:dyDescent="0.2">
      <c r="A12">
        <v>2021</v>
      </c>
      <c r="B12" t="s">
        <v>15</v>
      </c>
      <c r="C12">
        <v>8</v>
      </c>
      <c r="D12">
        <v>306</v>
      </c>
      <c r="E12">
        <v>57</v>
      </c>
    </row>
    <row r="13" spans="1:6" x14ac:dyDescent="0.2">
      <c r="A13">
        <v>2021</v>
      </c>
      <c r="B13" t="s">
        <v>16</v>
      </c>
      <c r="C13">
        <v>29</v>
      </c>
      <c r="D13">
        <v>291</v>
      </c>
      <c r="E13">
        <v>78</v>
      </c>
    </row>
    <row r="14" spans="1:6" x14ac:dyDescent="0.2">
      <c r="A14">
        <v>2021</v>
      </c>
      <c r="B14" t="s">
        <v>17</v>
      </c>
      <c r="C14">
        <v>62</v>
      </c>
      <c r="D14">
        <v>373</v>
      </c>
      <c r="E14">
        <v>131</v>
      </c>
    </row>
    <row r="15" spans="1:6" x14ac:dyDescent="0.2">
      <c r="A15">
        <v>2021</v>
      </c>
      <c r="B15" t="s">
        <v>18</v>
      </c>
      <c r="C15">
        <v>134</v>
      </c>
      <c r="D15">
        <v>438</v>
      </c>
      <c r="E15">
        <v>203</v>
      </c>
    </row>
    <row r="16" spans="1:6" x14ac:dyDescent="0.2">
      <c r="A16">
        <v>2021</v>
      </c>
      <c r="B16" t="s">
        <v>19</v>
      </c>
      <c r="C16">
        <v>173</v>
      </c>
      <c r="D16">
        <v>506</v>
      </c>
      <c r="E16">
        <v>225</v>
      </c>
    </row>
    <row r="17" spans="1:5" x14ac:dyDescent="0.2">
      <c r="A17">
        <v>2021</v>
      </c>
      <c r="B17" t="s">
        <v>20</v>
      </c>
      <c r="C17">
        <v>262</v>
      </c>
      <c r="D17">
        <v>647</v>
      </c>
      <c r="E17">
        <v>312</v>
      </c>
    </row>
    <row r="18" spans="1:5" x14ac:dyDescent="0.2">
      <c r="A18">
        <v>2021</v>
      </c>
      <c r="B18" t="s">
        <v>21</v>
      </c>
      <c r="C18">
        <v>274</v>
      </c>
      <c r="D18">
        <v>706</v>
      </c>
      <c r="E18">
        <v>332</v>
      </c>
    </row>
    <row r="19" spans="1:5" x14ac:dyDescent="0.2">
      <c r="A19">
        <v>2021</v>
      </c>
      <c r="B19" t="s">
        <v>22</v>
      </c>
      <c r="C19">
        <v>279</v>
      </c>
      <c r="D19">
        <v>742</v>
      </c>
      <c r="E19">
        <v>327</v>
      </c>
    </row>
    <row r="20" spans="1:5" x14ac:dyDescent="0.2">
      <c r="A20">
        <v>2021</v>
      </c>
      <c r="B20" t="s">
        <v>23</v>
      </c>
      <c r="C20">
        <v>378</v>
      </c>
      <c r="D20">
        <v>845</v>
      </c>
      <c r="E20">
        <v>432</v>
      </c>
    </row>
    <row r="21" spans="1:5" x14ac:dyDescent="0.2">
      <c r="A21">
        <v>2021</v>
      </c>
      <c r="B21" t="s">
        <v>24</v>
      </c>
      <c r="C21">
        <v>408</v>
      </c>
      <c r="D21">
        <v>980</v>
      </c>
      <c r="E21">
        <v>482</v>
      </c>
    </row>
    <row r="22" spans="1:5" x14ac:dyDescent="0.2">
      <c r="A22">
        <v>2021</v>
      </c>
      <c r="B22" t="s">
        <v>25</v>
      </c>
      <c r="C22">
        <v>496</v>
      </c>
      <c r="D22">
        <v>971</v>
      </c>
      <c r="E22">
        <v>560</v>
      </c>
    </row>
    <row r="23" spans="1:5" x14ac:dyDescent="0.2">
      <c r="A23">
        <v>2021</v>
      </c>
      <c r="B23" t="s">
        <v>26</v>
      </c>
      <c r="C23">
        <v>554</v>
      </c>
      <c r="D23">
        <v>1080</v>
      </c>
      <c r="E23">
        <v>653</v>
      </c>
    </row>
    <row r="24" spans="1:5" x14ac:dyDescent="0.2">
      <c r="A24">
        <v>2021</v>
      </c>
      <c r="B24" t="s">
        <v>27</v>
      </c>
      <c r="C24">
        <v>675</v>
      </c>
      <c r="D24">
        <v>1191</v>
      </c>
      <c r="E24">
        <v>775</v>
      </c>
    </row>
    <row r="25" spans="1:5" x14ac:dyDescent="0.2">
      <c r="A25">
        <v>2021</v>
      </c>
      <c r="B25" t="s">
        <v>28</v>
      </c>
      <c r="C25">
        <v>738</v>
      </c>
      <c r="D25">
        <v>1178</v>
      </c>
      <c r="E25">
        <v>818</v>
      </c>
    </row>
    <row r="26" spans="1:5" x14ac:dyDescent="0.2">
      <c r="A26">
        <v>2021</v>
      </c>
      <c r="B26" t="s">
        <v>29</v>
      </c>
      <c r="C26">
        <v>762</v>
      </c>
      <c r="D26">
        <v>1119</v>
      </c>
      <c r="E26">
        <v>830</v>
      </c>
    </row>
    <row r="27" spans="1:5" x14ac:dyDescent="0.2">
      <c r="A27">
        <v>2021</v>
      </c>
      <c r="B27" t="s">
        <v>30</v>
      </c>
      <c r="C27">
        <v>847</v>
      </c>
      <c r="D27">
        <v>1223</v>
      </c>
      <c r="E27">
        <v>932</v>
      </c>
    </row>
    <row r="28" spans="1:5" x14ac:dyDescent="0.2">
      <c r="A28">
        <v>2021</v>
      </c>
      <c r="B28" t="s">
        <v>31</v>
      </c>
      <c r="C28">
        <v>973</v>
      </c>
      <c r="D28">
        <v>1276</v>
      </c>
      <c r="E28">
        <v>1029</v>
      </c>
    </row>
    <row r="29" spans="1:5" x14ac:dyDescent="0.2">
      <c r="A29">
        <v>2021</v>
      </c>
      <c r="B29" t="s">
        <v>32</v>
      </c>
      <c r="C29">
        <v>1089</v>
      </c>
      <c r="D29">
        <v>1360</v>
      </c>
      <c r="E29">
        <v>1148</v>
      </c>
    </row>
    <row r="30" spans="1:5" x14ac:dyDescent="0.2">
      <c r="A30">
        <v>2021</v>
      </c>
      <c r="B30" t="s">
        <v>33</v>
      </c>
      <c r="C30">
        <v>1058</v>
      </c>
      <c r="D30">
        <v>1274</v>
      </c>
      <c r="E30">
        <v>1098</v>
      </c>
    </row>
    <row r="31" spans="1:5" x14ac:dyDescent="0.2">
      <c r="A31">
        <v>2021</v>
      </c>
      <c r="B31" t="s">
        <v>34</v>
      </c>
      <c r="C31">
        <v>1169</v>
      </c>
      <c r="D31">
        <v>1362</v>
      </c>
      <c r="E31">
        <v>1204</v>
      </c>
    </row>
    <row r="32" spans="1:5" x14ac:dyDescent="0.2">
      <c r="A32">
        <v>2021</v>
      </c>
      <c r="B32" t="s">
        <v>35</v>
      </c>
      <c r="C32">
        <v>1238</v>
      </c>
      <c r="D32">
        <v>1393</v>
      </c>
      <c r="E32">
        <v>1261</v>
      </c>
    </row>
    <row r="33" spans="1:5" x14ac:dyDescent="0.2">
      <c r="A33">
        <v>2021</v>
      </c>
      <c r="B33" t="s">
        <v>36</v>
      </c>
      <c r="C33">
        <v>1156</v>
      </c>
      <c r="D33">
        <v>1273</v>
      </c>
      <c r="E33">
        <v>1174</v>
      </c>
    </row>
    <row r="34" spans="1:5" x14ac:dyDescent="0.2">
      <c r="A34">
        <v>2021</v>
      </c>
      <c r="B34" t="s">
        <v>37</v>
      </c>
      <c r="C34">
        <v>1266</v>
      </c>
      <c r="D34">
        <v>1374</v>
      </c>
      <c r="E34">
        <v>1273</v>
      </c>
    </row>
    <row r="35" spans="1:5" x14ac:dyDescent="0.2">
      <c r="A35">
        <v>2021</v>
      </c>
      <c r="B35" t="s">
        <v>38</v>
      </c>
      <c r="C35">
        <v>1227</v>
      </c>
      <c r="D35">
        <v>1342</v>
      </c>
      <c r="E35">
        <v>1234</v>
      </c>
    </row>
    <row r="36" spans="1:5" x14ac:dyDescent="0.2">
      <c r="A36">
        <v>2021</v>
      </c>
      <c r="B36" t="s">
        <v>39</v>
      </c>
      <c r="C36">
        <v>1262</v>
      </c>
      <c r="D36">
        <v>1339</v>
      </c>
      <c r="E36">
        <v>1265</v>
      </c>
    </row>
    <row r="37" spans="1:5" x14ac:dyDescent="0.2">
      <c r="A37">
        <v>2021</v>
      </c>
      <c r="B37" t="s">
        <v>40</v>
      </c>
      <c r="C37">
        <v>1379</v>
      </c>
      <c r="D37">
        <v>1470</v>
      </c>
      <c r="E37">
        <v>1383</v>
      </c>
    </row>
    <row r="38" spans="1:5" x14ac:dyDescent="0.2">
      <c r="A38">
        <v>2021</v>
      </c>
      <c r="B38" t="s">
        <v>41</v>
      </c>
      <c r="C38">
        <v>1369</v>
      </c>
      <c r="D38">
        <v>1432</v>
      </c>
      <c r="E38">
        <v>1370</v>
      </c>
    </row>
    <row r="39" spans="1:5" x14ac:dyDescent="0.2">
      <c r="A39">
        <v>2021</v>
      </c>
      <c r="B39" t="s">
        <v>42</v>
      </c>
      <c r="C39">
        <v>1350</v>
      </c>
      <c r="D39">
        <v>1431</v>
      </c>
      <c r="E39">
        <v>1352</v>
      </c>
    </row>
    <row r="40" spans="1:5" x14ac:dyDescent="0.2">
      <c r="A40">
        <v>2021</v>
      </c>
      <c r="B40" t="s">
        <v>43</v>
      </c>
      <c r="C40">
        <v>1481</v>
      </c>
      <c r="D40">
        <v>1556</v>
      </c>
      <c r="E40">
        <v>1484</v>
      </c>
    </row>
    <row r="41" spans="1:5" x14ac:dyDescent="0.2">
      <c r="A41">
        <v>2021</v>
      </c>
      <c r="B41" t="s">
        <v>44</v>
      </c>
      <c r="C41">
        <v>1454</v>
      </c>
      <c r="D41">
        <v>1518</v>
      </c>
      <c r="E41">
        <v>1457</v>
      </c>
    </row>
    <row r="42" spans="1:5" x14ac:dyDescent="0.2">
      <c r="A42">
        <v>2021</v>
      </c>
      <c r="B42" t="s">
        <v>45</v>
      </c>
      <c r="C42">
        <v>1434</v>
      </c>
      <c r="D42">
        <v>1501</v>
      </c>
      <c r="E42">
        <v>1436</v>
      </c>
    </row>
    <row r="43" spans="1:5" x14ac:dyDescent="0.2">
      <c r="A43">
        <v>2021</v>
      </c>
      <c r="B43" t="s">
        <v>46</v>
      </c>
      <c r="C43">
        <v>1488</v>
      </c>
      <c r="D43">
        <v>1546</v>
      </c>
      <c r="E43">
        <v>1489</v>
      </c>
    </row>
    <row r="44" spans="1:5" x14ac:dyDescent="0.2">
      <c r="A44">
        <v>2021</v>
      </c>
      <c r="B44" t="s">
        <v>47</v>
      </c>
      <c r="C44">
        <v>1495</v>
      </c>
      <c r="D44">
        <v>1554</v>
      </c>
      <c r="E44">
        <v>1496</v>
      </c>
    </row>
    <row r="45" spans="1:5" x14ac:dyDescent="0.2">
      <c r="A45">
        <v>2021</v>
      </c>
      <c r="B45" t="s">
        <v>48</v>
      </c>
      <c r="C45">
        <v>1545</v>
      </c>
      <c r="D45">
        <v>1599</v>
      </c>
      <c r="E45">
        <v>1547</v>
      </c>
    </row>
    <row r="46" spans="1:5" x14ac:dyDescent="0.2">
      <c r="A46">
        <v>2021</v>
      </c>
      <c r="B46" t="s">
        <v>49</v>
      </c>
      <c r="C46">
        <v>1548</v>
      </c>
      <c r="D46">
        <v>1616</v>
      </c>
      <c r="E46">
        <v>1554</v>
      </c>
    </row>
    <row r="47" spans="1:5" x14ac:dyDescent="0.2">
      <c r="A47">
        <v>2021</v>
      </c>
      <c r="B47" t="s">
        <v>50</v>
      </c>
      <c r="C47">
        <v>1547</v>
      </c>
      <c r="D47">
        <v>1609</v>
      </c>
      <c r="E47">
        <v>1550</v>
      </c>
    </row>
    <row r="48" spans="1:5" x14ac:dyDescent="0.2">
      <c r="A48">
        <v>2021</v>
      </c>
      <c r="B48" t="s">
        <v>51</v>
      </c>
      <c r="C48">
        <v>1591</v>
      </c>
      <c r="D48">
        <v>1649</v>
      </c>
      <c r="E48">
        <v>1596</v>
      </c>
    </row>
    <row r="49" spans="1:5" x14ac:dyDescent="0.2">
      <c r="A49">
        <v>2021</v>
      </c>
      <c r="B49" t="s">
        <v>52</v>
      </c>
      <c r="C49">
        <v>1682</v>
      </c>
      <c r="D49">
        <v>1745</v>
      </c>
      <c r="E49">
        <v>1685</v>
      </c>
    </row>
    <row r="50" spans="1:5" x14ac:dyDescent="0.2">
      <c r="A50">
        <v>2021</v>
      </c>
      <c r="B50" t="s">
        <v>53</v>
      </c>
      <c r="C50">
        <v>1666</v>
      </c>
      <c r="D50">
        <v>1715</v>
      </c>
      <c r="E50">
        <v>1668</v>
      </c>
    </row>
    <row r="51" spans="1:5" x14ac:dyDescent="0.2">
      <c r="A51">
        <v>2021</v>
      </c>
      <c r="B51" t="s">
        <v>54</v>
      </c>
      <c r="C51">
        <v>1653</v>
      </c>
      <c r="D51">
        <v>1694</v>
      </c>
      <c r="E51">
        <v>1655</v>
      </c>
    </row>
    <row r="52" spans="1:5" x14ac:dyDescent="0.2">
      <c r="A52">
        <v>2021</v>
      </c>
      <c r="B52" t="s">
        <v>55</v>
      </c>
      <c r="C52">
        <v>1607</v>
      </c>
      <c r="D52">
        <v>1660</v>
      </c>
      <c r="E52">
        <v>1608</v>
      </c>
    </row>
    <row r="53" spans="1:5" x14ac:dyDescent="0.2">
      <c r="A53">
        <v>2021</v>
      </c>
      <c r="B53" t="s">
        <v>57</v>
      </c>
      <c r="C53">
        <v>1709</v>
      </c>
      <c r="D53">
        <v>1739</v>
      </c>
      <c r="E53">
        <v>1711</v>
      </c>
    </row>
    <row r="54" spans="1:5" x14ac:dyDescent="0.2">
      <c r="A54">
        <v>2022</v>
      </c>
      <c r="B54" t="s">
        <v>5</v>
      </c>
      <c r="C54">
        <v>1679</v>
      </c>
      <c r="D54">
        <v>1717</v>
      </c>
      <c r="E54">
        <v>1680</v>
      </c>
    </row>
    <row r="55" spans="1:5" x14ac:dyDescent="0.2">
      <c r="A55">
        <v>2022</v>
      </c>
      <c r="B55" t="s">
        <v>6</v>
      </c>
      <c r="C55">
        <v>1507</v>
      </c>
      <c r="D55">
        <v>1546</v>
      </c>
      <c r="E55">
        <v>1509</v>
      </c>
    </row>
    <row r="56" spans="1:5" x14ac:dyDescent="0.2">
      <c r="A56">
        <v>2022</v>
      </c>
      <c r="B56" t="s">
        <v>7</v>
      </c>
      <c r="C56">
        <v>1639</v>
      </c>
      <c r="D56">
        <v>1668</v>
      </c>
      <c r="E56">
        <v>1640</v>
      </c>
    </row>
    <row r="57" spans="1:5" x14ac:dyDescent="0.2">
      <c r="A57">
        <v>2022</v>
      </c>
      <c r="B57" t="s">
        <v>8</v>
      </c>
      <c r="C57">
        <v>1592</v>
      </c>
      <c r="D57">
        <v>1627</v>
      </c>
      <c r="E57">
        <v>1594</v>
      </c>
    </row>
    <row r="58" spans="1:5" x14ac:dyDescent="0.2">
      <c r="A58">
        <v>2022</v>
      </c>
      <c r="B58" t="s">
        <v>9</v>
      </c>
      <c r="C58">
        <v>1690</v>
      </c>
      <c r="D58">
        <v>1718</v>
      </c>
      <c r="E58">
        <v>1691</v>
      </c>
    </row>
    <row r="59" spans="1:5" x14ac:dyDescent="0.2">
      <c r="A59">
        <v>2022</v>
      </c>
      <c r="B59" t="s">
        <v>10</v>
      </c>
      <c r="C59">
        <v>1600</v>
      </c>
      <c r="D59">
        <v>1626</v>
      </c>
      <c r="E59">
        <v>1600</v>
      </c>
    </row>
    <row r="60" spans="1:5" x14ac:dyDescent="0.2">
      <c r="A60">
        <v>2022</v>
      </c>
      <c r="B60" t="s">
        <v>11</v>
      </c>
      <c r="C60">
        <v>1673</v>
      </c>
      <c r="D60">
        <v>1695</v>
      </c>
      <c r="E60">
        <v>1674</v>
      </c>
    </row>
    <row r="61" spans="1:5" x14ac:dyDescent="0.2">
      <c r="A61">
        <v>2022</v>
      </c>
      <c r="B61" t="s">
        <v>12</v>
      </c>
      <c r="C61">
        <v>1670</v>
      </c>
      <c r="D61">
        <v>1696</v>
      </c>
      <c r="E61">
        <v>1671</v>
      </c>
    </row>
    <row r="62" spans="1:5" x14ac:dyDescent="0.2">
      <c r="A62">
        <v>2022</v>
      </c>
      <c r="B62" t="s">
        <v>13</v>
      </c>
      <c r="C62">
        <v>1603</v>
      </c>
      <c r="D62">
        <v>1624</v>
      </c>
      <c r="E62">
        <v>1603</v>
      </c>
    </row>
    <row r="63" spans="1:5" x14ac:dyDescent="0.2">
      <c r="A63">
        <v>2022</v>
      </c>
      <c r="B63" t="s">
        <v>14</v>
      </c>
      <c r="C63">
        <v>1642</v>
      </c>
      <c r="D63">
        <v>1660</v>
      </c>
      <c r="E63">
        <v>1642</v>
      </c>
    </row>
    <row r="64" spans="1:5" x14ac:dyDescent="0.2">
      <c r="A64">
        <v>2022</v>
      </c>
      <c r="B64" t="s">
        <v>15</v>
      </c>
      <c r="C64">
        <v>1718</v>
      </c>
      <c r="D64">
        <v>1751</v>
      </c>
      <c r="E64">
        <v>1718</v>
      </c>
    </row>
    <row r="65" spans="1:5" x14ac:dyDescent="0.2">
      <c r="A65">
        <v>2022</v>
      </c>
      <c r="B65" t="s">
        <v>16</v>
      </c>
      <c r="C65">
        <v>1692</v>
      </c>
      <c r="D65">
        <v>1714</v>
      </c>
      <c r="E65">
        <v>1692</v>
      </c>
    </row>
    <row r="66" spans="1:5" x14ac:dyDescent="0.2">
      <c r="A66">
        <v>2022</v>
      </c>
      <c r="B66" t="s">
        <v>17</v>
      </c>
      <c r="C66">
        <v>1666</v>
      </c>
      <c r="D66">
        <v>1687</v>
      </c>
      <c r="E66">
        <v>1666</v>
      </c>
    </row>
    <row r="67" spans="1:5" x14ac:dyDescent="0.2">
      <c r="A67">
        <v>2022</v>
      </c>
      <c r="B67" t="s">
        <v>18</v>
      </c>
      <c r="C67">
        <v>1759</v>
      </c>
      <c r="D67">
        <v>1776</v>
      </c>
      <c r="E67">
        <v>1759</v>
      </c>
    </row>
    <row r="68" spans="1:5" x14ac:dyDescent="0.2">
      <c r="A68">
        <v>2022</v>
      </c>
      <c r="B68" t="s">
        <v>19</v>
      </c>
      <c r="C68">
        <v>1720</v>
      </c>
      <c r="D68">
        <v>1741</v>
      </c>
      <c r="E68">
        <v>1720</v>
      </c>
    </row>
    <row r="69" spans="1:5" x14ac:dyDescent="0.2">
      <c r="A69">
        <v>2022</v>
      </c>
      <c r="B69" t="s">
        <v>20</v>
      </c>
      <c r="C69">
        <v>1627</v>
      </c>
      <c r="D69">
        <v>1648</v>
      </c>
      <c r="E69">
        <v>1627</v>
      </c>
    </row>
    <row r="70" spans="1:5" x14ac:dyDescent="0.2">
      <c r="A70">
        <v>2022</v>
      </c>
      <c r="B70" t="s">
        <v>21</v>
      </c>
      <c r="C70">
        <v>1605</v>
      </c>
      <c r="D70">
        <v>1624</v>
      </c>
      <c r="E70">
        <v>1605</v>
      </c>
    </row>
    <row r="71" spans="1:5" x14ac:dyDescent="0.2">
      <c r="A71">
        <v>2022</v>
      </c>
      <c r="B71" t="s">
        <v>22</v>
      </c>
      <c r="C71">
        <v>1638</v>
      </c>
      <c r="D71">
        <v>1651</v>
      </c>
      <c r="E71">
        <v>1638</v>
      </c>
    </row>
    <row r="72" spans="1:5" x14ac:dyDescent="0.2">
      <c r="A72">
        <v>2022</v>
      </c>
      <c r="B72" t="s">
        <v>23</v>
      </c>
      <c r="C72">
        <v>1655</v>
      </c>
      <c r="D72">
        <v>1672</v>
      </c>
      <c r="E72">
        <v>1655</v>
      </c>
    </row>
    <row r="73" spans="1:5" x14ac:dyDescent="0.2">
      <c r="A73">
        <v>2022</v>
      </c>
      <c r="B73" t="s">
        <v>24</v>
      </c>
      <c r="C73">
        <v>1592</v>
      </c>
      <c r="D73">
        <v>1604</v>
      </c>
      <c r="E73">
        <v>1592</v>
      </c>
    </row>
    <row r="74" spans="1:5" x14ac:dyDescent="0.2">
      <c r="A74">
        <v>2022</v>
      </c>
      <c r="B74" t="s">
        <v>25</v>
      </c>
      <c r="C74">
        <v>1589</v>
      </c>
      <c r="D74">
        <v>1609</v>
      </c>
      <c r="E74">
        <v>1589</v>
      </c>
    </row>
    <row r="75" spans="1:5" x14ac:dyDescent="0.2">
      <c r="A75">
        <v>2022</v>
      </c>
      <c r="B75" t="s">
        <v>26</v>
      </c>
      <c r="C75">
        <v>1606</v>
      </c>
      <c r="D75">
        <v>1617</v>
      </c>
      <c r="E75">
        <v>1606</v>
      </c>
    </row>
    <row r="76" spans="1:5" x14ac:dyDescent="0.2">
      <c r="A76">
        <v>2022</v>
      </c>
      <c r="B76" t="s">
        <v>27</v>
      </c>
      <c r="C76">
        <v>1591</v>
      </c>
      <c r="D76">
        <v>1606</v>
      </c>
      <c r="E76">
        <v>1591</v>
      </c>
    </row>
    <row r="77" spans="1:5" x14ac:dyDescent="0.2">
      <c r="A77">
        <v>2022</v>
      </c>
      <c r="B77" t="s">
        <v>28</v>
      </c>
      <c r="C77">
        <v>1549</v>
      </c>
      <c r="D77">
        <v>1566</v>
      </c>
      <c r="E77">
        <v>1549</v>
      </c>
    </row>
    <row r="78" spans="1:5" x14ac:dyDescent="0.2">
      <c r="A78">
        <v>2022</v>
      </c>
      <c r="B78" t="s">
        <v>29</v>
      </c>
      <c r="C78">
        <v>1674</v>
      </c>
      <c r="D78">
        <v>1687</v>
      </c>
      <c r="E78">
        <v>1674</v>
      </c>
    </row>
    <row r="79" spans="1:5" x14ac:dyDescent="0.2">
      <c r="A79">
        <v>2022</v>
      </c>
      <c r="B79" t="s">
        <v>30</v>
      </c>
      <c r="C79">
        <v>1565</v>
      </c>
      <c r="D79">
        <v>1580</v>
      </c>
      <c r="E79">
        <v>1565</v>
      </c>
    </row>
    <row r="80" spans="1:5" x14ac:dyDescent="0.2">
      <c r="A80">
        <v>2022</v>
      </c>
      <c r="B80" t="s">
        <v>31</v>
      </c>
      <c r="C80">
        <v>1540</v>
      </c>
      <c r="D80">
        <v>1552</v>
      </c>
      <c r="E80">
        <v>1540</v>
      </c>
    </row>
    <row r="81" spans="1:5" x14ac:dyDescent="0.2">
      <c r="A81">
        <v>2022</v>
      </c>
      <c r="B81" t="s">
        <v>32</v>
      </c>
      <c r="C81">
        <v>1600</v>
      </c>
      <c r="D81">
        <v>1617</v>
      </c>
      <c r="E81">
        <v>1600</v>
      </c>
    </row>
    <row r="82" spans="1:5" x14ac:dyDescent="0.2">
      <c r="A82">
        <v>2022</v>
      </c>
      <c r="B82" t="s">
        <v>33</v>
      </c>
      <c r="C82">
        <v>1590</v>
      </c>
      <c r="D82">
        <v>1607</v>
      </c>
      <c r="E82">
        <v>1590</v>
      </c>
    </row>
    <row r="83" spans="1:5" x14ac:dyDescent="0.2">
      <c r="A83">
        <v>2022</v>
      </c>
      <c r="B83" t="s">
        <v>34</v>
      </c>
      <c r="C83">
        <v>1581</v>
      </c>
      <c r="D83">
        <v>1594</v>
      </c>
      <c r="E83">
        <v>1581</v>
      </c>
    </row>
    <row r="84" spans="1:5" x14ac:dyDescent="0.2">
      <c r="A84">
        <v>2022</v>
      </c>
      <c r="B84" t="s">
        <v>35</v>
      </c>
      <c r="C84">
        <v>1509</v>
      </c>
      <c r="D84">
        <v>1526</v>
      </c>
      <c r="E84">
        <v>1509</v>
      </c>
    </row>
    <row r="85" spans="1:5" x14ac:dyDescent="0.2">
      <c r="A85">
        <v>2022</v>
      </c>
      <c r="B85" t="s">
        <v>36</v>
      </c>
      <c r="C85">
        <v>1508</v>
      </c>
      <c r="D85">
        <v>1524</v>
      </c>
      <c r="E85">
        <v>1508</v>
      </c>
    </row>
    <row r="86" spans="1:5" x14ac:dyDescent="0.2">
      <c r="A86">
        <v>2022</v>
      </c>
      <c r="B86" t="s">
        <v>37</v>
      </c>
      <c r="C86">
        <v>1600</v>
      </c>
      <c r="D86">
        <v>1608</v>
      </c>
      <c r="E86">
        <v>1600</v>
      </c>
    </row>
    <row r="87" spans="1:5" x14ac:dyDescent="0.2">
      <c r="A87">
        <v>2022</v>
      </c>
      <c r="B87" t="s">
        <v>38</v>
      </c>
      <c r="C87">
        <v>1601</v>
      </c>
      <c r="D87">
        <v>1616</v>
      </c>
      <c r="E87">
        <v>1601</v>
      </c>
    </row>
    <row r="88" spans="1:5" x14ac:dyDescent="0.2">
      <c r="A88">
        <v>2022</v>
      </c>
      <c r="B88" t="s">
        <v>39</v>
      </c>
      <c r="C88">
        <v>1577</v>
      </c>
      <c r="D88">
        <v>1598</v>
      </c>
      <c r="E88">
        <v>1578</v>
      </c>
    </row>
    <row r="89" spans="1:5" x14ac:dyDescent="0.2">
      <c r="A89">
        <v>2022</v>
      </c>
      <c r="B89" t="s">
        <v>40</v>
      </c>
      <c r="C89">
        <v>1543</v>
      </c>
      <c r="D89">
        <v>1558</v>
      </c>
      <c r="E89">
        <v>1543</v>
      </c>
    </row>
    <row r="90" spans="1:5" x14ac:dyDescent="0.2">
      <c r="A90">
        <v>2022</v>
      </c>
      <c r="B90" t="s">
        <v>41</v>
      </c>
      <c r="C90">
        <v>1495</v>
      </c>
      <c r="D90">
        <v>1509</v>
      </c>
      <c r="E90">
        <v>1495</v>
      </c>
    </row>
    <row r="91" spans="1:5" x14ac:dyDescent="0.2">
      <c r="A91">
        <v>2022</v>
      </c>
      <c r="B91" t="s">
        <v>42</v>
      </c>
      <c r="C91">
        <v>1652</v>
      </c>
      <c r="D91">
        <v>1664</v>
      </c>
      <c r="E91">
        <v>1653</v>
      </c>
    </row>
    <row r="92" spans="1:5" x14ac:dyDescent="0.2">
      <c r="A92">
        <v>2022</v>
      </c>
      <c r="B92" t="s">
        <v>43</v>
      </c>
      <c r="C92">
        <v>1684</v>
      </c>
      <c r="D92">
        <v>1694</v>
      </c>
      <c r="E92">
        <v>1684</v>
      </c>
    </row>
    <row r="93" spans="1:5" x14ac:dyDescent="0.2">
      <c r="A93">
        <v>2022</v>
      </c>
      <c r="B93" t="s">
        <v>44</v>
      </c>
      <c r="C93">
        <v>1680</v>
      </c>
      <c r="D93">
        <v>1695</v>
      </c>
      <c r="E93">
        <v>1680</v>
      </c>
    </row>
    <row r="94" spans="1:5" x14ac:dyDescent="0.2">
      <c r="A94">
        <v>2022</v>
      </c>
      <c r="B94" t="s">
        <v>45</v>
      </c>
      <c r="C94">
        <v>1681</v>
      </c>
      <c r="D94">
        <v>1695</v>
      </c>
      <c r="E94">
        <v>1681</v>
      </c>
    </row>
    <row r="95" spans="1:5" x14ac:dyDescent="0.2">
      <c r="A95">
        <v>2022</v>
      </c>
      <c r="B95" t="s">
        <v>46</v>
      </c>
      <c r="C95">
        <v>1682</v>
      </c>
      <c r="D95">
        <v>1694</v>
      </c>
      <c r="E95">
        <v>1682</v>
      </c>
    </row>
    <row r="96" spans="1:5" x14ac:dyDescent="0.2">
      <c r="A96">
        <v>2022</v>
      </c>
      <c r="B96" t="s">
        <v>47</v>
      </c>
      <c r="C96">
        <v>1684</v>
      </c>
      <c r="D96">
        <v>1692</v>
      </c>
      <c r="E96">
        <v>1684</v>
      </c>
    </row>
    <row r="97" spans="1:7" x14ac:dyDescent="0.2">
      <c r="A97">
        <v>2022</v>
      </c>
      <c r="B97" t="s">
        <v>48</v>
      </c>
      <c r="C97">
        <v>1666</v>
      </c>
      <c r="D97">
        <v>1685</v>
      </c>
      <c r="E97">
        <v>1666</v>
      </c>
    </row>
    <row r="98" spans="1:7" x14ac:dyDescent="0.2">
      <c r="A98">
        <v>2022</v>
      </c>
      <c r="B98" t="s">
        <v>49</v>
      </c>
      <c r="C98">
        <v>1687</v>
      </c>
      <c r="D98">
        <v>1695</v>
      </c>
      <c r="E98">
        <v>1687</v>
      </c>
    </row>
    <row r="99" spans="1:7" x14ac:dyDescent="0.2">
      <c r="A99">
        <v>2022</v>
      </c>
      <c r="B99" t="s">
        <v>50</v>
      </c>
      <c r="C99">
        <v>1763</v>
      </c>
      <c r="D99">
        <v>1774</v>
      </c>
      <c r="E99">
        <v>1763</v>
      </c>
    </row>
    <row r="100" spans="1:7" x14ac:dyDescent="0.2">
      <c r="A100">
        <v>2022</v>
      </c>
      <c r="B100" t="s">
        <v>51</v>
      </c>
      <c r="C100">
        <v>1808</v>
      </c>
      <c r="D100">
        <v>1818</v>
      </c>
      <c r="E100">
        <v>1808</v>
      </c>
    </row>
    <row r="101" spans="1:7" x14ac:dyDescent="0.2">
      <c r="A101">
        <v>2022</v>
      </c>
      <c r="B101" t="s">
        <v>52</v>
      </c>
      <c r="C101">
        <v>1876</v>
      </c>
      <c r="D101">
        <v>1892</v>
      </c>
      <c r="E101">
        <v>1876</v>
      </c>
    </row>
    <row r="102" spans="1:7" x14ac:dyDescent="0.2">
      <c r="A102">
        <v>2022</v>
      </c>
      <c r="B102" t="s">
        <v>53</v>
      </c>
      <c r="C102">
        <v>1899</v>
      </c>
      <c r="D102">
        <v>1911</v>
      </c>
      <c r="E102">
        <v>1899</v>
      </c>
    </row>
    <row r="103" spans="1:7" x14ac:dyDescent="0.2">
      <c r="A103">
        <v>2022</v>
      </c>
      <c r="B103" t="s">
        <v>54</v>
      </c>
      <c r="C103">
        <v>2071</v>
      </c>
      <c r="D103">
        <v>2080</v>
      </c>
      <c r="E103">
        <v>2071</v>
      </c>
    </row>
    <row r="104" spans="1:7" x14ac:dyDescent="0.2">
      <c r="A104">
        <v>2022</v>
      </c>
      <c r="B104" t="s">
        <v>55</v>
      </c>
      <c r="C104">
        <v>2089</v>
      </c>
      <c r="D104">
        <v>2106</v>
      </c>
      <c r="E104">
        <v>2089</v>
      </c>
    </row>
    <row r="105" spans="1:7" x14ac:dyDescent="0.2">
      <c r="A105">
        <v>2022</v>
      </c>
      <c r="B105" t="s">
        <v>57</v>
      </c>
      <c r="C105">
        <v>2017</v>
      </c>
      <c r="D105">
        <v>2035</v>
      </c>
      <c r="E105">
        <v>2017</v>
      </c>
      <c r="G105">
        <f>D105+'321 ncov wlz'!D105+'312 cov nwlz'!D105+'311 cov wlz'!D105</f>
        <v>3717</v>
      </c>
    </row>
    <row r="106" spans="1:7" x14ac:dyDescent="0.2">
      <c r="A10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C03-ECE0-9242-A627-109B2A616809}">
  <dimension ref="A1:Y212"/>
  <sheetViews>
    <sheetView zoomScale="92" zoomScaleNormal="9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baseColWidth="10" defaultRowHeight="16" x14ac:dyDescent="0.2"/>
  <cols>
    <col min="2" max="2" width="11.33203125" bestFit="1" customWidth="1"/>
  </cols>
  <sheetData>
    <row r="1" spans="1:25" x14ac:dyDescent="0.2">
      <c r="A1" t="s">
        <v>59</v>
      </c>
      <c r="B1" t="s">
        <v>63</v>
      </c>
      <c r="C1" t="s">
        <v>60</v>
      </c>
      <c r="D1" t="s">
        <v>61</v>
      </c>
      <c r="E1" t="s">
        <v>62</v>
      </c>
      <c r="F1" t="s">
        <v>82</v>
      </c>
      <c r="H1" t="s">
        <v>119</v>
      </c>
      <c r="I1" t="s">
        <v>83</v>
      </c>
      <c r="J1" t="s">
        <v>64</v>
      </c>
      <c r="K1" t="s">
        <v>65</v>
      </c>
      <c r="M1" t="s">
        <v>67</v>
      </c>
      <c r="N1" t="s">
        <v>68</v>
      </c>
      <c r="O1" t="s">
        <v>66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W1" t="s">
        <v>129</v>
      </c>
      <c r="X1" t="s">
        <v>130</v>
      </c>
      <c r="Y1" t="s">
        <v>131</v>
      </c>
    </row>
    <row r="2" spans="1:25" x14ac:dyDescent="0.2">
      <c r="A2">
        <v>1</v>
      </c>
      <c r="B2" s="2">
        <v>44200</v>
      </c>
      <c r="C2">
        <f>'311 cov wlz'!D2-'311 cov wlz'!E2+'312 cov nwlz'!D2-'312 cov nwlz'!E2+'321 ncov wlz'!D2-'321 ncov wlz'!E2+'322 ncov nwlz'!D2-'322 ncov nwlz'!E2</f>
        <v>0</v>
      </c>
      <c r="D2" s="1">
        <v>33759</v>
      </c>
      <c r="E2" s="1">
        <f>Oversterfte!C264</f>
        <v>4144</v>
      </c>
      <c r="F2">
        <f>'311 cov wlz'!D2+'312 cov nwlz'!D2+'321 ncov wlz'!D2+'322 ncov nwlz'!D2</f>
        <v>0</v>
      </c>
      <c r="H2" s="6">
        <v>3.9562452868417497E-3</v>
      </c>
      <c r="I2" s="6">
        <f>F2/E2</f>
        <v>0</v>
      </c>
      <c r="K2">
        <v>0</v>
      </c>
      <c r="M2">
        <v>2535</v>
      </c>
      <c r="N2" s="1">
        <v>0</v>
      </c>
      <c r="O2" s="1">
        <f t="shared" ref="O2:O33" si="0">(N3+N4+N5+N6)*M2/838661</f>
        <v>0</v>
      </c>
      <c r="P2">
        <v>1179</v>
      </c>
      <c r="Q2" s="1">
        <v>0</v>
      </c>
      <c r="R2" s="1"/>
      <c r="S2">
        <v>430</v>
      </c>
      <c r="T2" s="1">
        <v>0</v>
      </c>
      <c r="U2" s="1">
        <v>0</v>
      </c>
      <c r="W2" s="6">
        <f t="shared" ref="W2:W28" si="1">H2-I2</f>
        <v>3.9562452868417497E-3</v>
      </c>
    </row>
    <row r="3" spans="1:25" x14ac:dyDescent="0.2">
      <c r="A3">
        <f>A2+1</f>
        <v>2</v>
      </c>
      <c r="B3" s="2">
        <f>B2+7</f>
        <v>44207</v>
      </c>
      <c r="C3">
        <f>'311 cov wlz'!D3-'311 cov wlz'!E3+'312 cov nwlz'!D3-'312 cov nwlz'!E3+'321 ncov wlz'!D3-'321 ncov wlz'!E3+'322 ncov nwlz'!D3-'322 ncov nwlz'!E3</f>
        <v>0</v>
      </c>
      <c r="D3" s="1">
        <v>43203</v>
      </c>
      <c r="E3" s="1">
        <f>Oversterfte!C265</f>
        <v>3852</v>
      </c>
      <c r="F3">
        <f>'311 cov wlz'!D3+'312 cov nwlz'!D3+'321 ncov wlz'!D3+'322 ncov nwlz'!D3</f>
        <v>0</v>
      </c>
      <c r="H3" s="6">
        <v>1.0727419086763277E-2</v>
      </c>
      <c r="I3" s="6">
        <f t="shared" ref="I3:I34" si="2">(0.5*F3/E3+0.25*(F2/E2+F4/E4))</f>
        <v>0</v>
      </c>
      <c r="J3" s="1">
        <f>(O3+R3+U3)*0.93</f>
        <v>10.069052484138405</v>
      </c>
      <c r="K3" s="1">
        <f t="shared" ref="K3:K34" si="3">C3-J3</f>
        <v>-10.069052484138405</v>
      </c>
      <c r="L3" s="1"/>
      <c r="M3">
        <v>2331</v>
      </c>
      <c r="N3" s="1">
        <v>0</v>
      </c>
      <c r="O3" s="1">
        <f t="shared" si="0"/>
        <v>10.826938154987532</v>
      </c>
      <c r="P3">
        <v>1111</v>
      </c>
      <c r="Q3" s="1">
        <v>0</v>
      </c>
      <c r="R3" s="1">
        <f>(Q4+Q5+Q6+Q7)*P3/2685816</f>
        <v>0</v>
      </c>
      <c r="S3">
        <v>410</v>
      </c>
      <c r="T3" s="1">
        <v>0</v>
      </c>
      <c r="U3" s="1">
        <f t="shared" ref="U3:U27" si="4">(T2+T3)*S3/13950939</f>
        <v>0</v>
      </c>
      <c r="W3" s="6">
        <f t="shared" si="1"/>
        <v>1.0727419086763277E-2</v>
      </c>
    </row>
    <row r="4" spans="1:25" x14ac:dyDescent="0.2">
      <c r="A4">
        <f t="shared" ref="A4:A16" si="5">A3+1</f>
        <v>3</v>
      </c>
      <c r="B4" s="2">
        <f t="shared" ref="B4:B16" si="6">B3+7</f>
        <v>44214</v>
      </c>
      <c r="C4">
        <f>'311 cov wlz'!D4-'311 cov wlz'!E4+'312 cov nwlz'!D4-'312 cov nwlz'!E4+'321 ncov wlz'!D4-'321 ncov wlz'!E4+'322 ncov nwlz'!D4-'322 ncov nwlz'!E4</f>
        <v>0</v>
      </c>
      <c r="D4" s="1">
        <v>87587</v>
      </c>
      <c r="E4" s="1">
        <f>Oversterfte!C266</f>
        <v>3862</v>
      </c>
      <c r="F4">
        <f>'311 cov wlz'!D4+'312 cov nwlz'!D4+'321 ncov wlz'!D4+'322 ncov nwlz'!D4</f>
        <v>0</v>
      </c>
      <c r="H4" s="6">
        <v>1.2580578594446482E-2</v>
      </c>
      <c r="I4" s="6">
        <f t="shared" si="2"/>
        <v>2.0182992465016146E-3</v>
      </c>
      <c r="J4" s="1">
        <f t="shared" ref="J4:J54" si="7">(O4+R4+U4)*0.93</f>
        <v>13.924909787756683</v>
      </c>
      <c r="K4" s="1">
        <f t="shared" si="3"/>
        <v>-13.924909787756683</v>
      </c>
      <c r="M4">
        <v>2349</v>
      </c>
      <c r="N4" s="1">
        <v>0</v>
      </c>
      <c r="O4" s="1">
        <f t="shared" si="0"/>
        <v>10.910543855026049</v>
      </c>
      <c r="P4">
        <v>1087</v>
      </c>
      <c r="Q4" s="1">
        <v>0</v>
      </c>
      <c r="R4" s="1">
        <f t="shared" ref="R4:R49" si="8">(Q5+Q6+Q7+Q8)*P4/2685816</f>
        <v>4.0624774221316731</v>
      </c>
      <c r="S4">
        <v>426</v>
      </c>
      <c r="T4" s="1">
        <v>0</v>
      </c>
      <c r="U4" s="1">
        <f t="shared" si="4"/>
        <v>0</v>
      </c>
      <c r="W4" s="6">
        <f t="shared" si="1"/>
        <v>1.0562279347944868E-2</v>
      </c>
    </row>
    <row r="5" spans="1:25" x14ac:dyDescent="0.2">
      <c r="A5">
        <f t="shared" si="5"/>
        <v>4</v>
      </c>
      <c r="B5" s="2">
        <f t="shared" si="6"/>
        <v>44221</v>
      </c>
      <c r="C5">
        <f>'311 cov wlz'!D5-'311 cov wlz'!E5+'312 cov nwlz'!D5-'312 cov nwlz'!E5+'321 ncov wlz'!D5-'321 ncov wlz'!E5+'322 ncov nwlz'!D5-'322 ncov nwlz'!E5</f>
        <v>29</v>
      </c>
      <c r="D5" s="1">
        <v>155343</v>
      </c>
      <c r="E5" s="1">
        <f>Oversterfte!C267</f>
        <v>3716</v>
      </c>
      <c r="F5">
        <f>'311 cov wlz'!D5+'312 cov nwlz'!D5+'321 ncov wlz'!D5+'322 ncov nwlz'!D5</f>
        <v>30</v>
      </c>
      <c r="H5" s="6">
        <v>4.101773621429352E-2</v>
      </c>
      <c r="I5" s="6">
        <f t="shared" si="2"/>
        <v>2.244108672507767E-2</v>
      </c>
      <c r="J5" s="1">
        <f t="shared" si="7"/>
        <v>95.799340369747824</v>
      </c>
      <c r="K5" s="1">
        <f t="shared" si="3"/>
        <v>-66.799340369747824</v>
      </c>
      <c r="M5">
        <v>2207</v>
      </c>
      <c r="N5" s="1">
        <v>0</v>
      </c>
      <c r="O5" s="1">
        <f t="shared" si="0"/>
        <v>92.225705821541723</v>
      </c>
      <c r="P5">
        <v>1106</v>
      </c>
      <c r="Q5" s="1">
        <v>0</v>
      </c>
      <c r="R5" s="1">
        <f t="shared" si="8"/>
        <v>10.784337586789265</v>
      </c>
      <c r="S5">
        <v>403</v>
      </c>
      <c r="T5" s="1">
        <v>0</v>
      </c>
      <c r="U5" s="1">
        <f t="shared" si="4"/>
        <v>0</v>
      </c>
      <c r="W5" s="6">
        <f t="shared" si="1"/>
        <v>1.8576649489215849E-2</v>
      </c>
    </row>
    <row r="6" spans="1:25" x14ac:dyDescent="0.2">
      <c r="A6">
        <f t="shared" si="5"/>
        <v>5</v>
      </c>
      <c r="B6" s="2">
        <f t="shared" si="6"/>
        <v>44228</v>
      </c>
      <c r="C6">
        <f>'311 cov wlz'!D6-'311 cov wlz'!E6+'312 cov nwlz'!D6-'312 cov nwlz'!E6+'321 ncov wlz'!D6-'321 ncov wlz'!E6+'322 ncov nwlz'!D6-'322 ncov nwlz'!E6</f>
        <v>262</v>
      </c>
      <c r="D6" s="1">
        <v>192897</v>
      </c>
      <c r="E6" s="1">
        <f>Oversterfte!C268</f>
        <v>3654</v>
      </c>
      <c r="F6">
        <f>'311 cov wlz'!D6+'312 cov nwlz'!D6+'321 ncov wlz'!D6+'322 ncov nwlz'!D6</f>
        <v>269</v>
      </c>
      <c r="H6" s="6">
        <v>6.836435490676597E-2</v>
      </c>
      <c r="I6" s="6">
        <f t="shared" si="2"/>
        <v>7.8897698245861764E-2</v>
      </c>
      <c r="J6" s="1">
        <f t="shared" si="7"/>
        <v>196.49178503486363</v>
      </c>
      <c r="K6" s="1">
        <f t="shared" si="3"/>
        <v>65.508214965136375</v>
      </c>
      <c r="M6">
        <v>2173</v>
      </c>
      <c r="N6" s="1">
        <v>0</v>
      </c>
      <c r="O6" s="1">
        <f t="shared" si="0"/>
        <v>195.40878580260676</v>
      </c>
      <c r="P6">
        <v>1101</v>
      </c>
      <c r="Q6" s="1">
        <v>0</v>
      </c>
      <c r="R6" s="1">
        <f t="shared" si="8"/>
        <v>13.375787224441288</v>
      </c>
      <c r="S6">
        <v>380</v>
      </c>
      <c r="T6" s="1">
        <v>91669.279999999984</v>
      </c>
      <c r="U6" s="1">
        <f t="shared" si="4"/>
        <v>2.4969162577515385</v>
      </c>
      <c r="W6" s="6">
        <f t="shared" si="1"/>
        <v>-1.0533343339095794E-2</v>
      </c>
    </row>
    <row r="7" spans="1:25" x14ac:dyDescent="0.2">
      <c r="A7">
        <f t="shared" si="5"/>
        <v>6</v>
      </c>
      <c r="B7" s="2">
        <f t="shared" si="6"/>
        <v>44235</v>
      </c>
      <c r="C7">
        <f>'311 cov wlz'!D7-'311 cov wlz'!E7+'312 cov nwlz'!D7-'312 cov nwlz'!E7+'321 ncov wlz'!D7-'321 ncov wlz'!E7+'322 ncov nwlz'!D7-'322 ncov nwlz'!E7</f>
        <v>560</v>
      </c>
      <c r="D7" s="1">
        <v>198545</v>
      </c>
      <c r="E7" s="1">
        <f>Oversterfte!C269</f>
        <v>3550</v>
      </c>
      <c r="F7">
        <f>'311 cov wlz'!D7+'312 cov nwlz'!D7+'321 ncov wlz'!D7+'322 ncov nwlz'!D7</f>
        <v>569</v>
      </c>
      <c r="H7" s="6">
        <v>0.12132624804301823</v>
      </c>
      <c r="I7" s="6">
        <f t="shared" si="2"/>
        <v>0.15339227207800715</v>
      </c>
      <c r="J7" s="1">
        <f t="shared" si="7"/>
        <v>355.79058929746697</v>
      </c>
      <c r="K7" s="1">
        <f t="shared" si="3"/>
        <v>204.20941070253303</v>
      </c>
      <c r="M7">
        <v>2043</v>
      </c>
      <c r="N7" s="1">
        <v>3895.38</v>
      </c>
      <c r="O7" s="1">
        <f t="shared" si="0"/>
        <v>365.46562868668042</v>
      </c>
      <c r="P7">
        <v>1097</v>
      </c>
      <c r="Q7" s="1">
        <v>0</v>
      </c>
      <c r="R7" s="1">
        <f t="shared" si="8"/>
        <v>13.32719217548782</v>
      </c>
      <c r="S7">
        <v>410</v>
      </c>
      <c r="T7" s="1">
        <v>36873.490000000005</v>
      </c>
      <c r="U7" s="1">
        <f t="shared" si="4"/>
        <v>3.7777052641402844</v>
      </c>
      <c r="W7" s="6">
        <f t="shared" si="1"/>
        <v>-3.2066024034988927E-2</v>
      </c>
    </row>
    <row r="8" spans="1:25" x14ac:dyDescent="0.2">
      <c r="A8">
        <f t="shared" si="5"/>
        <v>7</v>
      </c>
      <c r="B8" s="2">
        <f t="shared" si="6"/>
        <v>44242</v>
      </c>
      <c r="C8">
        <f>'311 cov wlz'!D8-'311 cov wlz'!E8+'312 cov nwlz'!D8-'312 cov nwlz'!E8+'321 ncov wlz'!D8-'321 ncov wlz'!E8+'322 ncov nwlz'!D8-'322 ncov nwlz'!E8</f>
        <v>730</v>
      </c>
      <c r="D8" s="1">
        <v>216728</v>
      </c>
      <c r="E8" s="1">
        <f>Oversterfte!C270</f>
        <v>3528</v>
      </c>
      <c r="F8">
        <f>'311 cov wlz'!D8+'312 cov nwlz'!D8+'321 ncov wlz'!D8+'322 ncov nwlz'!D8</f>
        <v>774</v>
      </c>
      <c r="H8" s="6">
        <v>0.20065021857412088</v>
      </c>
      <c r="I8" s="6">
        <f t="shared" si="2"/>
        <v>0.20706083890756</v>
      </c>
      <c r="J8" s="1">
        <f t="shared" si="7"/>
        <v>602.63278154819727</v>
      </c>
      <c r="K8" s="1">
        <f t="shared" si="3"/>
        <v>127.36721845180273</v>
      </c>
      <c r="M8">
        <v>2011</v>
      </c>
      <c r="N8" s="1">
        <v>0</v>
      </c>
      <c r="O8" s="1">
        <f t="shared" si="0"/>
        <v>636.4531176124799</v>
      </c>
      <c r="P8">
        <v>1039</v>
      </c>
      <c r="Q8" s="1">
        <v>10037.780000000001</v>
      </c>
      <c r="R8" s="1">
        <f t="shared" si="8"/>
        <v>8.7394783708191461</v>
      </c>
      <c r="S8">
        <v>478</v>
      </c>
      <c r="T8" s="1">
        <v>44837.049999999988</v>
      </c>
      <c r="U8" s="1">
        <f t="shared" si="4"/>
        <v>2.7996422405688963</v>
      </c>
      <c r="W8" s="6">
        <f t="shared" si="1"/>
        <v>-6.4106203334391154E-3</v>
      </c>
    </row>
    <row r="9" spans="1:25" x14ac:dyDescent="0.2">
      <c r="A9">
        <f t="shared" si="5"/>
        <v>8</v>
      </c>
      <c r="B9" s="2">
        <f t="shared" si="6"/>
        <v>44249</v>
      </c>
      <c r="C9">
        <f>'311 cov wlz'!D9-'311 cov wlz'!E9+'312 cov nwlz'!D9-'312 cov nwlz'!E9+'321 ncov wlz'!D9-'321 ncov wlz'!E9+'322 ncov nwlz'!D9-'322 ncov nwlz'!E9</f>
        <v>685</v>
      </c>
      <c r="D9" s="1">
        <v>307720</v>
      </c>
      <c r="E9" s="1">
        <f>Oversterfte!C271</f>
        <v>3207</v>
      </c>
      <c r="F9">
        <f>'311 cov wlz'!D9+'312 cov nwlz'!D9+'321 ncov wlz'!D9+'322 ncov nwlz'!D9</f>
        <v>735</v>
      </c>
      <c r="H9" s="6">
        <v>0.25746873431680917</v>
      </c>
      <c r="I9" s="6">
        <f t="shared" si="2"/>
        <v>0.23200040289159685</v>
      </c>
      <c r="J9" s="1">
        <f t="shared" si="7"/>
        <v>655.07547972902159</v>
      </c>
      <c r="K9" s="1">
        <f t="shared" si="3"/>
        <v>29.924520270978405</v>
      </c>
      <c r="M9">
        <v>1819</v>
      </c>
      <c r="N9" s="1">
        <v>31150.429999999997</v>
      </c>
      <c r="O9" s="1">
        <f t="shared" si="0"/>
        <v>692.63668234244824</v>
      </c>
      <c r="P9">
        <v>985</v>
      </c>
      <c r="Q9" s="1">
        <v>16150.959999999997</v>
      </c>
      <c r="R9" s="1">
        <f>(Q10+Q11+Q12+Q13)*P9/2685816</f>
        <v>8.4053394945893558</v>
      </c>
      <c r="S9">
        <v>403</v>
      </c>
      <c r="T9" s="1">
        <v>70793.540000000008</v>
      </c>
      <c r="U9" s="1">
        <f t="shared" si="4"/>
        <v>3.3402144307275656</v>
      </c>
      <c r="W9" s="6">
        <f t="shared" si="1"/>
        <v>2.5468331425212321E-2</v>
      </c>
    </row>
    <row r="10" spans="1:25" x14ac:dyDescent="0.2">
      <c r="A10">
        <f t="shared" si="5"/>
        <v>9</v>
      </c>
      <c r="B10" s="2">
        <f t="shared" si="6"/>
        <v>44256</v>
      </c>
      <c r="C10">
        <f>'311 cov wlz'!D10-'311 cov wlz'!E10+'312 cov nwlz'!D10-'312 cov nwlz'!E10+'321 ncov wlz'!D10-'321 ncov wlz'!E10+'322 ncov nwlz'!D10-'322 ncov nwlz'!E10</f>
        <v>554</v>
      </c>
      <c r="D10" s="1">
        <v>252543</v>
      </c>
      <c r="E10" s="1">
        <f>Oversterfte!C272</f>
        <v>3105</v>
      </c>
      <c r="F10">
        <f>'311 cov wlz'!D10+'312 cov nwlz'!D10+'321 ncov wlz'!D10+'322 ncov nwlz'!D10</f>
        <v>777</v>
      </c>
      <c r="H10" s="6">
        <v>0.32611621122860501</v>
      </c>
      <c r="I10" s="6">
        <f t="shared" si="2"/>
        <v>0.2534496692412237</v>
      </c>
      <c r="J10" s="1">
        <f t="shared" si="7"/>
        <v>720.93738833468637</v>
      </c>
      <c r="K10" s="1">
        <f t="shared" si="3"/>
        <v>-166.93738833468637</v>
      </c>
      <c r="M10">
        <v>1720</v>
      </c>
      <c r="N10" s="1">
        <v>40371.459999999992</v>
      </c>
      <c r="O10" s="1">
        <f t="shared" si="0"/>
        <v>766.11445768910221</v>
      </c>
      <c r="P10">
        <v>969</v>
      </c>
      <c r="Q10" s="1">
        <v>6440.6000000000022</v>
      </c>
      <c r="R10" s="1">
        <f t="shared" si="8"/>
        <v>5.9451392872780566</v>
      </c>
      <c r="S10">
        <v>416</v>
      </c>
      <c r="T10" s="1">
        <v>34572.800000000047</v>
      </c>
      <c r="U10" s="1">
        <f>(T9+T10)*S10/13950939</f>
        <v>3.1418958566158177</v>
      </c>
      <c r="W10" s="6">
        <f t="shared" si="1"/>
        <v>7.2666541987381317E-2</v>
      </c>
    </row>
    <row r="11" spans="1:25" x14ac:dyDescent="0.2">
      <c r="A11">
        <f t="shared" si="5"/>
        <v>10</v>
      </c>
      <c r="B11" s="2">
        <f t="shared" si="6"/>
        <v>44263</v>
      </c>
      <c r="C11">
        <f>'311 cov wlz'!D11-'311 cov wlz'!E11+'312 cov nwlz'!D11-'312 cov nwlz'!E11+'321 ncov wlz'!D11-'321 ncov wlz'!E11+'322 ncov nwlz'!D11-'322 ncov nwlz'!E11</f>
        <v>537</v>
      </c>
      <c r="D11" s="1">
        <v>243920</v>
      </c>
      <c r="E11" s="1">
        <f>Oversterfte!C273</f>
        <v>3245</v>
      </c>
      <c r="F11">
        <f>'311 cov wlz'!D11+'312 cov nwlz'!D11+'321 ncov wlz'!D11+'322 ncov nwlz'!D11</f>
        <v>922</v>
      </c>
      <c r="H11" s="6">
        <v>0.39384318144131625</v>
      </c>
      <c r="I11" s="6">
        <f t="shared" si="2"/>
        <v>0.27684002090684884</v>
      </c>
      <c r="J11" s="1">
        <f t="shared" si="7"/>
        <v>824.40700689221671</v>
      </c>
      <c r="K11" s="1">
        <f t="shared" si="3"/>
        <v>-287.40700689221671</v>
      </c>
      <c r="L11" s="1"/>
      <c r="M11">
        <v>1839</v>
      </c>
      <c r="N11" s="1">
        <v>78503.450000000041</v>
      </c>
      <c r="O11" s="1">
        <f t="shared" si="0"/>
        <v>871.02692893791402</v>
      </c>
      <c r="P11">
        <v>990</v>
      </c>
      <c r="Q11" s="1">
        <v>0</v>
      </c>
      <c r="R11" s="1">
        <f t="shared" si="8"/>
        <v>14.401299493338337</v>
      </c>
      <c r="S11">
        <v>416</v>
      </c>
      <c r="T11" s="1">
        <v>0</v>
      </c>
      <c r="U11" s="1">
        <f t="shared" si="4"/>
        <v>1.0309187646795688</v>
      </c>
      <c r="W11" s="6">
        <f t="shared" si="1"/>
        <v>0.11700316053446741</v>
      </c>
    </row>
    <row r="12" spans="1:25" x14ac:dyDescent="0.2">
      <c r="A12">
        <f t="shared" si="5"/>
        <v>11</v>
      </c>
      <c r="B12" s="2">
        <f t="shared" si="6"/>
        <v>44270</v>
      </c>
      <c r="C12">
        <f>'311 cov wlz'!D12-'311 cov wlz'!E12+'312 cov nwlz'!D12-'312 cov nwlz'!E12+'321 ncov wlz'!D12-'321 ncov wlz'!E12+'322 ncov nwlz'!D12-'322 ncov nwlz'!E12</f>
        <v>461</v>
      </c>
      <c r="D12" s="1">
        <v>198119</v>
      </c>
      <c r="E12" s="1">
        <f>Oversterfte!C274</f>
        <v>3043</v>
      </c>
      <c r="F12">
        <f>'311 cov wlz'!D12+'312 cov nwlz'!D12+'321 ncov wlz'!D12+'322 ncov nwlz'!D12</f>
        <v>879</v>
      </c>
      <c r="H12" s="6">
        <v>0.43971429419369773</v>
      </c>
      <c r="I12" s="6">
        <f t="shared" si="2"/>
        <v>0.29315602036363159</v>
      </c>
      <c r="J12" s="1">
        <f t="shared" si="7"/>
        <v>644.4835689282279</v>
      </c>
      <c r="K12" s="1">
        <f t="shared" si="3"/>
        <v>-183.4835689282279</v>
      </c>
      <c r="M12">
        <v>1643</v>
      </c>
      <c r="N12" s="1">
        <v>115399.02999999997</v>
      </c>
      <c r="O12" s="1">
        <f t="shared" si="0"/>
        <v>669.21637980065839</v>
      </c>
      <c r="P12">
        <v>985</v>
      </c>
      <c r="Q12" s="1">
        <v>0</v>
      </c>
      <c r="R12" s="1">
        <f t="shared" si="8"/>
        <v>23.776705068403793</v>
      </c>
      <c r="S12">
        <v>415</v>
      </c>
      <c r="T12" s="1">
        <v>0</v>
      </c>
      <c r="U12" s="1">
        <f t="shared" si="4"/>
        <v>0</v>
      </c>
      <c r="W12" s="6">
        <f t="shared" si="1"/>
        <v>0.14655827383006614</v>
      </c>
    </row>
    <row r="13" spans="1:25" x14ac:dyDescent="0.2">
      <c r="A13">
        <f t="shared" si="5"/>
        <v>12</v>
      </c>
      <c r="B13" s="2">
        <f t="shared" si="6"/>
        <v>44277</v>
      </c>
      <c r="C13">
        <f>'311 cov wlz'!D13-'311 cov wlz'!E13+'312 cov nwlz'!D13-'312 cov nwlz'!E13+'321 ncov wlz'!D13-'321 ncov wlz'!E13+'322 ncov nwlz'!D13-'322 ncov nwlz'!E13</f>
        <v>420</v>
      </c>
      <c r="D13" s="1">
        <v>263963</v>
      </c>
      <c r="E13" s="1">
        <f>Oversterfte!C275</f>
        <v>3044</v>
      </c>
      <c r="F13">
        <f>'311 cov wlz'!D13+'312 cov nwlz'!D13+'321 ncov wlz'!D13+'322 ncov nwlz'!D13</f>
        <v>946</v>
      </c>
      <c r="H13" s="6">
        <v>0.47679687656060044</v>
      </c>
      <c r="I13" s="6">
        <f t="shared" si="2"/>
        <v>0.30823504057276691</v>
      </c>
      <c r="J13" s="1">
        <f t="shared" si="7"/>
        <v>579.83792983569788</v>
      </c>
      <c r="K13" s="1">
        <f t="shared" si="3"/>
        <v>-159.83792983569788</v>
      </c>
      <c r="M13">
        <v>1648</v>
      </c>
      <c r="N13" s="1">
        <v>85070.409999999974</v>
      </c>
      <c r="O13" s="1">
        <f t="shared" si="0"/>
        <v>578.58507902477891</v>
      </c>
      <c r="P13">
        <v>1008</v>
      </c>
      <c r="Q13" s="1">
        <v>16478.38</v>
      </c>
      <c r="R13" s="1">
        <f t="shared" si="8"/>
        <v>44.89656595984237</v>
      </c>
      <c r="S13">
        <v>388</v>
      </c>
      <c r="T13" s="1">
        <v>0</v>
      </c>
      <c r="U13" s="1">
        <f t="shared" si="4"/>
        <v>0</v>
      </c>
      <c r="W13" s="6">
        <f t="shared" si="1"/>
        <v>0.16856183598783353</v>
      </c>
    </row>
    <row r="14" spans="1:25" x14ac:dyDescent="0.2">
      <c r="A14">
        <f t="shared" si="5"/>
        <v>13</v>
      </c>
      <c r="B14" s="2">
        <f t="shared" si="6"/>
        <v>44284</v>
      </c>
      <c r="C14">
        <f>'311 cov wlz'!D14-'311 cov wlz'!E14+'312 cov nwlz'!D14-'312 cov nwlz'!E14+'321 ncov wlz'!D14-'321 ncov wlz'!E14+'322 ncov nwlz'!D14-'322 ncov nwlz'!E14</f>
        <v>432</v>
      </c>
      <c r="D14" s="1">
        <v>420287</v>
      </c>
      <c r="E14" s="1">
        <f>Oversterfte!C276</f>
        <v>3178</v>
      </c>
      <c r="F14">
        <f>'311 cov wlz'!D14+'312 cov nwlz'!D14+'321 ncov wlz'!D14+'322 ncov nwlz'!D14</f>
        <v>1025</v>
      </c>
      <c r="H14" s="6">
        <v>0.49304657302742028</v>
      </c>
      <c r="I14" s="6">
        <f t="shared" si="2"/>
        <v>0.32664061735545868</v>
      </c>
      <c r="J14" s="1">
        <f t="shared" si="7"/>
        <v>482.49036718487451</v>
      </c>
      <c r="K14" s="1">
        <f t="shared" si="3"/>
        <v>-50.490367184874515</v>
      </c>
      <c r="M14">
        <v>1723</v>
      </c>
      <c r="N14" s="1">
        <v>94579.620000000054</v>
      </c>
      <c r="O14" s="1">
        <f t="shared" si="0"/>
        <v>446.28991459004317</v>
      </c>
      <c r="P14">
        <v>1041</v>
      </c>
      <c r="Q14" s="1">
        <v>0</v>
      </c>
      <c r="R14" s="1">
        <f t="shared" si="8"/>
        <v>71.494871145305567</v>
      </c>
      <c r="S14">
        <v>414</v>
      </c>
      <c r="T14" s="1">
        <v>34441.319999999949</v>
      </c>
      <c r="U14" s="1">
        <f t="shared" si="4"/>
        <v>1.022060700000192</v>
      </c>
      <c r="W14" s="6">
        <f t="shared" si="1"/>
        <v>0.16640595567196159</v>
      </c>
    </row>
    <row r="15" spans="1:25" x14ac:dyDescent="0.2">
      <c r="A15">
        <f t="shared" si="5"/>
        <v>14</v>
      </c>
      <c r="B15" s="2">
        <f t="shared" si="6"/>
        <v>44291</v>
      </c>
      <c r="C15">
        <f>'311 cov wlz'!D15-'311 cov wlz'!E15+'312 cov nwlz'!D15-'312 cov nwlz'!E15+'321 ncov wlz'!D15-'321 ncov wlz'!E15+'322 ncov nwlz'!D15-'322 ncov nwlz'!E15</f>
        <v>399</v>
      </c>
      <c r="D15" s="1">
        <v>477355</v>
      </c>
      <c r="E15" s="1">
        <f>Oversterfte!C277</f>
        <v>3162</v>
      </c>
      <c r="F15">
        <f>'311 cov wlz'!D15+'312 cov nwlz'!D15+'321 ncov wlz'!D15+'322 ncov nwlz'!D15</f>
        <v>1109</v>
      </c>
      <c r="H15" s="6">
        <v>0.53012084299763929</v>
      </c>
      <c r="I15" s="6">
        <f t="shared" si="2"/>
        <v>0.35011475175326284</v>
      </c>
      <c r="J15" s="1">
        <f t="shared" si="7"/>
        <v>354.46843856710564</v>
      </c>
      <c r="K15" s="1">
        <f t="shared" si="3"/>
        <v>44.531561432894364</v>
      </c>
      <c r="M15">
        <v>1668</v>
      </c>
      <c r="N15" s="1">
        <v>102175.68999999994</v>
      </c>
      <c r="O15" s="1">
        <f t="shared" si="0"/>
        <v>245.50820119213844</v>
      </c>
      <c r="P15">
        <v>1047</v>
      </c>
      <c r="Q15" s="1">
        <v>22591.559999999998</v>
      </c>
      <c r="R15" s="1">
        <f t="shared" si="8"/>
        <v>133.80960758294685</v>
      </c>
      <c r="S15">
        <v>447</v>
      </c>
      <c r="T15" s="1">
        <v>22706.02999999997</v>
      </c>
      <c r="U15" s="1">
        <f t="shared" si="4"/>
        <v>1.8310498992218347</v>
      </c>
      <c r="W15" s="6">
        <f t="shared" si="1"/>
        <v>0.18000609124437644</v>
      </c>
    </row>
    <row r="16" spans="1:25" x14ac:dyDescent="0.2">
      <c r="A16">
        <f t="shared" si="5"/>
        <v>15</v>
      </c>
      <c r="B16" s="2">
        <f t="shared" si="6"/>
        <v>44298</v>
      </c>
      <c r="C16">
        <f>'311 cov wlz'!D16-'311 cov wlz'!E16+'312 cov nwlz'!D16-'312 cov nwlz'!E16+'321 ncov wlz'!D16-'321 ncov wlz'!E16+'322 ncov nwlz'!D16-'322 ncov nwlz'!E16</f>
        <v>426</v>
      </c>
      <c r="D16" s="1">
        <v>712644</v>
      </c>
      <c r="E16" s="1">
        <f>Oversterfte!C278</f>
        <v>3137</v>
      </c>
      <c r="F16">
        <f>'311 cov wlz'!D16+'312 cov nwlz'!D16+'321 ncov wlz'!D16+'322 ncov nwlz'!D16</f>
        <v>1181</v>
      </c>
      <c r="H16" s="6">
        <v>0.56272519514501285</v>
      </c>
      <c r="I16" s="6">
        <f t="shared" si="2"/>
        <v>0.3830277948282787</v>
      </c>
      <c r="J16" s="1">
        <f t="shared" si="7"/>
        <v>332.89233511149882</v>
      </c>
      <c r="K16" s="1">
        <f t="shared" si="3"/>
        <v>93.107664888501176</v>
      </c>
      <c r="M16">
        <v>1620</v>
      </c>
      <c r="N16" s="1">
        <v>59772.380000000005</v>
      </c>
      <c r="O16" s="1">
        <f t="shared" si="0"/>
        <v>147.85935199085202</v>
      </c>
      <c r="P16">
        <v>1077</v>
      </c>
      <c r="Q16" s="1">
        <v>25762.399999999994</v>
      </c>
      <c r="R16" s="1">
        <f t="shared" si="8"/>
        <v>209.0160641905477</v>
      </c>
      <c r="S16">
        <v>440</v>
      </c>
      <c r="T16" s="1">
        <v>11325.739999999991</v>
      </c>
      <c r="U16" s="1">
        <f t="shared" si="4"/>
        <v>1.0733312503194217</v>
      </c>
      <c r="W16" s="6">
        <f t="shared" si="1"/>
        <v>0.17969740031673415</v>
      </c>
    </row>
    <row r="17" spans="1:25" x14ac:dyDescent="0.2">
      <c r="A17">
        <f t="shared" ref="A17:A53" si="9">A16+1</f>
        <v>16</v>
      </c>
      <c r="B17" s="2">
        <f t="shared" ref="B17:B54" si="10">B16+7</f>
        <v>44305</v>
      </c>
      <c r="C17">
        <f>'311 cov wlz'!D17-'311 cov wlz'!E17+'312 cov nwlz'!D17-'312 cov nwlz'!E17+'321 ncov wlz'!D17-'321 ncov wlz'!E17+'322 ncov nwlz'!D17-'322 ncov nwlz'!E17</f>
        <v>486</v>
      </c>
      <c r="D17" s="1">
        <v>670558</v>
      </c>
      <c r="E17" s="1">
        <f>Oversterfte!C279</f>
        <v>3144</v>
      </c>
      <c r="F17">
        <f>'311 cov wlz'!D17+'312 cov nwlz'!D17+'321 ncov wlz'!D17+'322 ncov nwlz'!D17</f>
        <v>1347</v>
      </c>
      <c r="H17" s="6">
        <v>0.62447882388128828</v>
      </c>
      <c r="I17" s="6">
        <f t="shared" si="2"/>
        <v>0.42465058312930515</v>
      </c>
      <c r="J17" s="1">
        <f t="shared" si="7"/>
        <v>362.69626034000157</v>
      </c>
      <c r="K17" s="1">
        <f t="shared" si="3"/>
        <v>123.30373965999843</v>
      </c>
      <c r="M17">
        <v>1671</v>
      </c>
      <c r="N17" s="1">
        <v>37912.080000000075</v>
      </c>
      <c r="O17" s="1">
        <f t="shared" si="0"/>
        <v>85.924416719031655</v>
      </c>
      <c r="P17">
        <v>1019</v>
      </c>
      <c r="Q17" s="1">
        <v>71272.94</v>
      </c>
      <c r="R17" s="1">
        <f t="shared" si="8"/>
        <v>303.33276836536828</v>
      </c>
      <c r="S17">
        <v>454</v>
      </c>
      <c r="T17" s="1">
        <v>11376.610000000044</v>
      </c>
      <c r="U17" s="1">
        <f t="shared" si="4"/>
        <v>0.73879377581681172</v>
      </c>
      <c r="W17" s="6">
        <f t="shared" si="1"/>
        <v>0.19982824075198313</v>
      </c>
    </row>
    <row r="18" spans="1:25" x14ac:dyDescent="0.2">
      <c r="A18">
        <f t="shared" si="9"/>
        <v>17</v>
      </c>
      <c r="B18" s="2">
        <f t="shared" si="10"/>
        <v>44312</v>
      </c>
      <c r="C18">
        <f>'311 cov wlz'!D18-'311 cov wlz'!E18+'312 cov nwlz'!D18-'312 cov nwlz'!E18+'321 ncov wlz'!D18-'321 ncov wlz'!E18+'322 ncov nwlz'!D18-'322 ncov nwlz'!E18</f>
        <v>536</v>
      </c>
      <c r="D18" s="1">
        <v>658109</v>
      </c>
      <c r="E18" s="1">
        <f>Oversterfte!C280</f>
        <v>3123</v>
      </c>
      <c r="F18">
        <f>'311 cov wlz'!D18+'312 cov nwlz'!D18+'321 ncov wlz'!D18+'322 ncov nwlz'!D18</f>
        <v>1453</v>
      </c>
      <c r="H18" s="6">
        <v>0.68137080169680131</v>
      </c>
      <c r="I18" s="6">
        <f t="shared" si="2"/>
        <v>0.46707099444407779</v>
      </c>
      <c r="J18" s="1">
        <f t="shared" si="7"/>
        <v>473.90734980108726</v>
      </c>
      <c r="K18" s="1">
        <f t="shared" si="3"/>
        <v>62.092650198912736</v>
      </c>
      <c r="M18">
        <v>1642</v>
      </c>
      <c r="N18" s="1">
        <v>17369.070000000065</v>
      </c>
      <c r="O18" s="1">
        <f t="shared" si="0"/>
        <v>66.84660450408434</v>
      </c>
      <c r="P18">
        <v>1046</v>
      </c>
      <c r="Q18" s="1">
        <v>64832.34</v>
      </c>
      <c r="R18" s="1">
        <f t="shared" si="8"/>
        <v>440.93052974589477</v>
      </c>
      <c r="S18">
        <v>435</v>
      </c>
      <c r="T18" s="1">
        <v>46372.619999999995</v>
      </c>
      <c r="U18" s="1">
        <f t="shared" si="4"/>
        <v>1.800661235060953</v>
      </c>
      <c r="W18" s="6">
        <f t="shared" si="1"/>
        <v>0.21429980725272352</v>
      </c>
    </row>
    <row r="19" spans="1:25" x14ac:dyDescent="0.2">
      <c r="A19">
        <f t="shared" si="9"/>
        <v>18</v>
      </c>
      <c r="B19" s="2">
        <f t="shared" si="10"/>
        <v>44319</v>
      </c>
      <c r="C19">
        <f>'311 cov wlz'!D19-'311 cov wlz'!E19+'312 cov nwlz'!D19-'312 cov nwlz'!E19+'321 ncov wlz'!D19-'321 ncov wlz'!E19+'322 ncov nwlz'!D19-'322 ncov nwlz'!E19</f>
        <v>585</v>
      </c>
      <c r="D19" s="1">
        <v>744039</v>
      </c>
      <c r="E19" s="1">
        <f>Oversterfte!C281</f>
        <v>3000</v>
      </c>
      <c r="F19">
        <f>'311 cov wlz'!D19+'312 cov nwlz'!D19+'321 ncov wlz'!D19+'322 ncov nwlz'!D19</f>
        <v>1528</v>
      </c>
      <c r="H19" s="6">
        <v>0.72359210896062887</v>
      </c>
      <c r="I19" s="6">
        <f t="shared" si="2"/>
        <v>0.50655324721254436</v>
      </c>
      <c r="J19" s="1">
        <f t="shared" si="7"/>
        <v>548.176992005442</v>
      </c>
      <c r="K19" s="1">
        <f t="shared" si="3"/>
        <v>36.823007994557997</v>
      </c>
      <c r="M19">
        <v>1567</v>
      </c>
      <c r="N19" s="1">
        <v>8386.6099999998696</v>
      </c>
      <c r="O19" s="1">
        <f t="shared" si="0"/>
        <v>63.793318671072171</v>
      </c>
      <c r="P19">
        <v>1023</v>
      </c>
      <c r="Q19" s="1">
        <v>181387.32000000004</v>
      </c>
      <c r="R19" s="1">
        <f t="shared" si="8"/>
        <v>521.56287316033558</v>
      </c>
      <c r="S19">
        <v>410</v>
      </c>
      <c r="T19" s="1">
        <v>92505.02999999997</v>
      </c>
      <c r="U19" s="1">
        <f t="shared" si="4"/>
        <v>4.0814339808954783</v>
      </c>
      <c r="W19" s="6">
        <f t="shared" si="1"/>
        <v>0.21703886174808451</v>
      </c>
    </row>
    <row r="20" spans="1:25" x14ac:dyDescent="0.2">
      <c r="A20">
        <f t="shared" si="9"/>
        <v>19</v>
      </c>
      <c r="B20" s="2">
        <f t="shared" si="10"/>
        <v>44326</v>
      </c>
      <c r="C20">
        <f>'311 cov wlz'!D20-'311 cov wlz'!E20+'312 cov nwlz'!D20-'312 cov nwlz'!E20+'321 ncov wlz'!D20-'321 ncov wlz'!E20+'322 ncov nwlz'!D20-'322 ncov nwlz'!E20</f>
        <v>591</v>
      </c>
      <c r="D20" s="1">
        <v>902314</v>
      </c>
      <c r="E20" s="1">
        <f>Oversterfte!C282</f>
        <v>3015</v>
      </c>
      <c r="F20">
        <f>'311 cov wlz'!D20+'312 cov nwlz'!D20+'321 ncov wlz'!D20+'322 ncov nwlz'!D20</f>
        <v>1635</v>
      </c>
      <c r="H20" s="6">
        <v>0.75706005069821003</v>
      </c>
      <c r="I20" s="6">
        <f t="shared" si="2"/>
        <v>0.54506395732182455</v>
      </c>
      <c r="J20" s="1">
        <f t="shared" si="7"/>
        <v>522.41948193099734</v>
      </c>
      <c r="K20" s="1">
        <f t="shared" si="3"/>
        <v>68.580518069002665</v>
      </c>
      <c r="M20">
        <v>1585</v>
      </c>
      <c r="N20" s="1">
        <v>12877.839999999967</v>
      </c>
      <c r="O20" s="1">
        <f t="shared" si="0"/>
        <v>45.060430734229989</v>
      </c>
      <c r="P20">
        <v>935</v>
      </c>
      <c r="Q20" s="1">
        <v>203750.38</v>
      </c>
      <c r="R20" s="1">
        <f t="shared" si="8"/>
        <v>508.89052336422145</v>
      </c>
      <c r="S20">
        <v>495</v>
      </c>
      <c r="T20" s="1">
        <v>127058.07</v>
      </c>
      <c r="U20" s="1">
        <f t="shared" si="4"/>
        <v>7.7904243219757454</v>
      </c>
      <c r="W20" s="6">
        <f t="shared" si="1"/>
        <v>0.21199609337638547</v>
      </c>
    </row>
    <row r="21" spans="1:25" x14ac:dyDescent="0.2">
      <c r="A21">
        <f t="shared" si="9"/>
        <v>20</v>
      </c>
      <c r="B21" s="2">
        <f t="shared" si="10"/>
        <v>44333</v>
      </c>
      <c r="C21">
        <f>'311 cov wlz'!D21-'311 cov wlz'!E21+'312 cov nwlz'!D21-'312 cov nwlz'!E21+'321 ncov wlz'!D21-'321 ncov wlz'!E21+'322 ncov nwlz'!D21-'322 ncov nwlz'!E21</f>
        <v>668</v>
      </c>
      <c r="D21" s="1">
        <v>1054731</v>
      </c>
      <c r="E21" s="1">
        <f>Oversterfte!C283</f>
        <v>2988</v>
      </c>
      <c r="F21">
        <f>'311 cov wlz'!D21+'312 cov nwlz'!D21+'321 ncov wlz'!D21+'322 ncov nwlz'!D21</f>
        <v>1752</v>
      </c>
      <c r="H21" s="6">
        <v>0.78420177958306814</v>
      </c>
      <c r="I21" s="6">
        <f t="shared" si="2"/>
        <v>0.58439344018770367</v>
      </c>
      <c r="J21" s="1">
        <f t="shared" si="7"/>
        <v>500.85914272890255</v>
      </c>
      <c r="K21" s="1">
        <f t="shared" si="3"/>
        <v>167.14085727109745</v>
      </c>
      <c r="M21">
        <v>1547</v>
      </c>
      <c r="N21" s="1">
        <v>4491.2299999999814</v>
      </c>
      <c r="O21" s="1">
        <f t="shared" si="0"/>
        <v>46.410000000000139</v>
      </c>
      <c r="P21">
        <v>1026</v>
      </c>
      <c r="Q21" s="1">
        <v>349535.36</v>
      </c>
      <c r="R21" s="1">
        <f t="shared" si="8"/>
        <v>484.6217226496529</v>
      </c>
      <c r="S21">
        <v>415</v>
      </c>
      <c r="T21" s="1">
        <v>125958.02000000002</v>
      </c>
      <c r="U21" s="1">
        <f t="shared" si="4"/>
        <v>7.5264953384141391</v>
      </c>
      <c r="W21" s="6">
        <f t="shared" si="1"/>
        <v>0.19980833939536446</v>
      </c>
      <c r="X21" s="1"/>
    </row>
    <row r="22" spans="1:25" x14ac:dyDescent="0.2">
      <c r="A22">
        <f t="shared" si="9"/>
        <v>21</v>
      </c>
      <c r="B22" s="2">
        <f t="shared" si="10"/>
        <v>44340</v>
      </c>
      <c r="C22">
        <f>'311 cov wlz'!D22-'311 cov wlz'!E22+'312 cov nwlz'!D22-'312 cov nwlz'!E22+'321 ncov wlz'!D22-'321 ncov wlz'!E22+'322 ncov nwlz'!D22-'322 ncov nwlz'!E22</f>
        <v>540</v>
      </c>
      <c r="D22" s="1">
        <v>994615</v>
      </c>
      <c r="E22" s="1">
        <f>Oversterfte!C284</f>
        <v>2806</v>
      </c>
      <c r="F22">
        <f>'311 cov wlz'!D22+'312 cov nwlz'!D22+'321 ncov wlz'!D22+'322 ncov nwlz'!D22</f>
        <v>1747</v>
      </c>
      <c r="H22" s="6">
        <v>0.80343470652027082</v>
      </c>
      <c r="I22" s="6">
        <f t="shared" si="2"/>
        <v>0.61923285110076653</v>
      </c>
      <c r="J22" s="1">
        <f t="shared" si="7"/>
        <v>328.58739279863369</v>
      </c>
      <c r="K22" s="1">
        <f t="shared" si="3"/>
        <v>211.41260720136631</v>
      </c>
      <c r="M22">
        <v>1542</v>
      </c>
      <c r="N22" s="1">
        <v>8386.6100000001024</v>
      </c>
      <c r="O22" s="1">
        <f t="shared" si="0"/>
        <v>46.25999999999992</v>
      </c>
      <c r="P22">
        <v>867</v>
      </c>
      <c r="Q22" s="1">
        <v>397505.02</v>
      </c>
      <c r="R22" s="1">
        <f t="shared" si="8"/>
        <v>297.29778424880931</v>
      </c>
      <c r="S22">
        <v>397</v>
      </c>
      <c r="T22" s="1">
        <v>217087.23999999987</v>
      </c>
      <c r="U22" s="1">
        <f t="shared" si="4"/>
        <v>9.7619929540226629</v>
      </c>
      <c r="W22" s="6">
        <f t="shared" si="1"/>
        <v>0.18420185541950429</v>
      </c>
    </row>
    <row r="23" spans="1:25" x14ac:dyDescent="0.2">
      <c r="A23">
        <f t="shared" si="9"/>
        <v>22</v>
      </c>
      <c r="B23" s="2">
        <f t="shared" si="10"/>
        <v>44347</v>
      </c>
      <c r="C23">
        <f>'311 cov wlz'!D23-'311 cov wlz'!E23+'312 cov nwlz'!D23-'312 cov nwlz'!E23+'321 ncov wlz'!D23-'321 ncov wlz'!E23+'322 ncov nwlz'!D23-'322 ncov nwlz'!E23</f>
        <v>546</v>
      </c>
      <c r="D23" s="1">
        <v>1093675</v>
      </c>
      <c r="E23" s="1">
        <f>Oversterfte!C285</f>
        <v>3009</v>
      </c>
      <c r="F23">
        <f>'311 cov wlz'!D23+'312 cov nwlz'!D23+'321 ncov wlz'!D23+'322 ncov nwlz'!D23</f>
        <v>1942</v>
      </c>
      <c r="H23" s="6">
        <v>0.82584352589583765</v>
      </c>
      <c r="I23" s="6">
        <f t="shared" si="2"/>
        <v>0.64960975478291738</v>
      </c>
      <c r="J23" s="1">
        <f t="shared" si="7"/>
        <v>227.78099725829219</v>
      </c>
      <c r="K23" s="1">
        <f t="shared" si="3"/>
        <v>318.21900274170781</v>
      </c>
      <c r="M23">
        <v>1625</v>
      </c>
      <c r="N23" s="1">
        <v>8386.609999999986</v>
      </c>
      <c r="O23" s="1">
        <f t="shared" si="0"/>
        <v>40.04773680903223</v>
      </c>
      <c r="P23">
        <v>946</v>
      </c>
      <c r="Q23" s="1">
        <v>418536.61999999988</v>
      </c>
      <c r="R23" s="1">
        <f t="shared" si="8"/>
        <v>189.84499359598729</v>
      </c>
      <c r="S23">
        <v>438</v>
      </c>
      <c r="T23" s="1">
        <v>261738.07000000007</v>
      </c>
      <c r="U23" s="1">
        <f t="shared" si="4"/>
        <v>15.033073098520463</v>
      </c>
      <c r="W23" s="6">
        <f t="shared" si="1"/>
        <v>0.17623377111292027</v>
      </c>
      <c r="X23" s="1"/>
    </row>
    <row r="24" spans="1:25" x14ac:dyDescent="0.2">
      <c r="A24">
        <f t="shared" si="9"/>
        <v>23</v>
      </c>
      <c r="B24" s="2">
        <f t="shared" si="10"/>
        <v>44354</v>
      </c>
      <c r="C24">
        <f>'311 cov wlz'!D24-'311 cov wlz'!E24+'312 cov nwlz'!D24-'312 cov nwlz'!E24+'321 ncov wlz'!D24-'321 ncov wlz'!E24+'322 ncov nwlz'!D24-'322 ncov nwlz'!E24</f>
        <v>537</v>
      </c>
      <c r="D24" s="1">
        <v>1522926</v>
      </c>
      <c r="E24" s="1">
        <f>Oversterfte!C286</f>
        <v>2883</v>
      </c>
      <c r="F24">
        <f>'311 cov wlz'!D24+'312 cov nwlz'!D24+'321 ncov wlz'!D24+'322 ncov nwlz'!D24</f>
        <v>1975</v>
      </c>
      <c r="H24" s="6">
        <v>0.8383514818934964</v>
      </c>
      <c r="I24" s="6">
        <f t="shared" si="2"/>
        <v>0.68006822864043615</v>
      </c>
      <c r="J24" s="1">
        <f t="shared" si="7"/>
        <v>331.58782909294263</v>
      </c>
      <c r="K24" s="1">
        <f t="shared" si="3"/>
        <v>205.41217090705737</v>
      </c>
      <c r="M24">
        <v>1552</v>
      </c>
      <c r="N24" s="1">
        <v>2578.0899999999674</v>
      </c>
      <c r="O24" s="1">
        <f t="shared" si="0"/>
        <v>178.77714710273901</v>
      </c>
      <c r="P24">
        <v>927</v>
      </c>
      <c r="Q24" s="1">
        <v>296226.5399999998</v>
      </c>
      <c r="R24" s="1">
        <f t="shared" si="8"/>
        <v>160.93397224325676</v>
      </c>
      <c r="S24">
        <v>404</v>
      </c>
      <c r="T24" s="1">
        <v>319606.31000000029</v>
      </c>
      <c r="U24" s="1">
        <f t="shared" si="4"/>
        <v>16.834933442114551</v>
      </c>
      <c r="W24" s="6">
        <f t="shared" si="1"/>
        <v>0.15828325325306025</v>
      </c>
    </row>
    <row r="25" spans="1:25" x14ac:dyDescent="0.2">
      <c r="A25">
        <f t="shared" si="9"/>
        <v>24</v>
      </c>
      <c r="B25" s="2">
        <f t="shared" si="10"/>
        <v>44361</v>
      </c>
      <c r="C25">
        <f>'311 cov wlz'!D25-'311 cov wlz'!E25+'312 cov nwlz'!D25-'312 cov nwlz'!E25+'321 ncov wlz'!D25-'321 ncov wlz'!E25+'322 ncov nwlz'!D25-'322 ncov nwlz'!E25</f>
        <v>468</v>
      </c>
      <c r="D25" s="1">
        <v>1354692</v>
      </c>
      <c r="E25" s="1">
        <f>Oversterfte!C287</f>
        <v>2869</v>
      </c>
      <c r="F25">
        <f>'311 cov wlz'!D25+'312 cov nwlz'!D25+'321 ncov wlz'!D25+'322 ncov nwlz'!D25</f>
        <v>2022</v>
      </c>
      <c r="H25" s="6">
        <v>0.85634513945867008</v>
      </c>
      <c r="I25" s="6">
        <f t="shared" si="2"/>
        <v>0.69705083860391104</v>
      </c>
      <c r="J25" s="1">
        <f t="shared" si="7"/>
        <v>455.94807100350232</v>
      </c>
      <c r="K25" s="1">
        <f t="shared" si="3"/>
        <v>12.051928996497679</v>
      </c>
      <c r="M25">
        <v>1562</v>
      </c>
      <c r="N25" s="1">
        <v>5808.5200000000186</v>
      </c>
      <c r="O25" s="1">
        <f t="shared" si="0"/>
        <v>297.10195228808732</v>
      </c>
      <c r="P25">
        <v>897</v>
      </c>
      <c r="Q25" s="1">
        <v>156352.46000000043</v>
      </c>
      <c r="R25" s="1">
        <f t="shared" si="8"/>
        <v>168.84163171899817</v>
      </c>
      <c r="S25">
        <v>410</v>
      </c>
      <c r="T25" s="1">
        <v>508030.04999999981</v>
      </c>
      <c r="U25" s="1">
        <f t="shared" si="4"/>
        <v>24.323159007433123</v>
      </c>
      <c r="V25" s="1"/>
      <c r="W25" s="6">
        <f t="shared" si="1"/>
        <v>0.15929430085475904</v>
      </c>
    </row>
    <row r="26" spans="1:25" x14ac:dyDescent="0.2">
      <c r="A26">
        <f t="shared" si="9"/>
        <v>25</v>
      </c>
      <c r="B26" s="2">
        <f t="shared" si="10"/>
        <v>44368</v>
      </c>
      <c r="C26">
        <f>'311 cov wlz'!D26-'311 cov wlz'!E26+'312 cov nwlz'!D26-'312 cov nwlz'!E26+'321 ncov wlz'!D26-'321 ncov wlz'!E26+'322 ncov nwlz'!D26-'322 ncov nwlz'!E26</f>
        <v>386</v>
      </c>
      <c r="D26" s="1">
        <v>1429118</v>
      </c>
      <c r="E26" s="1">
        <f>Oversterfte!C288</f>
        <v>2673</v>
      </c>
      <c r="F26">
        <f>'311 cov wlz'!D26+'312 cov nwlz'!D26+'321 ncov wlz'!D26+'322 ncov nwlz'!D26</f>
        <v>1854</v>
      </c>
      <c r="H26" s="6">
        <v>0.86534755946844699</v>
      </c>
      <c r="I26" s="6">
        <f t="shared" si="2"/>
        <v>0.70275534297848585</v>
      </c>
      <c r="J26" s="1">
        <f t="shared" si="7"/>
        <v>528.32000788542882</v>
      </c>
      <c r="K26" s="1">
        <f t="shared" si="3"/>
        <v>-142.32000788542882</v>
      </c>
      <c r="M26">
        <v>1425</v>
      </c>
      <c r="N26" s="1">
        <v>8386.609999999986</v>
      </c>
      <c r="O26" s="1">
        <f t="shared" si="0"/>
        <v>345.01115159212372</v>
      </c>
      <c r="P26">
        <v>847</v>
      </c>
      <c r="Q26" s="1">
        <v>49861.479999999981</v>
      </c>
      <c r="R26" s="1">
        <f t="shared" si="8"/>
        <v>190.31489715223594</v>
      </c>
      <c r="S26">
        <v>401</v>
      </c>
      <c r="T26" s="1">
        <v>631701.86999999965</v>
      </c>
      <c r="U26" s="1">
        <f t="shared" si="4"/>
        <v>32.759981239972433</v>
      </c>
      <c r="V26" s="1"/>
      <c r="W26" s="6">
        <f t="shared" si="1"/>
        <v>0.16259221648996114</v>
      </c>
    </row>
    <row r="27" spans="1:25" x14ac:dyDescent="0.2">
      <c r="A27">
        <f t="shared" si="9"/>
        <v>26</v>
      </c>
      <c r="B27" s="2">
        <f t="shared" si="10"/>
        <v>44375</v>
      </c>
      <c r="C27">
        <f>'311 cov wlz'!D27-'311 cov wlz'!E27+'312 cov nwlz'!D27-'312 cov nwlz'!E27+'321 ncov wlz'!D27-'321 ncov wlz'!E27+'322 ncov nwlz'!D27-'322 ncov nwlz'!E27</f>
        <v>376</v>
      </c>
      <c r="D27" s="1">
        <v>1491607</v>
      </c>
      <c r="E27" s="1">
        <f>Oversterfte!C289</f>
        <v>2794</v>
      </c>
      <c r="F27">
        <f>'311 cov wlz'!D27+'312 cov nwlz'!D27+'321 ncov wlz'!D27+'322 ncov nwlz'!D27</f>
        <v>2009</v>
      </c>
      <c r="H27" s="6">
        <v>0.87073280394805397</v>
      </c>
      <c r="I27" s="6">
        <f t="shared" si="2"/>
        <v>0.71795628552726254</v>
      </c>
      <c r="J27" s="1">
        <f t="shared" si="7"/>
        <v>657.0725409203053</v>
      </c>
      <c r="K27" s="1">
        <f t="shared" si="3"/>
        <v>-281.0725409203053</v>
      </c>
      <c r="M27">
        <v>1502</v>
      </c>
      <c r="N27" s="1">
        <v>3895.3799999998882</v>
      </c>
      <c r="O27" s="1">
        <f t="shared" si="0"/>
        <v>442.36786822556934</v>
      </c>
      <c r="P27">
        <v>865</v>
      </c>
      <c r="Q27" s="1">
        <v>36553.939999999944</v>
      </c>
      <c r="R27" s="1">
        <f t="shared" si="8"/>
        <v>226.45251355532909</v>
      </c>
      <c r="S27">
        <v>427</v>
      </c>
      <c r="T27" s="1">
        <v>600333.72000000067</v>
      </c>
      <c r="U27" s="1">
        <f t="shared" si="4"/>
        <v>37.709232111903013</v>
      </c>
      <c r="W27" s="6">
        <f t="shared" si="1"/>
        <v>0.15277651842079143</v>
      </c>
    </row>
    <row r="28" spans="1:25" x14ac:dyDescent="0.2">
      <c r="A28">
        <f t="shared" si="9"/>
        <v>27</v>
      </c>
      <c r="B28" s="2">
        <f t="shared" si="10"/>
        <v>44382</v>
      </c>
      <c r="C28">
        <f>'311 cov wlz'!D28-'311 cov wlz'!E28+'312 cov nwlz'!D28-'312 cov nwlz'!E28+'321 ncov wlz'!D28-'321 ncov wlz'!E28+'322 ncov nwlz'!D28-'322 ncov nwlz'!E28</f>
        <v>337</v>
      </c>
      <c r="D28" s="1">
        <v>1317879</v>
      </c>
      <c r="E28" s="1">
        <f>Oversterfte!C290</f>
        <v>2840</v>
      </c>
      <c r="F28">
        <f>'311 cov wlz'!D28+'312 cov nwlz'!D28+'321 ncov wlz'!D28+'322 ncov nwlz'!D28</f>
        <v>2102</v>
      </c>
      <c r="H28" s="6">
        <v>0.8744140584264386</v>
      </c>
      <c r="I28" s="6">
        <f t="shared" si="2"/>
        <v>0.73978885477813849</v>
      </c>
      <c r="J28" s="1">
        <f t="shared" si="7"/>
        <v>559.70251800343726</v>
      </c>
      <c r="K28" s="1">
        <f t="shared" si="3"/>
        <v>-222.70251800343726</v>
      </c>
      <c r="M28">
        <v>1528</v>
      </c>
      <c r="N28" s="1">
        <v>78516.075674181935</v>
      </c>
      <c r="O28" s="1">
        <f t="shared" si="0"/>
        <v>395.62025938810945</v>
      </c>
      <c r="P28">
        <v>896</v>
      </c>
      <c r="Q28" s="1">
        <v>223509.39895846229</v>
      </c>
      <c r="R28" s="1">
        <f t="shared" si="8"/>
        <v>206.21040513171556</v>
      </c>
      <c r="S28" s="1"/>
      <c r="T28" s="1"/>
      <c r="U28" s="1"/>
      <c r="W28" s="6">
        <f t="shared" si="1"/>
        <v>0.13462520364830011</v>
      </c>
    </row>
    <row r="29" spans="1:25" x14ac:dyDescent="0.2">
      <c r="A29">
        <f t="shared" si="9"/>
        <v>28</v>
      </c>
      <c r="B29" s="2">
        <f t="shared" si="10"/>
        <v>44389</v>
      </c>
      <c r="C29">
        <f>'311 cov wlz'!D29-'311 cov wlz'!E29+'312 cov nwlz'!D29-'312 cov nwlz'!E29+'321 ncov wlz'!D29-'321 ncov wlz'!E29+'322 ncov nwlz'!D29-'322 ncov nwlz'!E29</f>
        <v>297</v>
      </c>
      <c r="D29" s="1">
        <v>1153460</v>
      </c>
      <c r="E29" s="1">
        <f>Oversterfte!C291</f>
        <v>2873</v>
      </c>
      <c r="F29">
        <f>'311 cov wlz'!D29+'312 cov nwlz'!D29+'321 ncov wlz'!D29+'322 ncov nwlz'!D29</f>
        <v>2183</v>
      </c>
      <c r="H29" s="6">
        <v>0.87705146088287711</v>
      </c>
      <c r="I29" s="6">
        <f t="shared" si="2"/>
        <v>0.75245167489447651</v>
      </c>
      <c r="J29" s="1">
        <f t="shared" si="7"/>
        <v>500.0156749265538</v>
      </c>
      <c r="K29" s="1">
        <f t="shared" si="3"/>
        <v>-203.0156749265538</v>
      </c>
      <c r="M29">
        <v>1564</v>
      </c>
      <c r="N29" s="1">
        <v>68720.385291170052</v>
      </c>
      <c r="O29" s="1">
        <f t="shared" si="0"/>
        <v>355.70500375352117</v>
      </c>
      <c r="P29">
        <v>900</v>
      </c>
      <c r="Q29" s="1">
        <v>195624.29579849736</v>
      </c>
      <c r="R29" s="1">
        <f t="shared" si="8"/>
        <v>181.94625960836458</v>
      </c>
      <c r="S29" s="1"/>
      <c r="T29" s="1"/>
      <c r="U29" s="1"/>
      <c r="W29" s="6">
        <f t="shared" ref="W29:W58" si="11">H29-I29</f>
        <v>0.1245997859884006</v>
      </c>
    </row>
    <row r="30" spans="1:25" x14ac:dyDescent="0.2">
      <c r="A30">
        <f t="shared" si="9"/>
        <v>29</v>
      </c>
      <c r="B30" s="2">
        <f t="shared" si="10"/>
        <v>44396</v>
      </c>
      <c r="C30">
        <f>'311 cov wlz'!D30-'311 cov wlz'!E30+'312 cov nwlz'!D30-'312 cov nwlz'!E30+'321 ncov wlz'!D30-'321 ncov wlz'!E30+'322 ncov nwlz'!D30-'322 ncov nwlz'!E30</f>
        <v>247</v>
      </c>
      <c r="D30" s="1">
        <v>871451</v>
      </c>
      <c r="E30" s="1">
        <f>Oversterfte!C292</f>
        <v>2776</v>
      </c>
      <c r="F30">
        <f>'311 cov wlz'!D30+'312 cov nwlz'!D30+'321 ncov wlz'!D30+'322 ncov nwlz'!D30</f>
        <v>2082</v>
      </c>
      <c r="H30" s="6">
        <v>0.87734254492213892</v>
      </c>
      <c r="I30" s="6">
        <f t="shared" si="2"/>
        <v>0.75650776900918448</v>
      </c>
      <c r="J30" s="1">
        <f t="shared" si="7"/>
        <v>398.26596285261024</v>
      </c>
      <c r="K30" s="1">
        <f t="shared" si="3"/>
        <v>-151.26596285261024</v>
      </c>
      <c r="M30">
        <v>1489</v>
      </c>
      <c r="N30" s="1">
        <v>51918.964231421494</v>
      </c>
      <c r="O30" s="1">
        <f t="shared" si="0"/>
        <v>277.6028843238858</v>
      </c>
      <c r="P30">
        <v>909</v>
      </c>
      <c r="Q30" s="1">
        <v>147796.18556161143</v>
      </c>
      <c r="R30" s="1">
        <f t="shared" si="8"/>
        <v>150.64008648537248</v>
      </c>
      <c r="S30" s="1"/>
      <c r="T30" s="1"/>
      <c r="U30" s="1"/>
      <c r="W30" s="6">
        <f t="shared" si="11"/>
        <v>0.12083477591295444</v>
      </c>
    </row>
    <row r="31" spans="1:25" x14ac:dyDescent="0.2">
      <c r="A31">
        <f t="shared" si="9"/>
        <v>30</v>
      </c>
      <c r="B31" s="2">
        <f t="shared" si="10"/>
        <v>44403</v>
      </c>
      <c r="C31">
        <f>'311 cov wlz'!D31-'311 cov wlz'!E31+'312 cov nwlz'!D31-'312 cov nwlz'!E31+'321 ncov wlz'!D31-'321 ncov wlz'!E31+'322 ncov nwlz'!D31-'322 ncov nwlz'!E31</f>
        <v>220</v>
      </c>
      <c r="D31" s="1">
        <v>803093</v>
      </c>
      <c r="E31" s="1">
        <f>Oversterfte!C293</f>
        <v>2917</v>
      </c>
      <c r="F31">
        <f>'311 cov wlz'!D31+'312 cov nwlz'!D31+'321 ncov wlz'!D31+'322 ncov nwlz'!D31</f>
        <v>2235</v>
      </c>
      <c r="H31" s="6">
        <v>0.87850312149367393</v>
      </c>
      <c r="I31" s="6">
        <f t="shared" si="2"/>
        <v>0.76389978313263884</v>
      </c>
      <c r="J31" s="1">
        <f t="shared" si="7"/>
        <v>331.41606259815887</v>
      </c>
      <c r="K31" s="1">
        <f t="shared" si="3"/>
        <v>-111.41606259815887</v>
      </c>
      <c r="M31">
        <v>1573</v>
      </c>
      <c r="N31" s="1">
        <v>47846.358247916389</v>
      </c>
      <c r="O31" s="1">
        <f t="shared" si="0"/>
        <v>232.3924670285983</v>
      </c>
      <c r="P31">
        <v>944</v>
      </c>
      <c r="Q31" s="1">
        <v>136202.81811740558</v>
      </c>
      <c r="R31" s="1">
        <f t="shared" si="8"/>
        <v>123.96889060383052</v>
      </c>
      <c r="S31" s="1"/>
      <c r="T31" s="1"/>
      <c r="U31" s="1"/>
      <c r="W31" s="6">
        <f t="shared" si="11"/>
        <v>0.11460333836103509</v>
      </c>
    </row>
    <row r="32" spans="1:25" x14ac:dyDescent="0.2">
      <c r="A32">
        <f t="shared" si="9"/>
        <v>31</v>
      </c>
      <c r="B32" s="2">
        <f t="shared" si="10"/>
        <v>44410</v>
      </c>
      <c r="C32">
        <f>'311 cov wlz'!D32-'311 cov wlz'!E32+'312 cov nwlz'!D32-'312 cov nwlz'!E32+'321 ncov wlz'!D32-'321 ncov wlz'!E32+'322 ncov nwlz'!D32-'322 ncov nwlz'!E32</f>
        <v>212</v>
      </c>
      <c r="D32" s="1">
        <v>816669</v>
      </c>
      <c r="E32" s="1">
        <f>Oversterfte!C294</f>
        <v>2963</v>
      </c>
      <c r="F32">
        <f>'311 cov wlz'!D32+'312 cov nwlz'!D32+'321 ncov wlz'!D32+'322 ncov nwlz'!D32</f>
        <v>2291</v>
      </c>
      <c r="H32" s="6">
        <v>0.88031214040098016</v>
      </c>
      <c r="I32" s="6">
        <f t="shared" si="2"/>
        <v>0.76659625893409811</v>
      </c>
      <c r="J32" s="1">
        <f t="shared" si="7"/>
        <v>234.23934167631077</v>
      </c>
      <c r="K32" s="1">
        <f t="shared" si="3"/>
        <v>-22.239341676310772</v>
      </c>
      <c r="M32">
        <v>1621</v>
      </c>
      <c r="N32" s="1">
        <v>48655.183825494212</v>
      </c>
      <c r="O32" s="1">
        <f t="shared" si="0"/>
        <v>167.16871167115073</v>
      </c>
      <c r="P32">
        <v>924</v>
      </c>
      <c r="Q32" s="1">
        <v>138505.27805512372</v>
      </c>
      <c r="R32" s="1">
        <f t="shared" si="8"/>
        <v>84.70154819585008</v>
      </c>
      <c r="S32" s="1"/>
      <c r="T32" s="1"/>
      <c r="U32" s="1"/>
      <c r="W32" s="6">
        <f t="shared" si="11"/>
        <v>0.11371588146688205</v>
      </c>
      <c r="X32" s="6">
        <f>1-H32</f>
        <v>0.11968785959901984</v>
      </c>
      <c r="Y32" s="6">
        <f>1-I32</f>
        <v>0.23340374106590189</v>
      </c>
    </row>
    <row r="33" spans="1:25" x14ac:dyDescent="0.2">
      <c r="A33">
        <f t="shared" si="9"/>
        <v>32</v>
      </c>
      <c r="B33" s="2">
        <f t="shared" si="10"/>
        <v>44417</v>
      </c>
      <c r="C33">
        <f>'311 cov wlz'!D33-'311 cov wlz'!E33+'312 cov nwlz'!D33-'312 cov nwlz'!E33+'321 ncov wlz'!D33-'321 ncov wlz'!E33+'322 ncov nwlz'!D33-'322 ncov nwlz'!E33</f>
        <v>168</v>
      </c>
      <c r="D33" s="1">
        <v>710310</v>
      </c>
      <c r="E33" s="1">
        <f>Oversterfte!C295</f>
        <v>2843</v>
      </c>
      <c r="F33">
        <f>'311 cov wlz'!D33+'312 cov nwlz'!D33+'321 ncov wlz'!D33+'322 ncov nwlz'!D33</f>
        <v>2143</v>
      </c>
      <c r="H33" s="6">
        <v>0.88102887363718807</v>
      </c>
      <c r="I33" s="6">
        <f t="shared" si="2"/>
        <v>0.76545809866463554</v>
      </c>
      <c r="J33" s="1">
        <f t="shared" si="7"/>
        <v>132.43991599394897</v>
      </c>
      <c r="K33" s="1">
        <f t="shared" si="3"/>
        <v>35.560084006051028</v>
      </c>
      <c r="M33">
        <v>1540</v>
      </c>
      <c r="N33" s="1">
        <v>42318.569240520694</v>
      </c>
      <c r="O33" s="1">
        <f t="shared" si="0"/>
        <v>94.222937663489503</v>
      </c>
      <c r="P33">
        <v>886</v>
      </c>
      <c r="Q33" s="1">
        <v>120467.02403952513</v>
      </c>
      <c r="R33" s="1">
        <f t="shared" si="8"/>
        <v>48.185574157961</v>
      </c>
      <c r="S33" s="1"/>
      <c r="T33" s="1"/>
      <c r="U33" s="1"/>
      <c r="W33" s="6">
        <f t="shared" si="11"/>
        <v>0.11557077497255253</v>
      </c>
      <c r="X33" s="6">
        <f t="shared" ref="X33:X96" si="12">1-H33</f>
        <v>0.11897112636281193</v>
      </c>
      <c r="Y33" s="6">
        <f t="shared" ref="Y33:Y96" si="13">1-I33</f>
        <v>0.23454190133536446</v>
      </c>
    </row>
    <row r="34" spans="1:25" x14ac:dyDescent="0.2">
      <c r="A34">
        <f t="shared" si="9"/>
        <v>33</v>
      </c>
      <c r="B34" s="2">
        <f t="shared" si="10"/>
        <v>44424</v>
      </c>
      <c r="C34">
        <f>'311 cov wlz'!D34-'311 cov wlz'!E34+'312 cov nwlz'!D34-'312 cov nwlz'!E34+'321 ncov wlz'!D34-'321 ncov wlz'!E34+'322 ncov nwlz'!D34-'322 ncov nwlz'!E34</f>
        <v>181</v>
      </c>
      <c r="D34" s="1">
        <v>294344</v>
      </c>
      <c r="E34" s="1">
        <f>Oversterfte!C296</f>
        <v>2905</v>
      </c>
      <c r="F34">
        <f>'311 cov wlz'!D34+'312 cov nwlz'!D34+'321 ncov wlz'!D34+'322 ncov nwlz'!D34</f>
        <v>2269</v>
      </c>
      <c r="H34" s="6">
        <v>0.8814699039358328</v>
      </c>
      <c r="I34" s="6">
        <f t="shared" si="2"/>
        <v>0.76505114801980301</v>
      </c>
      <c r="J34" s="1">
        <f t="shared" si="7"/>
        <v>112.17490878859742</v>
      </c>
      <c r="K34" s="1">
        <f t="shared" si="3"/>
        <v>68.825091211402579</v>
      </c>
      <c r="M34">
        <v>1572</v>
      </c>
      <c r="N34" s="1">
        <v>17536.310828415513</v>
      </c>
      <c r="O34" s="1">
        <f t="shared" ref="O34:O65" si="14">(N35+N36+N37+N38)*M34/838661</f>
        <v>79.313354738556214</v>
      </c>
      <c r="P34">
        <v>921</v>
      </c>
      <c r="Q34" s="1">
        <v>49920.099286072254</v>
      </c>
      <c r="R34" s="1">
        <f t="shared" si="8"/>
        <v>41.304826754559286</v>
      </c>
      <c r="S34" s="1"/>
      <c r="T34" s="1"/>
      <c r="U34" s="1"/>
      <c r="W34" s="6">
        <f t="shared" si="11"/>
        <v>0.11641875591602979</v>
      </c>
      <c r="X34" s="6">
        <f t="shared" si="12"/>
        <v>0.1185300960641672</v>
      </c>
      <c r="Y34" s="6">
        <f t="shared" si="13"/>
        <v>0.23494885198019699</v>
      </c>
    </row>
    <row r="35" spans="1:25" x14ac:dyDescent="0.2">
      <c r="A35">
        <f t="shared" si="9"/>
        <v>34</v>
      </c>
      <c r="B35" s="2">
        <f t="shared" si="10"/>
        <v>44431</v>
      </c>
      <c r="C35">
        <f>'311 cov wlz'!D35-'311 cov wlz'!E35+'312 cov nwlz'!D35-'312 cov nwlz'!E35+'321 ncov wlz'!D35-'321 ncov wlz'!E35+'322 ncov nwlz'!D35-'322 ncov nwlz'!E35</f>
        <v>180</v>
      </c>
      <c r="D35" s="1">
        <v>258358</v>
      </c>
      <c r="E35" s="1">
        <f>Oversterfte!C297</f>
        <v>2933</v>
      </c>
      <c r="F35">
        <f>'311 cov wlz'!D35+'312 cov nwlz'!D35+'321 ncov wlz'!D35+'322 ncov nwlz'!D35</f>
        <v>2183</v>
      </c>
      <c r="H35" s="6">
        <v>0.88456504068013542</v>
      </c>
      <c r="I35" s="6">
        <f t="shared" ref="I35:I66" si="15">(0.5*F35/E35+0.25*(F34/E34+F36/E36))</f>
        <v>0.76105245827597012</v>
      </c>
      <c r="J35" s="1">
        <f t="shared" si="7"/>
        <v>91.295841852403001</v>
      </c>
      <c r="K35" s="1">
        <f t="shared" ref="K35:K66" si="16">C35-J35</f>
        <v>88.704158147596999</v>
      </c>
      <c r="M35">
        <v>1540</v>
      </c>
      <c r="N35" s="1">
        <v>15392.351102817707</v>
      </c>
      <c r="O35" s="1">
        <f t="shared" si="14"/>
        <v>63.472785773311479</v>
      </c>
      <c r="P35">
        <v>947</v>
      </c>
      <c r="Q35" s="1">
        <v>43816.952312094203</v>
      </c>
      <c r="R35" s="1">
        <f t="shared" si="8"/>
        <v>34.694786110992816</v>
      </c>
      <c r="S35" s="1"/>
      <c r="T35" s="1"/>
      <c r="U35" s="1"/>
      <c r="W35" s="6">
        <f t="shared" si="11"/>
        <v>0.12351258240416529</v>
      </c>
      <c r="X35" s="6">
        <f t="shared" si="12"/>
        <v>0.11543495931986458</v>
      </c>
      <c r="Y35" s="6">
        <f t="shared" si="13"/>
        <v>0.23894754172402988</v>
      </c>
    </row>
    <row r="36" spans="1:25" x14ac:dyDescent="0.2">
      <c r="A36">
        <f t="shared" si="9"/>
        <v>35</v>
      </c>
      <c r="B36" s="2">
        <f t="shared" si="10"/>
        <v>44438</v>
      </c>
      <c r="C36">
        <f>'311 cov wlz'!D36-'311 cov wlz'!E36+'312 cov nwlz'!D36-'312 cov nwlz'!E36+'321 ncov wlz'!D36-'321 ncov wlz'!E36+'322 ncov nwlz'!D36-'322 ncov nwlz'!E36</f>
        <v>136</v>
      </c>
      <c r="D36" s="1">
        <v>188683</v>
      </c>
      <c r="E36" s="1">
        <f>Oversterfte!C298</f>
        <v>2870</v>
      </c>
      <c r="F36">
        <f>'311 cov wlz'!D36+'312 cov nwlz'!D36+'321 ncov wlz'!D36+'322 ncov nwlz'!D36</f>
        <v>2223</v>
      </c>
      <c r="H36" s="6">
        <v>0.8849098448500986</v>
      </c>
      <c r="I36" s="6">
        <f t="shared" si="15"/>
        <v>0.76679342493332214</v>
      </c>
      <c r="J36" s="1">
        <f t="shared" si="7"/>
        <v>77.83421657977317</v>
      </c>
      <c r="K36" s="1">
        <f t="shared" si="16"/>
        <v>58.16578342022683</v>
      </c>
      <c r="M36">
        <v>1551</v>
      </c>
      <c r="N36" s="1">
        <v>11241.281412353996</v>
      </c>
      <c r="O36" s="1">
        <f t="shared" si="14"/>
        <v>55.444286291984696</v>
      </c>
      <c r="P36">
        <v>889</v>
      </c>
      <c r="Q36" s="1">
        <v>32000.224545409357</v>
      </c>
      <c r="R36" s="1">
        <f t="shared" si="8"/>
        <v>28.24841970777139</v>
      </c>
      <c r="S36" s="1"/>
      <c r="T36" s="1"/>
      <c r="U36" s="1"/>
      <c r="W36" s="6">
        <f t="shared" si="11"/>
        <v>0.11811641991677646</v>
      </c>
      <c r="X36" s="6">
        <f t="shared" si="12"/>
        <v>0.1150901551499014</v>
      </c>
      <c r="Y36" s="6">
        <f t="shared" si="13"/>
        <v>0.23320657506667786</v>
      </c>
    </row>
    <row r="37" spans="1:25" x14ac:dyDescent="0.2">
      <c r="A37">
        <f t="shared" si="9"/>
        <v>36</v>
      </c>
      <c r="B37" s="2">
        <f t="shared" si="10"/>
        <v>44445</v>
      </c>
      <c r="C37">
        <f>'311 cov wlz'!D37-'311 cov wlz'!E37+'312 cov nwlz'!D37-'312 cov nwlz'!E37+'321 ncov wlz'!D37-'321 ncov wlz'!E37+'322 ncov nwlz'!D37-'322 ncov nwlz'!E37</f>
        <v>154</v>
      </c>
      <c r="D37" s="1">
        <v>119885</v>
      </c>
      <c r="E37" s="1">
        <f>Oversterfte!C299</f>
        <v>3094</v>
      </c>
      <c r="F37">
        <f>'311 cov wlz'!D37+'312 cov nwlz'!D37+'321 ncov wlz'!D37+'322 ncov nwlz'!D37</f>
        <v>2394</v>
      </c>
      <c r="H37" s="6">
        <v>0.88680585818394675</v>
      </c>
      <c r="I37" s="6">
        <f t="shared" si="15"/>
        <v>0.77555318961221953</v>
      </c>
      <c r="J37" s="1">
        <f t="shared" si="7"/>
        <v>81.205923910974988</v>
      </c>
      <c r="K37" s="1">
        <f t="shared" si="16"/>
        <v>72.794076089025012</v>
      </c>
      <c r="M37">
        <v>1632</v>
      </c>
      <c r="N37" s="1">
        <v>7142.4612822567942</v>
      </c>
      <c r="O37" s="1">
        <f t="shared" si="14"/>
        <v>56.054622993571158</v>
      </c>
      <c r="P37">
        <v>1024</v>
      </c>
      <c r="Q37" s="1">
        <v>20332.234062562078</v>
      </c>
      <c r="R37" s="1">
        <f t="shared" si="8"/>
        <v>31.26357476016538</v>
      </c>
      <c r="S37" s="1"/>
      <c r="T37" s="1"/>
      <c r="U37" s="1"/>
      <c r="W37" s="6">
        <f t="shared" si="11"/>
        <v>0.11125266857172722</v>
      </c>
      <c r="X37" s="6">
        <f t="shared" si="12"/>
        <v>0.11319414181605325</v>
      </c>
      <c r="Y37" s="6">
        <f t="shared" si="13"/>
        <v>0.22444681038778047</v>
      </c>
    </row>
    <row r="38" spans="1:25" x14ac:dyDescent="0.2">
      <c r="A38">
        <f t="shared" si="9"/>
        <v>37</v>
      </c>
      <c r="B38" s="2">
        <f t="shared" si="10"/>
        <v>44452</v>
      </c>
      <c r="C38">
        <f>'311 cov wlz'!D38-'311 cov wlz'!E38+'312 cov nwlz'!D38-'312 cov nwlz'!E38+'321 ncov wlz'!D38-'321 ncov wlz'!E38+'322 ncov nwlz'!D38-'322 ncov nwlz'!E38</f>
        <v>126</v>
      </c>
      <c r="D38" s="1">
        <v>143301</v>
      </c>
      <c r="E38" s="1">
        <f>Oversterfte!C300</f>
        <v>2920</v>
      </c>
      <c r="F38">
        <f>'311 cov wlz'!D38+'312 cov nwlz'!D38+'321 ncov wlz'!D38+'322 ncov nwlz'!D38</f>
        <v>2278</v>
      </c>
      <c r="H38" s="6">
        <v>0.88690448996584526</v>
      </c>
      <c r="I38" s="6">
        <f t="shared" si="15"/>
        <v>0.78262474881854038</v>
      </c>
      <c r="J38" s="1">
        <f t="shared" si="7"/>
        <v>69.605073892796256</v>
      </c>
      <c r="K38" s="1">
        <f t="shared" si="16"/>
        <v>56.394926107203744</v>
      </c>
      <c r="M38">
        <v>1558</v>
      </c>
      <c r="N38" s="1">
        <v>8537.5305018032359</v>
      </c>
      <c r="O38" s="1">
        <f t="shared" si="14"/>
        <v>48.862322196141065</v>
      </c>
      <c r="P38">
        <v>932</v>
      </c>
      <c r="Q38" s="1">
        <v>24303.536500806673</v>
      </c>
      <c r="R38" s="1">
        <f t="shared" si="8"/>
        <v>25.981843279983927</v>
      </c>
      <c r="S38" s="1"/>
      <c r="T38" s="1"/>
      <c r="U38" s="1"/>
      <c r="W38" s="6">
        <f t="shared" si="11"/>
        <v>0.10427974114730487</v>
      </c>
      <c r="X38" s="6">
        <f t="shared" si="12"/>
        <v>0.11309551003415474</v>
      </c>
      <c r="Y38" s="6">
        <f t="shared" si="13"/>
        <v>0.21737525118145962</v>
      </c>
    </row>
    <row r="39" spans="1:25" x14ac:dyDescent="0.2">
      <c r="A39">
        <f t="shared" si="9"/>
        <v>38</v>
      </c>
      <c r="B39" s="2">
        <f t="shared" si="10"/>
        <v>44459</v>
      </c>
      <c r="C39">
        <f>'311 cov wlz'!D39-'311 cov wlz'!E39+'312 cov nwlz'!D39-'312 cov nwlz'!E39+'321 ncov wlz'!D39-'321 ncov wlz'!E39+'322 ncov nwlz'!D39-'322 ncov nwlz'!E39</f>
        <v>136</v>
      </c>
      <c r="D39" s="1">
        <v>128321</v>
      </c>
      <c r="E39" s="1">
        <f>Oversterfte!C301</f>
        <v>2889</v>
      </c>
      <c r="F39">
        <f>'311 cov wlz'!D39+'312 cov nwlz'!D39+'321 ncov wlz'!D39+'322 ncov nwlz'!D39</f>
        <v>2301</v>
      </c>
      <c r="H39" s="6">
        <v>0.88690448996584526</v>
      </c>
      <c r="I39" s="6">
        <f t="shared" si="15"/>
        <v>0.79041085905454622</v>
      </c>
      <c r="J39" s="1">
        <f t="shared" si="7"/>
        <v>64.748539684775565</v>
      </c>
      <c r="K39" s="1">
        <f t="shared" si="16"/>
        <v>71.251460315224435</v>
      </c>
      <c r="M39">
        <v>1524</v>
      </c>
      <c r="N39" s="1">
        <v>7645.0579655542742</v>
      </c>
      <c r="O39" s="1">
        <f t="shared" si="14"/>
        <v>45.206238854653044</v>
      </c>
      <c r="P39">
        <v>926</v>
      </c>
      <c r="Q39" s="1">
        <v>21762.961230696317</v>
      </c>
      <c r="R39" s="1">
        <f t="shared" si="8"/>
        <v>24.415846827901323</v>
      </c>
      <c r="S39" s="1"/>
      <c r="T39" s="1"/>
      <c r="U39" s="1"/>
      <c r="W39" s="6">
        <f t="shared" si="11"/>
        <v>9.6493630911299033E-2</v>
      </c>
      <c r="X39" s="6">
        <f t="shared" si="12"/>
        <v>0.11309551003415474</v>
      </c>
      <c r="Y39" s="6">
        <f t="shared" si="13"/>
        <v>0.20958914094545378</v>
      </c>
    </row>
    <row r="40" spans="1:25" x14ac:dyDescent="0.2">
      <c r="A40">
        <f t="shared" si="9"/>
        <v>39</v>
      </c>
      <c r="B40" s="2">
        <f t="shared" si="10"/>
        <v>44466</v>
      </c>
      <c r="C40">
        <f>'311 cov wlz'!D40-'311 cov wlz'!E40+'312 cov nwlz'!D40-'312 cov nwlz'!E40+'321 ncov wlz'!D40-'321 ncov wlz'!E40+'322 ncov nwlz'!D40-'322 ncov nwlz'!E40</f>
        <v>122</v>
      </c>
      <c r="D40" s="1">
        <v>111702</v>
      </c>
      <c r="E40" s="1">
        <f>Oversterfte!C302</f>
        <v>3079</v>
      </c>
      <c r="F40">
        <f>'311 cov wlz'!D40+'312 cov nwlz'!D40+'321 ncov wlz'!D40+'322 ncov nwlz'!D40</f>
        <v>2428</v>
      </c>
      <c r="H40" s="6">
        <v>0.88709453656999138</v>
      </c>
      <c r="I40" s="6">
        <f t="shared" si="15"/>
        <v>0.79393813462789342</v>
      </c>
      <c r="J40" s="1">
        <f t="shared" si="7"/>
        <v>69.241953025173359</v>
      </c>
      <c r="K40" s="1">
        <f t="shared" si="16"/>
        <v>52.758046974826641</v>
      </c>
      <c r="M40">
        <v>1648</v>
      </c>
      <c r="N40" s="1">
        <v>6654.9377332497679</v>
      </c>
      <c r="O40" s="1">
        <f t="shared" si="14"/>
        <v>48.553356564257491</v>
      </c>
      <c r="P40">
        <v>989</v>
      </c>
      <c r="Q40" s="1">
        <v>18944.415141646656</v>
      </c>
      <c r="R40" s="1">
        <f t="shared" si="8"/>
        <v>25.900356366036444</v>
      </c>
      <c r="S40" s="1"/>
      <c r="T40" s="1"/>
      <c r="U40" s="1"/>
      <c r="W40" s="6">
        <f t="shared" si="11"/>
        <v>9.3156401942097955E-2</v>
      </c>
      <c r="X40" s="6">
        <f t="shared" si="12"/>
        <v>0.11290546343000862</v>
      </c>
      <c r="Y40" s="6">
        <f t="shared" si="13"/>
        <v>0.20606186537210658</v>
      </c>
    </row>
    <row r="41" spans="1:25" x14ac:dyDescent="0.2">
      <c r="A41">
        <f t="shared" si="9"/>
        <v>40</v>
      </c>
      <c r="B41" s="2">
        <f t="shared" si="10"/>
        <v>44473</v>
      </c>
      <c r="C41">
        <f>'311 cov wlz'!D41-'311 cov wlz'!E41+'312 cov nwlz'!D41-'312 cov nwlz'!E41+'321 ncov wlz'!D41-'321 ncov wlz'!E41+'322 ncov nwlz'!D41-'322 ncov nwlz'!E41</f>
        <v>125</v>
      </c>
      <c r="D41" s="1">
        <v>100174</v>
      </c>
      <c r="E41" s="1">
        <f>Oversterfte!C303</f>
        <v>3073</v>
      </c>
      <c r="F41">
        <f>'311 cov wlz'!D41+'312 cov nwlz'!D41+'321 ncov wlz'!D41+'322 ncov nwlz'!D41</f>
        <v>2465</v>
      </c>
      <c r="H41" s="6">
        <v>0.88724368706944789</v>
      </c>
      <c r="I41" s="6">
        <f t="shared" si="15"/>
        <v>0.7982809661881034</v>
      </c>
      <c r="J41" s="1">
        <f t="shared" si="7"/>
        <v>72.537031554834854</v>
      </c>
      <c r="K41" s="1">
        <f t="shared" si="16"/>
        <v>52.462968445165146</v>
      </c>
      <c r="M41">
        <v>1632</v>
      </c>
      <c r="N41" s="1">
        <v>5968.127092536949</v>
      </c>
      <c r="O41" s="1">
        <f t="shared" si="14"/>
        <v>50.387807583160431</v>
      </c>
      <c r="P41">
        <v>1006</v>
      </c>
      <c r="Q41" s="1">
        <v>16989.291529241302</v>
      </c>
      <c r="R41" s="1">
        <f t="shared" si="8"/>
        <v>27.609000540317904</v>
      </c>
      <c r="S41" s="1"/>
      <c r="T41" s="1"/>
      <c r="U41" s="1"/>
      <c r="W41" s="6">
        <f t="shared" si="11"/>
        <v>8.8962720881344493E-2</v>
      </c>
      <c r="X41" s="6">
        <f t="shared" si="12"/>
        <v>0.11275631293055211</v>
      </c>
      <c r="Y41" s="6">
        <f t="shared" si="13"/>
        <v>0.2017190338118966</v>
      </c>
    </row>
    <row r="42" spans="1:25" x14ac:dyDescent="0.2">
      <c r="A42">
        <f t="shared" si="9"/>
        <v>41</v>
      </c>
      <c r="B42" s="2">
        <f t="shared" si="10"/>
        <v>44480</v>
      </c>
      <c r="C42">
        <f>'311 cov wlz'!D42-'311 cov wlz'!E42+'312 cov nwlz'!D42-'312 cov nwlz'!E42+'321 ncov wlz'!D42-'321 ncov wlz'!E42+'322 ncov nwlz'!D42-'322 ncov nwlz'!E42</f>
        <v>131</v>
      </c>
      <c r="D42" s="1">
        <v>101282</v>
      </c>
      <c r="E42" s="1">
        <f>Oversterfte!C304</f>
        <v>3069</v>
      </c>
      <c r="F42">
        <f>'311 cov wlz'!D42+'312 cov nwlz'!D42+'321 ncov wlz'!D42+'322 ncov nwlz'!D42</f>
        <v>2456</v>
      </c>
      <c r="H42" s="6">
        <v>0.88923733178318509</v>
      </c>
      <c r="I42" s="6">
        <f t="shared" si="15"/>
        <v>0.79906666044971331</v>
      </c>
      <c r="J42" s="1">
        <f t="shared" si="7"/>
        <v>74.769377394486668</v>
      </c>
      <c r="K42" s="1">
        <f t="shared" si="16"/>
        <v>56.230622605513332</v>
      </c>
      <c r="M42">
        <v>1649</v>
      </c>
      <c r="N42" s="1">
        <v>6034.1390798643088</v>
      </c>
      <c r="O42" s="1">
        <f t="shared" si="14"/>
        <v>52.774321049572229</v>
      </c>
      <c r="P42">
        <v>971</v>
      </c>
      <c r="Q42" s="1">
        <v>17177.20590836562</v>
      </c>
      <c r="R42" s="1">
        <f t="shared" si="8"/>
        <v>27.622858944499448</v>
      </c>
      <c r="S42" s="1"/>
      <c r="T42" s="1"/>
      <c r="U42" s="1"/>
      <c r="W42" s="6">
        <f t="shared" si="11"/>
        <v>9.0170671333471786E-2</v>
      </c>
      <c r="X42" s="6">
        <f t="shared" si="12"/>
        <v>0.11076266821681491</v>
      </c>
      <c r="Y42" s="6">
        <f t="shared" si="13"/>
        <v>0.20093333955028669</v>
      </c>
    </row>
    <row r="43" spans="1:25" x14ac:dyDescent="0.2">
      <c r="A43">
        <f t="shared" si="9"/>
        <v>42</v>
      </c>
      <c r="B43" s="2">
        <f t="shared" si="10"/>
        <v>44487</v>
      </c>
      <c r="C43">
        <f>'311 cov wlz'!D43-'311 cov wlz'!E43+'312 cov nwlz'!D43-'312 cov nwlz'!E43+'321 ncov wlz'!D43-'321 ncov wlz'!E43+'322 ncov nwlz'!D43-'322 ncov nwlz'!E43</f>
        <v>125</v>
      </c>
      <c r="D43" s="1">
        <v>104400</v>
      </c>
      <c r="E43" s="1">
        <f>Oversterfte!C305</f>
        <v>3280</v>
      </c>
      <c r="F43">
        <f>'311 cov wlz'!D43+'312 cov nwlz'!D43+'321 ncov wlz'!D43+'322 ncov nwlz'!D43</f>
        <v>2603</v>
      </c>
      <c r="H43" s="6">
        <v>0.889954065019393</v>
      </c>
      <c r="I43" s="6">
        <f t="shared" si="15"/>
        <v>0.8001225740690161</v>
      </c>
      <c r="J43" s="1">
        <f t="shared" si="7"/>
        <v>82.052768426836934</v>
      </c>
      <c r="K43" s="1">
        <f t="shared" si="16"/>
        <v>42.947231573163066</v>
      </c>
      <c r="M43">
        <v>1821</v>
      </c>
      <c r="N43" s="1">
        <v>6219.9020550328178</v>
      </c>
      <c r="O43" s="1">
        <f t="shared" si="14"/>
        <v>59.01724900558775</v>
      </c>
      <c r="P43">
        <v>1014</v>
      </c>
      <c r="Q43" s="1">
        <v>17706.011895829179</v>
      </c>
      <c r="R43" s="1">
        <f t="shared" si="8"/>
        <v>29.211534249075619</v>
      </c>
      <c r="S43" s="1"/>
      <c r="T43" s="1"/>
      <c r="U43" s="1"/>
      <c r="W43" s="6">
        <f t="shared" si="11"/>
        <v>8.9831490950376902E-2</v>
      </c>
      <c r="X43" s="6">
        <f t="shared" si="12"/>
        <v>0.110045934980607</v>
      </c>
      <c r="Y43" s="6">
        <f t="shared" si="13"/>
        <v>0.1998774259309839</v>
      </c>
    </row>
    <row r="44" spans="1:25" x14ac:dyDescent="0.2">
      <c r="A44">
        <f t="shared" si="9"/>
        <v>43</v>
      </c>
      <c r="B44" s="2">
        <f t="shared" si="10"/>
        <v>44494</v>
      </c>
      <c r="C44">
        <f>'311 cov wlz'!D44-'311 cov wlz'!E44+'312 cov nwlz'!D44-'312 cov nwlz'!E44+'321 ncov wlz'!D44-'321 ncov wlz'!E44+'322 ncov nwlz'!D44-'322 ncov nwlz'!E44</f>
        <v>125</v>
      </c>
      <c r="D44" s="1">
        <v>108874</v>
      </c>
      <c r="E44" s="1">
        <f>Oversterfte!C306</f>
        <v>3391</v>
      </c>
      <c r="F44">
        <f>'311 cov wlz'!D44+'312 cov nwlz'!D44+'321 ncov wlz'!D44+'322 ncov nwlz'!D44</f>
        <v>2757</v>
      </c>
      <c r="H44" s="6">
        <v>0.89000217808373372</v>
      </c>
      <c r="I44" s="6">
        <f t="shared" si="15"/>
        <v>0.80512940774956521</v>
      </c>
      <c r="J44" s="1">
        <f t="shared" si="7"/>
        <v>280.33302470434467</v>
      </c>
      <c r="K44" s="1">
        <f t="shared" si="16"/>
        <v>-155.33302470434467</v>
      </c>
      <c r="M44">
        <v>1899</v>
      </c>
      <c r="N44" s="1">
        <v>6486.4522637896844</v>
      </c>
      <c r="O44" s="1">
        <f t="shared" si="14"/>
        <v>269.80976454520004</v>
      </c>
      <c r="P44">
        <v>1046</v>
      </c>
      <c r="Q44" s="1">
        <v>18464.792520560401</v>
      </c>
      <c r="R44" s="1">
        <f t="shared" si="8"/>
        <v>31.623595351944715</v>
      </c>
      <c r="S44" s="1"/>
      <c r="T44" s="1"/>
      <c r="U44" s="1"/>
      <c r="W44" s="6">
        <f t="shared" si="11"/>
        <v>8.4872770334168512E-2</v>
      </c>
      <c r="X44" s="6">
        <f t="shared" si="12"/>
        <v>0.10999782191626628</v>
      </c>
      <c r="Y44" s="6">
        <f t="shared" si="13"/>
        <v>0.19487059225043479</v>
      </c>
    </row>
    <row r="45" spans="1:25" x14ac:dyDescent="0.2">
      <c r="A45">
        <f t="shared" si="9"/>
        <v>44</v>
      </c>
      <c r="B45" s="2">
        <f t="shared" si="10"/>
        <v>44501</v>
      </c>
      <c r="C45">
        <f>'311 cov wlz'!D45-'311 cov wlz'!E45+'312 cov nwlz'!D45-'312 cov nwlz'!E45+'321 ncov wlz'!D45-'321 ncov wlz'!E45+'322 ncov nwlz'!D45-'322 ncov nwlz'!E45</f>
        <v>120</v>
      </c>
      <c r="D45" s="1">
        <v>120063</v>
      </c>
      <c r="E45" s="1">
        <f>Oversterfte!C307</f>
        <v>3525</v>
      </c>
      <c r="F45">
        <f>'311 cov wlz'!D45+'312 cov nwlz'!D45+'321 ncov wlz'!D45+'322 ncov nwlz'!D45</f>
        <v>2823</v>
      </c>
      <c r="H45" s="6">
        <v>0.89009840421241537</v>
      </c>
      <c r="I45" s="6">
        <f t="shared" si="15"/>
        <v>0.80071581995813079</v>
      </c>
      <c r="J45" s="1">
        <f t="shared" si="7"/>
        <v>699.60154613908173</v>
      </c>
      <c r="K45" s="1">
        <f t="shared" si="16"/>
        <v>-579.60154613908173</v>
      </c>
      <c r="M45">
        <v>1926</v>
      </c>
      <c r="N45" s="1">
        <v>7153.0660961054127</v>
      </c>
      <c r="O45" s="1">
        <f t="shared" si="14"/>
        <v>699.66565282240424</v>
      </c>
      <c r="P45">
        <v>1141</v>
      </c>
      <c r="Q45" s="1">
        <v>20362.422473648836</v>
      </c>
      <c r="R45" s="1">
        <f t="shared" si="8"/>
        <v>52.594074208866466</v>
      </c>
      <c r="S45" s="1"/>
      <c r="T45" s="1"/>
      <c r="U45" s="1"/>
      <c r="W45" s="6">
        <f t="shared" si="11"/>
        <v>8.9382584254284581E-2</v>
      </c>
      <c r="X45" s="6">
        <f t="shared" si="12"/>
        <v>0.10990159578758463</v>
      </c>
      <c r="Y45" s="6">
        <f t="shared" si="13"/>
        <v>0.19928418004186921</v>
      </c>
    </row>
    <row r="46" spans="1:25" x14ac:dyDescent="0.2">
      <c r="A46">
        <f t="shared" si="9"/>
        <v>45</v>
      </c>
      <c r="B46" s="2">
        <f t="shared" si="10"/>
        <v>44508</v>
      </c>
      <c r="C46">
        <f>'311 cov wlz'!D46-'311 cov wlz'!E46+'312 cov nwlz'!D46-'312 cov nwlz'!E46+'321 ncov wlz'!D46-'321 ncov wlz'!E46+'322 ncov nwlz'!D46-'322 ncov nwlz'!E46</f>
        <v>123</v>
      </c>
      <c r="D46" s="1">
        <v>117174</v>
      </c>
      <c r="E46" s="1">
        <f>Oversterfte!C308</f>
        <v>3790</v>
      </c>
      <c r="F46">
        <f>'311 cov wlz'!D46+'312 cov nwlz'!D46+'321 ncov wlz'!D46+'322 ncov nwlz'!D46</f>
        <v>2987</v>
      </c>
      <c r="H46" s="6">
        <v>0.89019944164753095</v>
      </c>
      <c r="I46" s="6">
        <f t="shared" si="15"/>
        <v>0.79421359049570539</v>
      </c>
      <c r="J46" s="1">
        <f t="shared" si="7"/>
        <v>1360.0075800803938</v>
      </c>
      <c r="K46" s="1">
        <f t="shared" si="16"/>
        <v>-1237.0075800803938</v>
      </c>
      <c r="M46">
        <v>2125</v>
      </c>
      <c r="N46" s="1">
        <v>6980.9463926859707</v>
      </c>
      <c r="O46" s="1">
        <f t="shared" si="14"/>
        <v>1330.9065654663161</v>
      </c>
      <c r="P46">
        <v>1188</v>
      </c>
      <c r="Q46" s="1">
        <v>19872.45438584184</v>
      </c>
      <c r="R46" s="1">
        <f t="shared" si="8"/>
        <v>131.4671765556127</v>
      </c>
      <c r="S46" s="1"/>
      <c r="T46" s="1"/>
      <c r="U46" s="1"/>
      <c r="W46" s="6">
        <f t="shared" si="11"/>
        <v>9.5985851151825563E-2</v>
      </c>
      <c r="X46" s="6">
        <f t="shared" si="12"/>
        <v>0.10980055835246905</v>
      </c>
      <c r="Y46" s="6">
        <f t="shared" si="13"/>
        <v>0.20578640950429461</v>
      </c>
    </row>
    <row r="47" spans="1:25" x14ac:dyDescent="0.2">
      <c r="A47">
        <f t="shared" si="9"/>
        <v>46</v>
      </c>
      <c r="B47" s="2">
        <f t="shared" si="10"/>
        <v>44515</v>
      </c>
      <c r="C47">
        <f>'311 cov wlz'!D47-'311 cov wlz'!E47+'312 cov nwlz'!D47-'312 cov nwlz'!E47+'321 ncov wlz'!D47-'321 ncov wlz'!E47+'322 ncov nwlz'!D47-'322 ncov nwlz'!E47</f>
        <v>137</v>
      </c>
      <c r="D47" s="1">
        <v>110107</v>
      </c>
      <c r="E47" s="1">
        <f>Oversterfte!C309</f>
        <v>4000</v>
      </c>
      <c r="F47">
        <f>'311 cov wlz'!D47+'312 cov nwlz'!D47+'321 ncov wlz'!D47+'322 ncov nwlz'!D47</f>
        <v>3199</v>
      </c>
      <c r="H47" s="6">
        <v>0.89029326212299575</v>
      </c>
      <c r="I47" s="6">
        <f t="shared" si="15"/>
        <v>0.798085514376774</v>
      </c>
      <c r="J47" s="1">
        <f t="shared" si="7"/>
        <v>2033.4919339982864</v>
      </c>
      <c r="K47" s="1">
        <f t="shared" si="16"/>
        <v>-1896.4919339982864</v>
      </c>
      <c r="M47">
        <v>2339</v>
      </c>
      <c r="N47" s="1">
        <v>6559.9114518534334</v>
      </c>
      <c r="O47" s="1">
        <f t="shared" si="14"/>
        <v>1825.097345724866</v>
      </c>
      <c r="P47">
        <v>1218</v>
      </c>
      <c r="Q47" s="1">
        <v>18673.906626571486</v>
      </c>
      <c r="R47" s="1">
        <f t="shared" si="8"/>
        <v>361.45312093995778</v>
      </c>
      <c r="S47" s="1"/>
      <c r="T47" s="1"/>
      <c r="U47" s="1"/>
      <c r="W47" s="6">
        <f t="shared" si="11"/>
        <v>9.2207747746221758E-2</v>
      </c>
      <c r="X47" s="6">
        <f t="shared" si="12"/>
        <v>0.10970673787700425</v>
      </c>
      <c r="Y47" s="6">
        <f t="shared" si="13"/>
        <v>0.201914485623226</v>
      </c>
    </row>
    <row r="48" spans="1:25" x14ac:dyDescent="0.2">
      <c r="A48">
        <f t="shared" si="9"/>
        <v>47</v>
      </c>
      <c r="B48" s="2">
        <f t="shared" si="10"/>
        <v>44522</v>
      </c>
      <c r="C48">
        <f>'311 cov wlz'!D48-'311 cov wlz'!E48+'312 cov nwlz'!D48-'312 cov nwlz'!E48+'321 ncov wlz'!D48-'321 ncov wlz'!E48+'322 ncov nwlz'!D48-'322 ncov nwlz'!E48</f>
        <v>137</v>
      </c>
      <c r="D48" s="1">
        <v>268399</v>
      </c>
      <c r="E48" s="1">
        <f>Oversterfte!C310</f>
        <v>4199</v>
      </c>
      <c r="F48">
        <f>'311 cov wlz'!D48+'312 cov nwlz'!D48+'321 ncov wlz'!D48+'322 ncov nwlz'!D48</f>
        <v>3379</v>
      </c>
      <c r="H48" s="6">
        <v>0.89038948825167741</v>
      </c>
      <c r="I48" s="6">
        <f t="shared" si="15"/>
        <v>0.80196573364042001</v>
      </c>
      <c r="J48" s="1">
        <f t="shared" si="7"/>
        <v>2252.5900074267579</v>
      </c>
      <c r="K48" s="1">
        <f t="shared" si="16"/>
        <v>-2115.5900074267579</v>
      </c>
      <c r="M48">
        <v>2426</v>
      </c>
      <c r="N48" s="1">
        <v>98462.962285390997</v>
      </c>
      <c r="O48" s="1">
        <f t="shared" si="14"/>
        <v>1758.452568303491</v>
      </c>
      <c r="P48">
        <v>1274</v>
      </c>
      <c r="Q48" s="1">
        <v>22291.176718315226</v>
      </c>
      <c r="R48" s="1">
        <f t="shared" si="8"/>
        <v>663.6872246285069</v>
      </c>
      <c r="S48" s="1"/>
      <c r="T48" s="1"/>
      <c r="U48" s="1"/>
      <c r="W48" s="6">
        <f t="shared" si="11"/>
        <v>8.8423754611257399E-2</v>
      </c>
      <c r="X48" s="6">
        <f t="shared" si="12"/>
        <v>0.10961051174832259</v>
      </c>
      <c r="Y48" s="6">
        <f t="shared" si="13"/>
        <v>0.19803426635957999</v>
      </c>
    </row>
    <row r="49" spans="1:25" x14ac:dyDescent="0.2">
      <c r="A49">
        <f t="shared" si="9"/>
        <v>48</v>
      </c>
      <c r="B49" s="2">
        <f t="shared" si="10"/>
        <v>44529</v>
      </c>
      <c r="C49">
        <f>'311 cov wlz'!D49-'311 cov wlz'!E49+'312 cov nwlz'!D49-'312 cov nwlz'!E49+'321 ncov wlz'!D49-'321 ncov wlz'!E49+'322 ncov nwlz'!D49-'322 ncov nwlz'!E49</f>
        <v>120</v>
      </c>
      <c r="D49" s="1">
        <v>397774</v>
      </c>
      <c r="E49" s="1">
        <f>Oversterfte!C311</f>
        <v>4401</v>
      </c>
      <c r="F49">
        <f>'311 cov wlz'!D49+'312 cov nwlz'!D49+'321 ncov wlz'!D49+'322 ncov nwlz'!D49</f>
        <v>3515</v>
      </c>
      <c r="H49" s="6">
        <v>0.89038948825167741</v>
      </c>
      <c r="I49" s="6">
        <f t="shared" si="15"/>
        <v>0.80065667868072343</v>
      </c>
      <c r="J49" s="1">
        <f t="shared" si="7"/>
        <v>2112.8667580498536</v>
      </c>
      <c r="K49" s="1">
        <f t="shared" si="16"/>
        <v>-1992.8667580498536</v>
      </c>
      <c r="M49">
        <v>2565</v>
      </c>
      <c r="N49" s="1">
        <v>192659.88499036571</v>
      </c>
      <c r="O49" s="1">
        <f t="shared" si="14"/>
        <v>1369.1101093347052</v>
      </c>
      <c r="P49">
        <v>1337</v>
      </c>
      <c r="Q49" s="1">
        <v>62964.395674495718</v>
      </c>
      <c r="R49" s="1">
        <f t="shared" si="8"/>
        <v>902.78963050384698</v>
      </c>
      <c r="S49" s="1"/>
      <c r="T49" s="1"/>
      <c r="U49" s="1"/>
      <c r="W49" s="6">
        <f t="shared" si="11"/>
        <v>8.9732809570953975E-2</v>
      </c>
      <c r="X49" s="6">
        <f t="shared" si="12"/>
        <v>0.10961051174832259</v>
      </c>
      <c r="Y49" s="6">
        <f t="shared" si="13"/>
        <v>0.19934332131927657</v>
      </c>
    </row>
    <row r="50" spans="1:25" x14ac:dyDescent="0.2">
      <c r="A50">
        <f t="shared" si="9"/>
        <v>49</v>
      </c>
      <c r="B50" s="2">
        <f t="shared" si="10"/>
        <v>44536</v>
      </c>
      <c r="C50">
        <f>'311 cov wlz'!D50-'311 cov wlz'!E50+'312 cov nwlz'!D50-'312 cov nwlz'!E50+'321 ncov wlz'!D50-'321 ncov wlz'!E50+'322 ncov nwlz'!D50-'322 ncov nwlz'!E50</f>
        <v>125</v>
      </c>
      <c r="D50" s="1">
        <v>606367</v>
      </c>
      <c r="E50" s="1">
        <f>Oversterfte!C312</f>
        <v>4387</v>
      </c>
      <c r="F50">
        <f>'311 cov wlz'!D50+'312 cov nwlz'!D50+'321 ncov wlz'!D50+'322 ncov nwlz'!D50</f>
        <v>3512</v>
      </c>
      <c r="H50" s="6">
        <v>0.89064058408750302</v>
      </c>
      <c r="I50" s="6">
        <f t="shared" si="15"/>
        <v>0.8019524433823475</v>
      </c>
      <c r="J50" s="1">
        <f t="shared" si="7"/>
        <v>1526.2741108026155</v>
      </c>
      <c r="K50" s="1">
        <f t="shared" si="16"/>
        <v>-1401.2741108026155</v>
      </c>
      <c r="M50">
        <v>2526</v>
      </c>
      <c r="N50" s="1">
        <v>227578.15002558814</v>
      </c>
      <c r="O50" s="1">
        <f t="shared" si="14"/>
        <v>719.69254946434421</v>
      </c>
      <c r="P50">
        <v>1319</v>
      </c>
      <c r="Q50" s="1">
        <v>193289.92019601277</v>
      </c>
      <c r="R50" s="1">
        <f>(Q51+Q52+Q53+Q54)*P50/2685816</f>
        <v>921.46240838793051</v>
      </c>
      <c r="S50" s="1"/>
      <c r="T50" s="1"/>
      <c r="U50" s="1"/>
      <c r="W50" s="6">
        <f t="shared" si="11"/>
        <v>8.8688140705155516E-2</v>
      </c>
      <c r="X50" s="6">
        <f t="shared" si="12"/>
        <v>0.10935941591249698</v>
      </c>
      <c r="Y50" s="6">
        <f t="shared" si="13"/>
        <v>0.1980475566176525</v>
      </c>
    </row>
    <row r="51" spans="1:25" x14ac:dyDescent="0.2">
      <c r="A51">
        <f t="shared" si="9"/>
        <v>50</v>
      </c>
      <c r="B51" s="2">
        <f t="shared" si="10"/>
        <v>44543</v>
      </c>
      <c r="C51">
        <f>'311 cov wlz'!D51-'311 cov wlz'!E51+'312 cov nwlz'!D51-'312 cov nwlz'!E51+'321 ncov wlz'!D51-'321 ncov wlz'!E51+'322 ncov nwlz'!D51-'322 ncov nwlz'!E51</f>
        <v>99</v>
      </c>
      <c r="D51" s="1">
        <v>915733</v>
      </c>
      <c r="E51" s="1">
        <f>Oversterfte!C313</f>
        <v>4058</v>
      </c>
      <c r="F51">
        <f>'311 cov wlz'!D51+'312 cov nwlz'!D51+'321 ncov wlz'!D51+'322 ncov nwlz'!D51</f>
        <v>3279</v>
      </c>
      <c r="H51" s="6">
        <v>0.89064058408750302</v>
      </c>
      <c r="I51" s="6">
        <f t="shared" si="15"/>
        <v>0.80906068654969499</v>
      </c>
      <c r="J51" s="1">
        <f t="shared" si="7"/>
        <v>923.00970418289853</v>
      </c>
      <c r="K51" s="1">
        <f t="shared" si="16"/>
        <v>-824.00970418289853</v>
      </c>
      <c r="M51">
        <v>2324</v>
      </c>
      <c r="N51" s="1">
        <v>135697.44864263202</v>
      </c>
      <c r="O51" s="1">
        <f t="shared" si="14"/>
        <v>313.30734868535507</v>
      </c>
      <c r="P51">
        <v>1250</v>
      </c>
      <c r="Q51" s="1">
        <v>518496.03078594944</v>
      </c>
      <c r="R51" s="1">
        <f>(Q52+Q53+Q54+Q55)*P51/2685816</f>
        <v>679.17620419948207</v>
      </c>
      <c r="S51" s="1"/>
      <c r="T51" s="1"/>
      <c r="U51" s="1"/>
      <c r="W51" s="6">
        <f t="shared" si="11"/>
        <v>8.1579897537808033E-2</v>
      </c>
      <c r="X51" s="6">
        <f t="shared" si="12"/>
        <v>0.10935941591249698</v>
      </c>
      <c r="Y51" s="6">
        <f t="shared" si="13"/>
        <v>0.19093931345030501</v>
      </c>
    </row>
    <row r="52" spans="1:25" x14ac:dyDescent="0.2">
      <c r="A52">
        <f t="shared" si="9"/>
        <v>51</v>
      </c>
      <c r="B52" s="2">
        <f t="shared" si="10"/>
        <v>44550</v>
      </c>
      <c r="C52">
        <f>'311 cov wlz'!D52-'311 cov wlz'!E52+'312 cov nwlz'!D52-'312 cov nwlz'!E52+'321 ncov wlz'!D52-'321 ncov wlz'!E52+'322 ncov nwlz'!D52-'322 ncov nwlz'!E52</f>
        <v>95</v>
      </c>
      <c r="D52" s="1">
        <v>1294997</v>
      </c>
      <c r="E52" s="1">
        <f>Oversterfte!C314</f>
        <v>3770</v>
      </c>
      <c r="F52">
        <f>'311 cov wlz'!D52+'312 cov nwlz'!D52+'321 ncov wlz'!D52+'322 ncov nwlz'!D52</f>
        <v>3090</v>
      </c>
      <c r="H52" s="6">
        <v>0.89069110280506092</v>
      </c>
      <c r="I52" s="6">
        <f t="shared" si="15"/>
        <v>0.81921754608101716</v>
      </c>
      <c r="J52" s="1">
        <f t="shared" si="7"/>
        <v>508.52021379520789</v>
      </c>
      <c r="K52" s="1">
        <f t="shared" si="16"/>
        <v>-413.52021379520789</v>
      </c>
      <c r="M52">
        <v>2113</v>
      </c>
      <c r="N52" s="1">
        <v>51956.350383448065</v>
      </c>
      <c r="O52" s="1">
        <f t="shared" si="14"/>
        <v>169.38971779064659</v>
      </c>
      <c r="P52">
        <v>1154</v>
      </c>
      <c r="Q52" s="1">
        <v>624419.01511970989</v>
      </c>
      <c r="R52" s="1">
        <f>(Q53+Q54+Q55+Q56)*P52/2685816</f>
        <v>377.40621102140483</v>
      </c>
      <c r="S52" s="1"/>
      <c r="T52" s="1"/>
      <c r="U52" s="1"/>
      <c r="W52" s="6">
        <f t="shared" si="11"/>
        <v>7.1473556724043763E-2</v>
      </c>
      <c r="X52" s="6">
        <f t="shared" si="12"/>
        <v>0.10930889719493908</v>
      </c>
      <c r="Y52" s="6">
        <f t="shared" si="13"/>
        <v>0.18078245391898284</v>
      </c>
    </row>
    <row r="53" spans="1:25" x14ac:dyDescent="0.2">
      <c r="A53">
        <f t="shared" si="9"/>
        <v>52</v>
      </c>
      <c r="B53" s="2">
        <f t="shared" si="10"/>
        <v>44557</v>
      </c>
      <c r="C53">
        <f>'311 cov wlz'!D53-'311 cov wlz'!E53+'312 cov nwlz'!D53-'312 cov nwlz'!E53+'321 ncov wlz'!D53-'321 ncov wlz'!E53+'322 ncov nwlz'!D53-'322 ncov nwlz'!E53</f>
        <v>65</v>
      </c>
      <c r="D53" s="1">
        <v>1626163</v>
      </c>
      <c r="E53" s="1">
        <f>Oversterfte!C315</f>
        <v>3685</v>
      </c>
      <c r="F53">
        <f>'311 cov wlz'!D53+'312 cov nwlz'!D53+'321 ncov wlz'!D53+'322 ncov nwlz'!D53</f>
        <v>3057</v>
      </c>
      <c r="H53" s="6">
        <v>0.89069110280506092</v>
      </c>
      <c r="I53" s="6">
        <f t="shared" si="15"/>
        <v>0.82742385787674033</v>
      </c>
      <c r="J53" s="1">
        <f t="shared" si="7"/>
        <v>261.73139044238326</v>
      </c>
      <c r="K53" s="1">
        <f t="shared" si="16"/>
        <v>-196.73139044238326</v>
      </c>
      <c r="M53">
        <v>2026</v>
      </c>
      <c r="N53" s="1">
        <v>32416.882685077679</v>
      </c>
      <c r="O53" s="1">
        <f t="shared" si="14"/>
        <v>96.747044307318419</v>
      </c>
      <c r="P53">
        <v>1155</v>
      </c>
      <c r="Q53" s="1">
        <v>477352.87551487255</v>
      </c>
      <c r="R53" s="1">
        <f>(Q54+Q55+Q56+Q57)*P53/2685816</f>
        <v>184.68455831890012</v>
      </c>
      <c r="S53" s="1"/>
      <c r="T53" s="1"/>
      <c r="U53" s="1"/>
      <c r="W53" s="6">
        <f t="shared" si="11"/>
        <v>6.3267244928320587E-2</v>
      </c>
      <c r="X53" s="6">
        <f t="shared" si="12"/>
        <v>0.10930889719493908</v>
      </c>
      <c r="Y53" s="6">
        <f t="shared" si="13"/>
        <v>0.17257614212325967</v>
      </c>
    </row>
    <row r="54" spans="1:25" x14ac:dyDescent="0.2">
      <c r="A54">
        <v>1</v>
      </c>
      <c r="B54" s="2">
        <f t="shared" si="10"/>
        <v>44564</v>
      </c>
      <c r="C54">
        <f>'311 cov wlz'!D54-'311 cov wlz'!E54+'312 cov nwlz'!D54-'312 cov nwlz'!E54+'321 ncov wlz'!D54-'321 ncov wlz'!E54+'322 ncov nwlz'!D54-'322 ncov nwlz'!E54</f>
        <v>80</v>
      </c>
      <c r="D54" s="1">
        <v>1887225</v>
      </c>
      <c r="E54" s="1">
        <f>Oversterfte!C316</f>
        <v>3436</v>
      </c>
      <c r="F54">
        <f>'311 cov wlz'!D54+'312 cov nwlz'!D54+'321 ncov wlz'!D54+'322 ncov nwlz'!D54</f>
        <v>2855</v>
      </c>
      <c r="H54" s="6">
        <v>0.89069110280506092</v>
      </c>
      <c r="I54" s="6">
        <f t="shared" si="15"/>
        <v>0.83192105785344261</v>
      </c>
      <c r="J54" s="1">
        <f t="shared" si="7"/>
        <v>129.17143785958061</v>
      </c>
      <c r="K54" s="1">
        <f t="shared" si="16"/>
        <v>-49.171437859580607</v>
      </c>
      <c r="M54">
        <v>1883</v>
      </c>
      <c r="N54" s="1">
        <v>18875.507214541511</v>
      </c>
      <c r="O54" s="1">
        <f t="shared" si="14"/>
        <v>58.793048952939003</v>
      </c>
      <c r="P54">
        <v>1087</v>
      </c>
      <c r="Q54" s="1">
        <v>256061.47952475841</v>
      </c>
      <c r="R54" s="1">
        <f t="shared" ref="R54:R60" si="17">(Q55+Q56+Q57+Q58)*P54/2685816</f>
        <v>80.100970250911118</v>
      </c>
      <c r="W54" s="6">
        <f t="shared" si="11"/>
        <v>5.8770044951618305E-2</v>
      </c>
      <c r="X54" s="6">
        <f t="shared" si="12"/>
        <v>0.10930889719493908</v>
      </c>
      <c r="Y54" s="6">
        <f t="shared" si="13"/>
        <v>0.16807894214655739</v>
      </c>
    </row>
    <row r="55" spans="1:25" x14ac:dyDescent="0.2">
      <c r="A55">
        <f t="shared" ref="A55:A104" si="18">A54+1</f>
        <v>2</v>
      </c>
      <c r="B55" s="2">
        <f t="shared" ref="B55:B104" si="19">B54+7</f>
        <v>44571</v>
      </c>
      <c r="C55">
        <f>'311 cov wlz'!D55-'311 cov wlz'!E55+'312 cov nwlz'!D55-'312 cov nwlz'!E55+'321 ncov wlz'!D55-'321 ncov wlz'!E55+'322 ncov nwlz'!D55-'322 ncov nwlz'!E55</f>
        <v>61</v>
      </c>
      <c r="D55" s="1">
        <v>1134811</v>
      </c>
      <c r="E55" s="1">
        <f>Oversterfte!C317</f>
        <v>3158</v>
      </c>
      <c r="F55">
        <f>'311 cov wlz'!D55+'312 cov nwlz'!D55+'321 ncov wlz'!D55+'322 ncov nwlz'!D55</f>
        <v>2641</v>
      </c>
      <c r="H55" s="6">
        <v>0.89082318564794272</v>
      </c>
      <c r="I55" s="6">
        <f t="shared" si="15"/>
        <v>0.83797600715669573</v>
      </c>
      <c r="J55" s="1">
        <f t="shared" ref="J55:J60" si="20">(O55+R55+U55)*0.93</f>
        <v>79.005135296279448</v>
      </c>
      <c r="K55" s="1">
        <f t="shared" si="16"/>
        <v>-18.005135296279448</v>
      </c>
      <c r="M55">
        <v>1808</v>
      </c>
      <c r="N55" s="1">
        <v>9814.3640008434868</v>
      </c>
      <c r="O55" s="1">
        <f t="shared" si="14"/>
        <v>44.179209111333229</v>
      </c>
      <c r="P55">
        <v>961</v>
      </c>
      <c r="Q55" s="1">
        <v>101480.48268724824</v>
      </c>
      <c r="R55" s="1">
        <f t="shared" si="17"/>
        <v>40.772549271762948</v>
      </c>
      <c r="W55" s="6">
        <f t="shared" si="11"/>
        <v>5.2847178491246982E-2</v>
      </c>
      <c r="X55" s="6">
        <f t="shared" si="12"/>
        <v>0.10917681435205728</v>
      </c>
      <c r="Y55" s="6">
        <f t="shared" si="13"/>
        <v>0.16202399284330427</v>
      </c>
    </row>
    <row r="56" spans="1:25" x14ac:dyDescent="0.2">
      <c r="A56">
        <f t="shared" si="18"/>
        <v>3</v>
      </c>
      <c r="B56" s="2">
        <f t="shared" si="19"/>
        <v>44578</v>
      </c>
      <c r="C56">
        <f>'311 cov wlz'!D56-'311 cov wlz'!E56+'312 cov nwlz'!D56-'312 cov nwlz'!E56+'321 ncov wlz'!D56-'321 ncov wlz'!E56+'322 ncov nwlz'!D56-'322 ncov nwlz'!E56</f>
        <v>61</v>
      </c>
      <c r="D56" s="1">
        <v>469035</v>
      </c>
      <c r="E56" s="1">
        <f>Oversterfte!C318</f>
        <v>3193</v>
      </c>
      <c r="F56">
        <f>'311 cov wlz'!D56+'312 cov nwlz'!D56+'321 ncov wlz'!D56+'322 ncov nwlz'!D56</f>
        <v>2709</v>
      </c>
      <c r="H56" s="6">
        <v>0.89083773170857206</v>
      </c>
      <c r="I56" s="6">
        <f t="shared" si="15"/>
        <v>0.84753366873809588</v>
      </c>
      <c r="J56" s="1">
        <f t="shared" si="20"/>
        <v>63.576848860203206</v>
      </c>
      <c r="K56" s="1">
        <f t="shared" si="16"/>
        <v>-2.5768488602032065</v>
      </c>
      <c r="M56">
        <v>1783</v>
      </c>
      <c r="N56" s="1">
        <v>6124.9309608820731</v>
      </c>
      <c r="O56" s="1">
        <f t="shared" si="14"/>
        <v>37.163650453867376</v>
      </c>
      <c r="P56">
        <v>1011</v>
      </c>
      <c r="Q56" s="1">
        <v>43479.200453940008</v>
      </c>
      <c r="R56" s="1">
        <f t="shared" si="17"/>
        <v>31.198552621619939</v>
      </c>
      <c r="W56" s="6">
        <f t="shared" si="11"/>
        <v>4.3304062970476176E-2</v>
      </c>
      <c r="X56" s="6">
        <f t="shared" si="12"/>
        <v>0.10916226829142794</v>
      </c>
      <c r="Y56" s="6">
        <f t="shared" si="13"/>
        <v>0.15246633126190412</v>
      </c>
    </row>
    <row r="57" spans="1:25" x14ac:dyDescent="0.2">
      <c r="A57">
        <f t="shared" si="18"/>
        <v>4</v>
      </c>
      <c r="B57" s="2">
        <f t="shared" si="19"/>
        <v>44585</v>
      </c>
      <c r="C57">
        <f>'311 cov wlz'!D57-'311 cov wlz'!E57+'312 cov nwlz'!D57-'312 cov nwlz'!E57+'321 ncov wlz'!D57-'321 ncov wlz'!E57+'322 ncov nwlz'!D57-'322 ncov nwlz'!E57</f>
        <v>59</v>
      </c>
      <c r="D57" s="1">
        <v>288519</v>
      </c>
      <c r="E57" s="1">
        <f>Oversterfte!C319</f>
        <v>3203</v>
      </c>
      <c r="F57">
        <f>'311 cov wlz'!D57+'312 cov nwlz'!D57+'321 ncov wlz'!D57+'322 ncov nwlz'!D57</f>
        <v>2745</v>
      </c>
      <c r="H57" s="6">
        <v>0.89094104301500621</v>
      </c>
      <c r="I57" s="6">
        <f t="shared" si="15"/>
        <v>0.85166784698133835</v>
      </c>
      <c r="J57" s="1">
        <f t="shared" si="20"/>
        <v>55.612564691295233</v>
      </c>
      <c r="K57" s="1">
        <f t="shared" si="16"/>
        <v>3.3874353087047666</v>
      </c>
      <c r="M57">
        <v>1862</v>
      </c>
      <c r="N57" s="1">
        <v>5233.5556350952093</v>
      </c>
      <c r="O57" s="1">
        <f t="shared" si="14"/>
        <v>35.199414233998219</v>
      </c>
      <c r="P57">
        <v>982</v>
      </c>
      <c r="Q57" s="1">
        <v>28440.951347763272</v>
      </c>
      <c r="R57" s="1">
        <f t="shared" si="17"/>
        <v>24.599042423308479</v>
      </c>
      <c r="W57" s="6">
        <f t="shared" si="11"/>
        <v>3.9273196033667856E-2</v>
      </c>
      <c r="X57" s="6">
        <f t="shared" si="12"/>
        <v>0.10905895698499379</v>
      </c>
      <c r="Y57" s="6">
        <f t="shared" si="13"/>
        <v>0.14833215301866165</v>
      </c>
    </row>
    <row r="58" spans="1:25" x14ac:dyDescent="0.2">
      <c r="A58">
        <f t="shared" si="18"/>
        <v>5</v>
      </c>
      <c r="B58" s="2">
        <f t="shared" si="19"/>
        <v>44592</v>
      </c>
      <c r="C58">
        <f>'311 cov wlz'!D58-'311 cov wlz'!E58+'312 cov nwlz'!D58-'312 cov nwlz'!E58+'321 ncov wlz'!D58-'321 ncov wlz'!E58+'322 ncov nwlz'!D58-'322 ncov nwlz'!E58</f>
        <v>62</v>
      </c>
      <c r="D58" s="1">
        <v>220642</v>
      </c>
      <c r="E58" s="1">
        <f>Oversterfte!C320</f>
        <v>3287</v>
      </c>
      <c r="F58">
        <f>'311 cov wlz'!D58+'312 cov nwlz'!D58+'321 ncov wlz'!D58+'322 ncov nwlz'!D58</f>
        <v>2775</v>
      </c>
      <c r="H58" s="6">
        <v>0.8910190686696382</v>
      </c>
      <c r="I58" s="6">
        <f t="shared" si="15"/>
        <v>0.84843972038208704</v>
      </c>
      <c r="J58" s="1">
        <f t="shared" si="20"/>
        <v>59.417614785378014</v>
      </c>
      <c r="K58" s="1">
        <f t="shared" si="16"/>
        <v>2.5823852146219863</v>
      </c>
      <c r="M58">
        <v>1839</v>
      </c>
      <c r="N58" s="1">
        <v>5012.7241391966363</v>
      </c>
      <c r="O58" s="1">
        <f t="shared" si="14"/>
        <v>39.296356404410851</v>
      </c>
      <c r="P58">
        <v>991</v>
      </c>
      <c r="Q58" s="1">
        <v>24516.998919899539</v>
      </c>
      <c r="R58" s="1">
        <f t="shared" si="17"/>
        <v>24.59355196696335</v>
      </c>
      <c r="W58" s="6">
        <f t="shared" si="11"/>
        <v>4.2579348287551166E-2</v>
      </c>
      <c r="X58" s="6">
        <f t="shared" si="12"/>
        <v>0.1089809313303618</v>
      </c>
      <c r="Y58" s="6">
        <f t="shared" si="13"/>
        <v>0.15156027961791296</v>
      </c>
    </row>
    <row r="59" spans="1:25" x14ac:dyDescent="0.2">
      <c r="A59">
        <f t="shared" si="18"/>
        <v>6</v>
      </c>
      <c r="B59" s="2">
        <f t="shared" si="19"/>
        <v>44599</v>
      </c>
      <c r="C59">
        <f>'311 cov wlz'!D59-'311 cov wlz'!E59+'312 cov nwlz'!D59-'312 cov nwlz'!E59+'321 ncov wlz'!D59-'321 ncov wlz'!E59+'322 ncov nwlz'!D59-'322 ncov nwlz'!E59</f>
        <v>55</v>
      </c>
      <c r="D59" s="1">
        <v>134939</v>
      </c>
      <c r="E59" s="1">
        <f>Oversterfte!C321</f>
        <v>3256</v>
      </c>
      <c r="F59">
        <f>'311 cov wlz'!D59+'312 cov nwlz'!D59+'321 ncov wlz'!D59+'322 ncov nwlz'!D59</f>
        <v>2762</v>
      </c>
      <c r="H59" s="6">
        <v>0.89105168342241869</v>
      </c>
      <c r="I59" s="6">
        <f t="shared" si="15"/>
        <v>0.84516028098435458</v>
      </c>
      <c r="J59" s="1">
        <f t="shared" si="20"/>
        <v>94.323069104345436</v>
      </c>
      <c r="K59" s="1">
        <f t="shared" si="16"/>
        <v>-39.323069104345436</v>
      </c>
      <c r="M59">
        <v>1871</v>
      </c>
      <c r="N59" s="1">
        <v>4121.8090062640431</v>
      </c>
      <c r="O59" s="1">
        <f t="shared" si="14"/>
        <v>64.667203782428601</v>
      </c>
      <c r="P59">
        <v>999</v>
      </c>
      <c r="Q59" s="1">
        <v>17514.53002229863</v>
      </c>
      <c r="R59" s="1">
        <f t="shared" si="17"/>
        <v>36.755451168480462</v>
      </c>
      <c r="W59" s="6">
        <f>H59-I59</f>
        <v>4.5891402438064111E-2</v>
      </c>
      <c r="X59" s="6">
        <f t="shared" si="12"/>
        <v>0.10894831657758131</v>
      </c>
      <c r="Y59" s="6">
        <f t="shared" si="13"/>
        <v>0.15483971901564542</v>
      </c>
    </row>
    <row r="60" spans="1:25" x14ac:dyDescent="0.2">
      <c r="A60">
        <f t="shared" si="18"/>
        <v>7</v>
      </c>
      <c r="B60" s="2">
        <f t="shared" si="19"/>
        <v>44606</v>
      </c>
      <c r="C60">
        <f>'311 cov wlz'!D60-'311 cov wlz'!E60+'312 cov nwlz'!D60-'312 cov nwlz'!E60+'321 ncov wlz'!D60-'321 ncov wlz'!E60+'322 ncov nwlz'!D60-'322 ncov nwlz'!E60</f>
        <v>56</v>
      </c>
      <c r="D60" s="1">
        <v>72749</v>
      </c>
      <c r="E60" s="1">
        <f>Oversterfte!C322</f>
        <v>3378</v>
      </c>
      <c r="F60">
        <f>'311 cov wlz'!D60+'312 cov nwlz'!D60+'321 ncov wlz'!D60+'322 ncov nwlz'!D60</f>
        <v>2837</v>
      </c>
      <c r="H60" s="6">
        <v>0.89105408907563555</v>
      </c>
      <c r="I60" s="6">
        <f t="shared" si="15"/>
        <v>0.84627877023525344</v>
      </c>
      <c r="J60" s="1">
        <f t="shared" si="20"/>
        <v>161.59059270148191</v>
      </c>
      <c r="K60" s="1">
        <f t="shared" si="16"/>
        <v>-105.59059270148191</v>
      </c>
      <c r="M60">
        <v>1962</v>
      </c>
      <c r="N60" s="1">
        <v>3112.3959380592951</v>
      </c>
      <c r="O60" s="1">
        <f t="shared" si="14"/>
        <v>111.79302625566132</v>
      </c>
      <c r="P60">
        <v>1042</v>
      </c>
      <c r="Q60" s="1">
        <v>12409.390934557621</v>
      </c>
      <c r="R60" s="1">
        <f t="shared" si="17"/>
        <v>61.960299229803105</v>
      </c>
      <c r="W60" s="6">
        <f t="shared" ref="W60:W105" si="21">H60-I60</f>
        <v>4.4775318840382106E-2</v>
      </c>
      <c r="X60" s="6">
        <f t="shared" si="12"/>
        <v>0.10894591092436445</v>
      </c>
      <c r="Y60" s="6">
        <f t="shared" si="13"/>
        <v>0.15372122976474656</v>
      </c>
    </row>
    <row r="61" spans="1:25" x14ac:dyDescent="0.2">
      <c r="A61">
        <f t="shared" si="18"/>
        <v>8</v>
      </c>
      <c r="B61" s="2">
        <f t="shared" si="19"/>
        <v>44613</v>
      </c>
      <c r="C61">
        <f>'311 cov wlz'!D61-'311 cov wlz'!E61+'312 cov nwlz'!D61-'312 cov nwlz'!E61+'321 ncov wlz'!D61-'321 ncov wlz'!E61+'322 ncov nwlz'!D61-'322 ncov nwlz'!E61</f>
        <v>47</v>
      </c>
      <c r="D61" s="1">
        <v>57933</v>
      </c>
      <c r="E61" s="1">
        <f>Oversterfte!C323</f>
        <v>3353</v>
      </c>
      <c r="F61">
        <f>'311 cov wlz'!D61+'312 cov nwlz'!D61+'321 ncov wlz'!D61+'322 ncov nwlz'!D61</f>
        <v>2874</v>
      </c>
      <c r="H61" s="6">
        <v>0.8911297090770508</v>
      </c>
      <c r="I61" s="6">
        <f t="shared" si="15"/>
        <v>0.8529732658443645</v>
      </c>
      <c r="J61" s="1">
        <f t="shared" ref="J61:J104" si="22">(O61+R61+U61)*0.93</f>
        <v>234.04838894576937</v>
      </c>
      <c r="K61" s="1">
        <f t="shared" si="16"/>
        <v>-187.04838894576937</v>
      </c>
      <c r="M61">
        <v>1925</v>
      </c>
      <c r="N61" s="1">
        <v>3607.1933337191135</v>
      </c>
      <c r="O61" s="1">
        <f t="shared" si="14"/>
        <v>164.08126562135601</v>
      </c>
      <c r="P61">
        <v>1035</v>
      </c>
      <c r="Q61" s="1">
        <v>12838.613448295817</v>
      </c>
      <c r="R61" s="1">
        <f t="shared" ref="R61:R104" si="23">(Q62+Q63+Q64+Q65)*P61/2685816</f>
        <v>87.583668728933603</v>
      </c>
      <c r="W61" s="6">
        <f t="shared" si="21"/>
        <v>3.8156443232686299E-2</v>
      </c>
      <c r="X61" s="6">
        <f t="shared" si="12"/>
        <v>0.1088702909229492</v>
      </c>
      <c r="Y61" s="6">
        <f t="shared" si="13"/>
        <v>0.1470267341556355</v>
      </c>
    </row>
    <row r="62" spans="1:25" x14ac:dyDescent="0.2">
      <c r="A62">
        <f t="shared" si="18"/>
        <v>9</v>
      </c>
      <c r="B62" s="2">
        <f t="shared" si="19"/>
        <v>44620</v>
      </c>
      <c r="C62">
        <f>'311 cov wlz'!D62-'311 cov wlz'!E62+'312 cov nwlz'!D62-'312 cov nwlz'!E62+'321 ncov wlz'!D62-'321 ncov wlz'!E62+'322 ncov nwlz'!D62-'322 ncov nwlz'!E62</f>
        <v>45</v>
      </c>
      <c r="D62" s="1">
        <v>85689</v>
      </c>
      <c r="E62" s="1">
        <f>Oversterfte!C324</f>
        <v>3234</v>
      </c>
      <c r="F62">
        <f>'311 cov wlz'!D62+'312 cov nwlz'!D62+'321 ncov wlz'!D62+'322 ncov nwlz'!D62</f>
        <v>2774</v>
      </c>
      <c r="H62" s="6">
        <v>0.89113211473026777</v>
      </c>
      <c r="I62" s="6">
        <f t="shared" si="15"/>
        <v>0.85672492930217503</v>
      </c>
      <c r="J62" s="1">
        <f t="shared" si="22"/>
        <v>282.55473375114201</v>
      </c>
      <c r="K62" s="1">
        <f t="shared" si="16"/>
        <v>-237.55473375114201</v>
      </c>
      <c r="M62">
        <v>1868</v>
      </c>
      <c r="N62" s="1">
        <v>7079.385603675657</v>
      </c>
      <c r="O62" s="1">
        <f t="shared" si="14"/>
        <v>199.83128632444172</v>
      </c>
      <c r="P62">
        <v>958</v>
      </c>
      <c r="Q62" s="1">
        <v>23891.103707564027</v>
      </c>
      <c r="R62" s="1">
        <f t="shared" si="23"/>
        <v>103.99100803162496</v>
      </c>
      <c r="W62" s="6">
        <f t="shared" si="21"/>
        <v>3.4407185428092735E-2</v>
      </c>
      <c r="X62" s="6">
        <f t="shared" si="12"/>
        <v>0.10886788526973223</v>
      </c>
      <c r="Y62" s="6">
        <f t="shared" si="13"/>
        <v>0.14327507069782497</v>
      </c>
    </row>
    <row r="63" spans="1:25" x14ac:dyDescent="0.2">
      <c r="A63">
        <f t="shared" si="18"/>
        <v>10</v>
      </c>
      <c r="B63" s="2">
        <f t="shared" si="19"/>
        <v>44627</v>
      </c>
      <c r="C63">
        <f>'311 cov wlz'!D63-'311 cov wlz'!E63+'312 cov nwlz'!D63-'312 cov nwlz'!E63+'321 ncov wlz'!D63-'321 ncov wlz'!E63+'322 ncov nwlz'!D63-'322 ncov nwlz'!E63</f>
        <v>46</v>
      </c>
      <c r="D63" s="1">
        <v>190818</v>
      </c>
      <c r="E63" s="1">
        <f>Oversterfte!C325</f>
        <v>3389</v>
      </c>
      <c r="F63">
        <f>'311 cov wlz'!D63+'312 cov nwlz'!D63+'321 ncov wlz'!D63+'322 ncov nwlz'!D63</f>
        <v>2895</v>
      </c>
      <c r="H63" s="6">
        <v>0.89116472948304781</v>
      </c>
      <c r="I63" s="6">
        <f t="shared" si="15"/>
        <v>0.85600160168482686</v>
      </c>
      <c r="J63" s="1">
        <f t="shared" si="22"/>
        <v>294.90917601060869</v>
      </c>
      <c r="K63" s="1">
        <f t="shared" si="16"/>
        <v>-248.90917601060869</v>
      </c>
      <c r="M63">
        <v>1931</v>
      </c>
      <c r="N63" s="1">
        <v>15187.589417103582</v>
      </c>
      <c r="O63" s="1">
        <f t="shared" si="14"/>
        <v>204.70749189635629</v>
      </c>
      <c r="P63">
        <v>1005</v>
      </c>
      <c r="Q63" s="1">
        <v>49678.087941137594</v>
      </c>
      <c r="R63" s="1">
        <f t="shared" si="23"/>
        <v>112.39914897526594</v>
      </c>
      <c r="W63" s="6">
        <f t="shared" si="21"/>
        <v>3.516312779822095E-2</v>
      </c>
      <c r="X63" s="6">
        <f t="shared" si="12"/>
        <v>0.10883527051695219</v>
      </c>
      <c r="Y63" s="6">
        <f t="shared" si="13"/>
        <v>0.14399839831517314</v>
      </c>
    </row>
    <row r="64" spans="1:25" x14ac:dyDescent="0.2">
      <c r="A64">
        <f t="shared" si="18"/>
        <v>11</v>
      </c>
      <c r="B64" s="2">
        <f t="shared" si="19"/>
        <v>44634</v>
      </c>
      <c r="C64">
        <f>'311 cov wlz'!D64-'311 cov wlz'!E64+'312 cov nwlz'!D64-'312 cov nwlz'!E64+'321 ncov wlz'!D64-'321 ncov wlz'!E64+'322 ncov nwlz'!D64-'322 ncov nwlz'!E64</f>
        <v>60</v>
      </c>
      <c r="D64" s="1">
        <v>295418</v>
      </c>
      <c r="E64" s="1">
        <f>Oversterfte!C326</f>
        <v>3607</v>
      </c>
      <c r="F64">
        <f>'311 cov wlz'!D64+'312 cov nwlz'!D64+'321 ncov wlz'!D64+'322 ncov nwlz'!D64</f>
        <v>3094</v>
      </c>
      <c r="H64" s="6">
        <v>0.89116713513626522</v>
      </c>
      <c r="I64" s="6">
        <f t="shared" si="15"/>
        <v>0.85691944173368051</v>
      </c>
      <c r="J64" s="1">
        <f t="shared" si="22"/>
        <v>272.2699668833194</v>
      </c>
      <c r="K64" s="1">
        <f t="shared" si="16"/>
        <v>-212.2699668833194</v>
      </c>
      <c r="M64">
        <v>2070</v>
      </c>
      <c r="N64" s="1">
        <v>21911.994332861072</v>
      </c>
      <c r="O64" s="1">
        <f t="shared" si="14"/>
        <v>183.85459374725454</v>
      </c>
      <c r="P64">
        <v>1121</v>
      </c>
      <c r="Q64" s="1">
        <v>73298.493402227963</v>
      </c>
      <c r="R64" s="1">
        <f t="shared" si="23"/>
        <v>108.90881150362654</v>
      </c>
      <c r="W64" s="6">
        <f t="shared" si="21"/>
        <v>3.4247693402584711E-2</v>
      </c>
      <c r="X64" s="6">
        <f t="shared" si="12"/>
        <v>0.10883286486373478</v>
      </c>
      <c r="Y64" s="6">
        <f t="shared" si="13"/>
        <v>0.14308055826631949</v>
      </c>
    </row>
    <row r="65" spans="1:25" x14ac:dyDescent="0.2">
      <c r="A65">
        <f t="shared" si="18"/>
        <v>12</v>
      </c>
      <c r="B65" s="2">
        <f t="shared" si="19"/>
        <v>44641</v>
      </c>
      <c r="C65">
        <f>'311 cov wlz'!D65-'311 cov wlz'!E65+'312 cov nwlz'!D65-'312 cov nwlz'!E65+'321 ncov wlz'!D65-'321 ncov wlz'!E65+'322 ncov nwlz'!D65-'322 ncov nwlz'!E65</f>
        <v>57</v>
      </c>
      <c r="D65" s="1">
        <v>349558</v>
      </c>
      <c r="E65" s="1">
        <f>Oversterfte!C327</f>
        <v>3631</v>
      </c>
      <c r="F65">
        <f>'311 cov wlz'!D65+'312 cov nwlz'!D65+'321 ncov wlz'!D65+'322 ncov nwlz'!D65</f>
        <v>3115</v>
      </c>
      <c r="H65" s="6">
        <v>0.89123542603670192</v>
      </c>
      <c r="I65" s="6">
        <f t="shared" si="15"/>
        <v>0.85835569827583424</v>
      </c>
      <c r="J65" s="1">
        <f t="shared" si="22"/>
        <v>195.21756994113949</v>
      </c>
      <c r="K65" s="1">
        <f t="shared" si="16"/>
        <v>-138.21756994113949</v>
      </c>
      <c r="M65">
        <v>2112</v>
      </c>
      <c r="N65" s="1">
        <v>27305.99600078673</v>
      </c>
      <c r="O65" s="1">
        <f t="shared" si="14"/>
        <v>128.82635298011462</v>
      </c>
      <c r="P65">
        <v>1081</v>
      </c>
      <c r="Q65" s="1">
        <v>80411.173703533728</v>
      </c>
      <c r="R65" s="1">
        <f t="shared" si="23"/>
        <v>81.085012547992321</v>
      </c>
      <c r="W65" s="6">
        <f t="shared" si="21"/>
        <v>3.2879727760867672E-2</v>
      </c>
      <c r="X65" s="6">
        <f t="shared" si="12"/>
        <v>0.10876457396329808</v>
      </c>
      <c r="Y65" s="6">
        <f t="shared" si="13"/>
        <v>0.14164430172416576</v>
      </c>
    </row>
    <row r="66" spans="1:25" x14ac:dyDescent="0.2">
      <c r="A66">
        <f t="shared" si="18"/>
        <v>13</v>
      </c>
      <c r="B66" s="2">
        <f t="shared" si="19"/>
        <v>44648</v>
      </c>
      <c r="C66">
        <f>'311 cov wlz'!D66-'311 cov wlz'!E66+'312 cov nwlz'!D66-'312 cov nwlz'!E66+'321 ncov wlz'!D66-'321 ncov wlz'!E66+'322 ncov nwlz'!D66-'322 ncov nwlz'!E66</f>
        <v>52</v>
      </c>
      <c r="D66" s="1">
        <v>383544</v>
      </c>
      <c r="E66" s="1">
        <f>Oversterfte!C328</f>
        <v>3568</v>
      </c>
      <c r="F66">
        <f>'311 cov wlz'!D66+'312 cov nwlz'!D66+'321 ncov wlz'!D66+'322 ncov nwlz'!D66</f>
        <v>3068</v>
      </c>
      <c r="H66" s="6">
        <v>0.89124275513768025</v>
      </c>
      <c r="I66" s="6">
        <f t="shared" si="15"/>
        <v>0.8629368010381715</v>
      </c>
      <c r="J66" s="1">
        <f t="shared" si="22"/>
        <v>109.69335965051118</v>
      </c>
      <c r="K66" s="1">
        <f t="shared" si="16"/>
        <v>-57.693359650511184</v>
      </c>
      <c r="M66">
        <v>2073</v>
      </c>
      <c r="N66" s="1">
        <v>25311.072508425616</v>
      </c>
      <c r="O66" s="1">
        <f t="shared" ref="O66:O97" si="24">(N67+N68+N69+N70)*M66/838661</f>
        <v>69.471798057311958</v>
      </c>
      <c r="P66">
        <v>1040</v>
      </c>
      <c r="Q66" s="1">
        <v>88157.874626865669</v>
      </c>
      <c r="R66" s="1">
        <f t="shared" si="23"/>
        <v>48.478051029259206</v>
      </c>
      <c r="W66" s="6">
        <f t="shared" si="21"/>
        <v>2.8305954099508757E-2</v>
      </c>
      <c r="X66" s="6">
        <f t="shared" si="12"/>
        <v>0.10875724486231975</v>
      </c>
      <c r="Y66" s="6">
        <f t="shared" si="13"/>
        <v>0.1370631989618285</v>
      </c>
    </row>
    <row r="67" spans="1:25" x14ac:dyDescent="0.2">
      <c r="A67">
        <f t="shared" si="18"/>
        <v>14</v>
      </c>
      <c r="B67" s="2">
        <f t="shared" si="19"/>
        <v>44655</v>
      </c>
      <c r="C67">
        <f>'311 cov wlz'!D67-'311 cov wlz'!E67+'312 cov nwlz'!D67-'312 cov nwlz'!E67+'321 ncov wlz'!D67-'321 ncov wlz'!E67+'322 ncov nwlz'!D67-'322 ncov nwlz'!E67</f>
        <v>40</v>
      </c>
      <c r="D67" s="1">
        <v>320757</v>
      </c>
      <c r="E67" s="1">
        <f>Oversterfte!C329</f>
        <v>3575</v>
      </c>
      <c r="F67">
        <f>'311 cov wlz'!D67+'312 cov nwlz'!D67+'321 ncov wlz'!D67+'322 ncov nwlz'!D67</f>
        <v>3125</v>
      </c>
      <c r="H67" s="6">
        <v>0.89124516079089722</v>
      </c>
      <c r="I67" s="6">
        <f t="shared" ref="I67:I98" si="25">(0.5*F67/E67+0.25*(F66/E66+F68/E68))</f>
        <v>0.87117037417298371</v>
      </c>
      <c r="J67" s="1">
        <f t="shared" si="22"/>
        <v>62.499004582396402</v>
      </c>
      <c r="K67" s="1">
        <f t="shared" ref="K67:K98" si="26">C67-J67</f>
        <v>-22.499004582396402</v>
      </c>
      <c r="M67">
        <v>2085</v>
      </c>
      <c r="N67" s="1">
        <v>14378.337396813207</v>
      </c>
      <c r="O67" s="1">
        <f t="shared" si="24"/>
        <v>37.502596303275944</v>
      </c>
      <c r="P67">
        <v>1070</v>
      </c>
      <c r="Q67" s="1">
        <v>58513.983346131696</v>
      </c>
      <c r="R67" s="1">
        <f t="shared" si="23"/>
        <v>29.700634430483625</v>
      </c>
      <c r="W67" s="6">
        <f t="shared" si="21"/>
        <v>2.0074786617913509E-2</v>
      </c>
      <c r="X67" s="6">
        <f t="shared" si="12"/>
        <v>0.10875483920910278</v>
      </c>
      <c r="Y67" s="6">
        <f t="shared" si="13"/>
        <v>0.12882962582701629</v>
      </c>
    </row>
    <row r="68" spans="1:25" x14ac:dyDescent="0.2">
      <c r="A68">
        <f t="shared" si="18"/>
        <v>15</v>
      </c>
      <c r="B68" s="2">
        <f t="shared" si="19"/>
        <v>44662</v>
      </c>
      <c r="C68">
        <f>'311 cov wlz'!D68-'311 cov wlz'!E68+'312 cov nwlz'!D68-'312 cov nwlz'!E68+'321 ncov wlz'!D68-'321 ncov wlz'!E68+'322 ncov nwlz'!D68-'322 ncov nwlz'!E68</f>
        <v>49</v>
      </c>
      <c r="D68" s="1">
        <v>235594</v>
      </c>
      <c r="E68" s="1">
        <f>Oversterfte!C330</f>
        <v>3516</v>
      </c>
      <c r="F68">
        <f>'311 cov wlz'!D68+'312 cov nwlz'!D68+'321 ncov wlz'!D68+'322 ncov nwlz'!D68</f>
        <v>3082</v>
      </c>
      <c r="H68" s="6">
        <v>0.89124756644411429</v>
      </c>
      <c r="I68" s="6">
        <f t="shared" si="25"/>
        <v>0.87760186080314162</v>
      </c>
      <c r="J68" s="1">
        <f t="shared" si="22"/>
        <v>37.219479452052724</v>
      </c>
      <c r="K68" s="1">
        <f t="shared" si="26"/>
        <v>11.780520547947276</v>
      </c>
      <c r="M68">
        <v>2059</v>
      </c>
      <c r="N68" s="1">
        <v>7493.3271599967793</v>
      </c>
      <c r="O68" s="1">
        <f t="shared" si="24"/>
        <v>22.121920904763858</v>
      </c>
      <c r="P68">
        <v>1021</v>
      </c>
      <c r="Q68" s="1">
        <v>33852.765359529752</v>
      </c>
      <c r="R68" s="1">
        <f t="shared" si="23"/>
        <v>17.899024742604666</v>
      </c>
      <c r="W68" s="6">
        <f t="shared" si="21"/>
        <v>1.3645705640972672E-2</v>
      </c>
      <c r="X68" s="6">
        <f t="shared" si="12"/>
        <v>0.10875243355588571</v>
      </c>
      <c r="Y68" s="6">
        <f t="shared" si="13"/>
        <v>0.12239813919685838</v>
      </c>
    </row>
    <row r="69" spans="1:25" x14ac:dyDescent="0.2">
      <c r="A69">
        <f t="shared" si="18"/>
        <v>16</v>
      </c>
      <c r="B69" s="2">
        <f t="shared" si="19"/>
        <v>44669</v>
      </c>
      <c r="C69">
        <f>'311 cov wlz'!D69-'311 cov wlz'!E69+'312 cov nwlz'!D69-'312 cov nwlz'!E69+'321 ncov wlz'!D69-'321 ncov wlz'!E69+'322 ncov nwlz'!D69-'322 ncov nwlz'!E69</f>
        <v>33</v>
      </c>
      <c r="D69" s="1">
        <v>180870</v>
      </c>
      <c r="E69" s="1">
        <f>Oversterfte!C331</f>
        <v>3235</v>
      </c>
      <c r="F69">
        <f>'311 cov wlz'!D69+'312 cov nwlz'!D69+'321 ncov wlz'!D69+'322 ncov nwlz'!D69</f>
        <v>2857</v>
      </c>
      <c r="H69" s="6">
        <v>0.89126419757314956</v>
      </c>
      <c r="I69" s="6">
        <f t="shared" si="25"/>
        <v>0.88270993790537067</v>
      </c>
      <c r="J69" s="1">
        <f t="shared" si="22"/>
        <v>23.586089817715667</v>
      </c>
      <c r="K69" s="1">
        <f t="shared" si="26"/>
        <v>9.413910182284333</v>
      </c>
      <c r="M69">
        <v>1878</v>
      </c>
      <c r="N69" s="1">
        <v>3973.3415411355736</v>
      </c>
      <c r="O69" s="1">
        <f t="shared" si="24"/>
        <v>13.892056026156279</v>
      </c>
      <c r="P69">
        <v>933</v>
      </c>
      <c r="Q69" s="1">
        <v>20936.453505214369</v>
      </c>
      <c r="R69" s="1">
        <f t="shared" si="23"/>
        <v>11.469330874613252</v>
      </c>
      <c r="W69" s="6">
        <f t="shared" si="21"/>
        <v>8.5542596677788962E-3</v>
      </c>
      <c r="X69" s="6">
        <f t="shared" si="12"/>
        <v>0.10873580242685044</v>
      </c>
      <c r="Y69" s="6">
        <f t="shared" si="13"/>
        <v>0.11729006209462933</v>
      </c>
    </row>
    <row r="70" spans="1:25" x14ac:dyDescent="0.2">
      <c r="A70">
        <f t="shared" si="18"/>
        <v>17</v>
      </c>
      <c r="B70" s="2">
        <f t="shared" si="19"/>
        <v>44676</v>
      </c>
      <c r="C70">
        <f>'311 cov wlz'!D70-'311 cov wlz'!E70+'312 cov nwlz'!D70-'312 cov nwlz'!E70+'321 ncov wlz'!D70-'321 ncov wlz'!E70+'322 ncov nwlz'!D70-'322 ncov nwlz'!E70</f>
        <v>31</v>
      </c>
      <c r="D70" s="1">
        <v>110041</v>
      </c>
      <c r="E70" s="1">
        <f>Oversterfte!C332</f>
        <v>3142</v>
      </c>
      <c r="F70">
        <f>'311 cov wlz'!D70+'312 cov nwlz'!D70+'321 ncov wlz'!D70+'322 ncov nwlz'!D70</f>
        <v>2790</v>
      </c>
      <c r="H70" s="6">
        <v>0.89128948322495161</v>
      </c>
      <c r="I70" s="6">
        <f t="shared" si="25"/>
        <v>0.88904590723266019</v>
      </c>
      <c r="J70" s="1">
        <f t="shared" si="22"/>
        <v>17.70628897744043</v>
      </c>
      <c r="K70" s="1">
        <f t="shared" si="26"/>
        <v>13.29371102255957</v>
      </c>
      <c r="M70">
        <v>1829</v>
      </c>
      <c r="N70" s="1">
        <v>2260.7766471308046</v>
      </c>
      <c r="O70" s="1">
        <f t="shared" si="24"/>
        <v>10.355263555836515</v>
      </c>
      <c r="P70">
        <v>931</v>
      </c>
      <c r="Q70" s="1">
        <v>11892.110388355768</v>
      </c>
      <c r="R70" s="1">
        <f t="shared" si="23"/>
        <v>8.6837568500134079</v>
      </c>
      <c r="W70" s="6">
        <f t="shared" si="21"/>
        <v>2.2435759922914134E-3</v>
      </c>
      <c r="X70" s="6">
        <f t="shared" si="12"/>
        <v>0.10871051677504839</v>
      </c>
      <c r="Y70" s="6">
        <f t="shared" si="13"/>
        <v>0.11095409276733981</v>
      </c>
    </row>
    <row r="71" spans="1:25" x14ac:dyDescent="0.2">
      <c r="A71">
        <f t="shared" si="18"/>
        <v>18</v>
      </c>
      <c r="B71" s="2">
        <f t="shared" si="19"/>
        <v>44683</v>
      </c>
      <c r="C71">
        <f>'311 cov wlz'!D71-'311 cov wlz'!E71+'312 cov nwlz'!D71-'312 cov nwlz'!E71+'321 ncov wlz'!D71-'321 ncov wlz'!E71+'322 ncov nwlz'!D71-'322 ncov nwlz'!E71</f>
        <v>25</v>
      </c>
      <c r="D71" s="1">
        <v>84547</v>
      </c>
      <c r="E71" s="1">
        <f>Oversterfte!C333</f>
        <v>3129</v>
      </c>
      <c r="F71">
        <f>'311 cov wlz'!D71+'312 cov nwlz'!D71+'321 ncov wlz'!D71+'322 ncov nwlz'!D71</f>
        <v>2807</v>
      </c>
      <c r="H71" s="6">
        <v>0.89129188887816857</v>
      </c>
      <c r="I71" s="6">
        <f t="shared" si="25"/>
        <v>0.88960791594531918</v>
      </c>
      <c r="J71" s="1">
        <f t="shared" si="22"/>
        <v>14.935810001603816</v>
      </c>
      <c r="K71" s="1">
        <f t="shared" si="26"/>
        <v>10.064189998396184</v>
      </c>
      <c r="M71">
        <v>1730</v>
      </c>
      <c r="N71" s="1">
        <v>1357.4299123132025</v>
      </c>
      <c r="O71" s="1">
        <f t="shared" si="24"/>
        <v>8.6268122444069473</v>
      </c>
      <c r="P71">
        <v>973</v>
      </c>
      <c r="Q71" s="1">
        <v>7870.48304927751</v>
      </c>
      <c r="R71" s="1">
        <f t="shared" si="23"/>
        <v>7.4331985100057585</v>
      </c>
      <c r="W71" s="6">
        <f t="shared" si="21"/>
        <v>1.6839729328493869E-3</v>
      </c>
      <c r="X71" s="6">
        <f t="shared" si="12"/>
        <v>0.10870811112183143</v>
      </c>
      <c r="Y71" s="6">
        <f t="shared" si="13"/>
        <v>0.11039208405468082</v>
      </c>
    </row>
    <row r="72" spans="1:25" x14ac:dyDescent="0.2">
      <c r="A72">
        <f t="shared" si="18"/>
        <v>19</v>
      </c>
      <c r="B72" s="2">
        <f t="shared" si="19"/>
        <v>44690</v>
      </c>
      <c r="C72">
        <f>'311 cov wlz'!D72-'311 cov wlz'!E72+'312 cov nwlz'!D72-'312 cov nwlz'!E72+'321 ncov wlz'!D72-'321 ncov wlz'!E72+'322 ncov nwlz'!D72-'322 ncov nwlz'!E72</f>
        <v>31</v>
      </c>
      <c r="D72" s="1">
        <v>65697</v>
      </c>
      <c r="E72" s="1">
        <f>Oversterfte!C334</f>
        <v>3128</v>
      </c>
      <c r="F72">
        <f>'311 cov wlz'!D72+'312 cov nwlz'!D72+'321 ncov wlz'!D72+'322 ncov nwlz'!D72</f>
        <v>2741</v>
      </c>
      <c r="H72" s="6">
        <v>0.89129921797914691</v>
      </c>
      <c r="I72" s="6">
        <f t="shared" si="25"/>
        <v>0.88371709120035624</v>
      </c>
      <c r="J72" s="1">
        <f t="shared" si="22"/>
        <v>12.251655475234381</v>
      </c>
      <c r="K72" s="1">
        <f t="shared" si="26"/>
        <v>18.748344524765621</v>
      </c>
      <c r="M72">
        <v>1696</v>
      </c>
      <c r="N72" s="1">
        <v>1419.0358274972355</v>
      </c>
      <c r="O72" s="1">
        <f t="shared" si="24"/>
        <v>6.5913713635512563</v>
      </c>
      <c r="P72">
        <v>1021</v>
      </c>
      <c r="Q72" s="1">
        <v>6385.6612237375602</v>
      </c>
      <c r="R72" s="1">
        <f t="shared" si="23"/>
        <v>6.582451728098615</v>
      </c>
      <c r="W72" s="6">
        <f t="shared" si="21"/>
        <v>7.5821267787906654E-3</v>
      </c>
      <c r="X72" s="6">
        <f t="shared" si="12"/>
        <v>0.10870078202085309</v>
      </c>
      <c r="Y72" s="6">
        <f t="shared" si="13"/>
        <v>0.11628290879964376</v>
      </c>
    </row>
    <row r="73" spans="1:25" x14ac:dyDescent="0.2">
      <c r="A73">
        <f t="shared" si="18"/>
        <v>20</v>
      </c>
      <c r="B73" s="2">
        <f t="shared" si="19"/>
        <v>44697</v>
      </c>
      <c r="C73">
        <f>'311 cov wlz'!D73-'311 cov wlz'!E73+'312 cov nwlz'!D73-'312 cov nwlz'!E73+'321 ncov wlz'!D73-'321 ncov wlz'!E73+'322 ncov nwlz'!D73-'322 ncov nwlz'!E73</f>
        <v>22</v>
      </c>
      <c r="D73" s="1">
        <v>71612</v>
      </c>
      <c r="E73" s="1">
        <f>Oversterfte!C335</f>
        <v>3058</v>
      </c>
      <c r="F73">
        <f>'311 cov wlz'!D73+'312 cov nwlz'!D73+'321 ncov wlz'!D73+'322 ncov nwlz'!D73</f>
        <v>2707</v>
      </c>
      <c r="H73" s="6">
        <v>0.89129921797914691</v>
      </c>
      <c r="I73" s="6">
        <f t="shared" si="25"/>
        <v>0.88388245769338769</v>
      </c>
      <c r="J73" s="1">
        <f t="shared" si="22"/>
        <v>11.073927698660123</v>
      </c>
      <c r="K73" s="1">
        <f t="shared" si="26"/>
        <v>10.926072301339877</v>
      </c>
      <c r="M73">
        <v>1731</v>
      </c>
      <c r="N73" s="1">
        <v>1166.5518617021276</v>
      </c>
      <c r="O73" s="1">
        <f t="shared" si="24"/>
        <v>6.4136559216686484</v>
      </c>
      <c r="P73">
        <v>936</v>
      </c>
      <c r="Q73" s="1">
        <v>6868.3716755319147</v>
      </c>
      <c r="R73" s="1">
        <f t="shared" si="23"/>
        <v>5.4937932166755692</v>
      </c>
      <c r="W73" s="6">
        <f t="shared" si="21"/>
        <v>7.4167602857592163E-3</v>
      </c>
      <c r="X73" s="6">
        <f t="shared" si="12"/>
        <v>0.10870078202085309</v>
      </c>
      <c r="Y73" s="6">
        <f t="shared" si="13"/>
        <v>0.11611754230661231</v>
      </c>
    </row>
    <row r="74" spans="1:25" x14ac:dyDescent="0.2">
      <c r="A74">
        <f t="shared" si="18"/>
        <v>21</v>
      </c>
      <c r="B74" s="2">
        <f t="shared" si="19"/>
        <v>44704</v>
      </c>
      <c r="C74">
        <f>'311 cov wlz'!D74-'311 cov wlz'!E74+'312 cov nwlz'!D74-'312 cov nwlz'!E74+'321 ncov wlz'!D74-'321 ncov wlz'!E74+'322 ncov nwlz'!D74-'322 ncov nwlz'!E74</f>
        <v>33</v>
      </c>
      <c r="D74" s="1">
        <v>51904</v>
      </c>
      <c r="E74" s="1">
        <f>Oversterfte!C336</f>
        <v>2923</v>
      </c>
      <c r="F74">
        <f>'311 cov wlz'!D74+'312 cov nwlz'!D74+'321 ncov wlz'!D74+'322 ncov nwlz'!D74</f>
        <v>2598</v>
      </c>
      <c r="H74" s="6">
        <v>0.89130162363236387</v>
      </c>
      <c r="I74" s="6">
        <f t="shared" si="25"/>
        <v>0.88848598696016134</v>
      </c>
      <c r="J74" s="1">
        <f t="shared" si="22"/>
        <v>12.013214812116288</v>
      </c>
      <c r="K74" s="1">
        <f t="shared" si="26"/>
        <v>20.986785187883712</v>
      </c>
      <c r="M74">
        <v>1587</v>
      </c>
      <c r="N74" s="1">
        <v>805.23591899121129</v>
      </c>
      <c r="O74" s="1">
        <f t="shared" si="24"/>
        <v>6.6045974586910576</v>
      </c>
      <c r="P74">
        <v>914</v>
      </c>
      <c r="Q74" s="1">
        <v>3927.0126098586165</v>
      </c>
      <c r="R74" s="1">
        <f t="shared" si="23"/>
        <v>6.3128378231544131</v>
      </c>
      <c r="W74" s="6">
        <f t="shared" si="21"/>
        <v>2.8156366722025261E-3</v>
      </c>
      <c r="X74" s="6">
        <f t="shared" si="12"/>
        <v>0.10869837636763613</v>
      </c>
      <c r="Y74" s="6">
        <f t="shared" si="13"/>
        <v>0.11151401303983866</v>
      </c>
    </row>
    <row r="75" spans="1:25" x14ac:dyDescent="0.2">
      <c r="A75">
        <f t="shared" si="18"/>
        <v>22</v>
      </c>
      <c r="B75" s="2">
        <f t="shared" si="19"/>
        <v>44711</v>
      </c>
      <c r="C75">
        <f>'311 cov wlz'!D75-'311 cov wlz'!E75+'312 cov nwlz'!D75-'312 cov nwlz'!E75+'321 ncov wlz'!D75-'321 ncov wlz'!E75+'322 ncov nwlz'!D75-'322 ncov nwlz'!E75</f>
        <v>23</v>
      </c>
      <c r="D75" s="1">
        <v>47909</v>
      </c>
      <c r="E75" s="1">
        <f>Oversterfte!C337</f>
        <v>2966</v>
      </c>
      <c r="F75">
        <f>'311 cov wlz'!D75+'312 cov nwlz'!D75+'321 ncov wlz'!D75+'322 ncov nwlz'!D75</f>
        <v>2643</v>
      </c>
      <c r="H75" s="6">
        <v>0.89136061250474374</v>
      </c>
      <c r="I75" s="6">
        <f t="shared" si="25"/>
        <v>0.89039973645885118</v>
      </c>
      <c r="J75" s="1">
        <f t="shared" si="22"/>
        <v>13.672429867958902</v>
      </c>
      <c r="K75" s="1">
        <f t="shared" si="26"/>
        <v>9.3275701320410978</v>
      </c>
      <c r="M75">
        <v>1619</v>
      </c>
      <c r="N75" s="1">
        <v>791.2405442409721</v>
      </c>
      <c r="O75" s="1">
        <f t="shared" si="24"/>
        <v>7.4243123123556458</v>
      </c>
      <c r="P75">
        <v>945</v>
      </c>
      <c r="Q75" s="1">
        <v>3337.1492384049288</v>
      </c>
      <c r="R75" s="1">
        <f t="shared" si="23"/>
        <v>7.2772251800732795</v>
      </c>
      <c r="W75" s="6">
        <f t="shared" si="21"/>
        <v>9.6087604589256692E-4</v>
      </c>
      <c r="X75" s="6">
        <f t="shared" si="12"/>
        <v>0.10863938749525626</v>
      </c>
      <c r="Y75" s="6">
        <f t="shared" si="13"/>
        <v>0.10960026354114882</v>
      </c>
    </row>
    <row r="76" spans="1:25" x14ac:dyDescent="0.2">
      <c r="A76">
        <f t="shared" si="18"/>
        <v>23</v>
      </c>
      <c r="B76" s="2">
        <f t="shared" si="19"/>
        <v>44718</v>
      </c>
      <c r="C76">
        <f>'311 cov wlz'!D76-'311 cov wlz'!E76+'312 cov nwlz'!D76-'312 cov nwlz'!E76+'321 ncov wlz'!D76-'321 ncov wlz'!E76+'322 ncov nwlz'!D76-'322 ncov nwlz'!E76</f>
        <v>31</v>
      </c>
      <c r="D76" s="1">
        <v>44750</v>
      </c>
      <c r="E76" s="1">
        <f>Oversterfte!C338</f>
        <v>2943</v>
      </c>
      <c r="F76">
        <f>'311 cov wlz'!D76+'312 cov nwlz'!D76+'321 ncov wlz'!D76+'322 ncov nwlz'!D76</f>
        <v>2621</v>
      </c>
      <c r="H76" s="6">
        <v>0.89137964928699609</v>
      </c>
      <c r="I76" s="6">
        <f t="shared" si="25"/>
        <v>0.89061348959605902</v>
      </c>
      <c r="J76" s="1">
        <f t="shared" si="22"/>
        <v>15.127539217815889</v>
      </c>
      <c r="K76" s="1">
        <f t="shared" si="26"/>
        <v>15.872460782184111</v>
      </c>
      <c r="M76">
        <v>1578</v>
      </c>
      <c r="N76" s="1">
        <v>496.36206370204536</v>
      </c>
      <c r="O76" s="1">
        <f t="shared" si="24"/>
        <v>8.3102109986624342</v>
      </c>
      <c r="P76">
        <v>954</v>
      </c>
      <c r="Q76" s="1">
        <v>3183.0925002544013</v>
      </c>
      <c r="R76" s="1">
        <f t="shared" si="23"/>
        <v>7.9559602032901333</v>
      </c>
      <c r="W76" s="6">
        <f t="shared" si="21"/>
        <v>7.6615969093707381E-4</v>
      </c>
      <c r="X76" s="6">
        <f t="shared" si="12"/>
        <v>0.10862035071300391</v>
      </c>
      <c r="Y76" s="6">
        <f t="shared" si="13"/>
        <v>0.10938651040394098</v>
      </c>
    </row>
    <row r="77" spans="1:25" x14ac:dyDescent="0.2">
      <c r="A77">
        <f t="shared" si="18"/>
        <v>24</v>
      </c>
      <c r="B77" s="2">
        <f t="shared" si="19"/>
        <v>44725</v>
      </c>
      <c r="C77">
        <f>'311 cov wlz'!D77-'311 cov wlz'!E77+'312 cov nwlz'!D77-'312 cov nwlz'!E77+'321 ncov wlz'!D77-'321 ncov wlz'!E77+'322 ncov nwlz'!D77-'322 ncov nwlz'!E77</f>
        <v>27</v>
      </c>
      <c r="D77" s="1">
        <v>75114</v>
      </c>
      <c r="E77" s="1">
        <f>Oversterfte!C339</f>
        <v>3014</v>
      </c>
      <c r="F77">
        <f>'311 cov wlz'!D77+'312 cov nwlz'!D77+'321 ncov wlz'!D77+'322 ncov nwlz'!D77</f>
        <v>2683</v>
      </c>
      <c r="H77" s="6">
        <v>0.89137964928699609</v>
      </c>
      <c r="I77" s="6">
        <f t="shared" si="25"/>
        <v>0.8908711071629174</v>
      </c>
      <c r="J77" s="1">
        <f t="shared" si="22"/>
        <v>21.48015035938602</v>
      </c>
      <c r="K77" s="1">
        <f t="shared" si="26"/>
        <v>5.5198496406139803</v>
      </c>
      <c r="M77">
        <v>1666</v>
      </c>
      <c r="N77" s="1">
        <v>1014.5462731365683</v>
      </c>
      <c r="O77" s="1">
        <f t="shared" si="24"/>
        <v>12.421135248277571</v>
      </c>
      <c r="P77">
        <v>957</v>
      </c>
      <c r="Q77" s="1">
        <v>5316.9739869934965</v>
      </c>
      <c r="R77" s="1">
        <f t="shared" si="23"/>
        <v>10.675800622029978</v>
      </c>
      <c r="W77" s="6">
        <f t="shared" si="21"/>
        <v>5.0854212407869248E-4</v>
      </c>
      <c r="X77" s="6">
        <f t="shared" si="12"/>
        <v>0.10862035071300391</v>
      </c>
      <c r="Y77" s="6">
        <f t="shared" si="13"/>
        <v>0.1091288928370826</v>
      </c>
    </row>
    <row r="78" spans="1:25" x14ac:dyDescent="0.2">
      <c r="A78">
        <f t="shared" si="18"/>
        <v>25</v>
      </c>
      <c r="B78" s="2">
        <f t="shared" si="19"/>
        <v>44732</v>
      </c>
      <c r="C78">
        <f>'311 cov wlz'!D78-'311 cov wlz'!E78+'312 cov nwlz'!D78-'312 cov nwlz'!E78+'321 ncov wlz'!D78-'321 ncov wlz'!E78+'322 ncov nwlz'!D78-'322 ncov nwlz'!E78</f>
        <v>25</v>
      </c>
      <c r="D78" s="1">
        <v>104049</v>
      </c>
      <c r="E78" s="1">
        <f>Oversterfte!C340</f>
        <v>3136</v>
      </c>
      <c r="F78">
        <f>'311 cov wlz'!D78+'312 cov nwlz'!D78+'321 ncov wlz'!D78+'322 ncov nwlz'!D78</f>
        <v>2799</v>
      </c>
      <c r="H78" s="6">
        <v>0.89138205494021328</v>
      </c>
      <c r="I78" s="6">
        <f t="shared" si="25"/>
        <v>0.89021257009966615</v>
      </c>
      <c r="J78" s="1">
        <f t="shared" si="22"/>
        <v>23.273107175876763</v>
      </c>
      <c r="K78" s="1">
        <f t="shared" si="26"/>
        <v>1.7268928241232366</v>
      </c>
      <c r="M78">
        <v>1710</v>
      </c>
      <c r="N78" s="1">
        <v>1188.0958002709503</v>
      </c>
      <c r="O78" s="1">
        <f t="shared" si="24"/>
        <v>13.258375087470217</v>
      </c>
      <c r="P78">
        <v>1013</v>
      </c>
      <c r="Q78" s="1">
        <v>6713.2447019547126</v>
      </c>
      <c r="R78" s="1">
        <f t="shared" si="23"/>
        <v>11.766471338203722</v>
      </c>
      <c r="W78" s="6">
        <f t="shared" si="21"/>
        <v>1.1694848405471303E-3</v>
      </c>
      <c r="X78" s="6">
        <f t="shared" si="12"/>
        <v>0.10861794505978672</v>
      </c>
      <c r="Y78" s="6">
        <f t="shared" si="13"/>
        <v>0.10978742990033385</v>
      </c>
    </row>
    <row r="79" spans="1:25" x14ac:dyDescent="0.2">
      <c r="A79">
        <f t="shared" si="18"/>
        <v>26</v>
      </c>
      <c r="B79" s="2">
        <f t="shared" si="19"/>
        <v>44739</v>
      </c>
      <c r="C79">
        <f>'311 cov wlz'!D79-'311 cov wlz'!E79+'312 cov nwlz'!D79-'312 cov nwlz'!E79+'321 ncov wlz'!D79-'321 ncov wlz'!E79+'322 ncov nwlz'!D79-'322 ncov nwlz'!E79</f>
        <v>28</v>
      </c>
      <c r="D79" s="1">
        <v>95079</v>
      </c>
      <c r="E79" s="1">
        <f>Oversterfte!C341</f>
        <v>3103</v>
      </c>
      <c r="F79">
        <f>'311 cov wlz'!D79+'312 cov nwlz'!D79+'321 ncov wlz'!D79+'322 ncov nwlz'!D79</f>
        <v>2748</v>
      </c>
      <c r="H79" s="6">
        <v>0.89138205494021328</v>
      </c>
      <c r="I79" s="6">
        <f t="shared" si="25"/>
        <v>0.88863011195701658</v>
      </c>
      <c r="J79" s="1">
        <f t="shared" si="22"/>
        <v>23.956000034765129</v>
      </c>
      <c r="K79" s="1">
        <f t="shared" si="26"/>
        <v>4.043999965234871</v>
      </c>
      <c r="M79">
        <v>1748</v>
      </c>
      <c r="N79" s="1">
        <v>1146.8767697418859</v>
      </c>
      <c r="O79" s="1">
        <f t="shared" si="24"/>
        <v>14.447592230534633</v>
      </c>
      <c r="P79">
        <v>918</v>
      </c>
      <c r="Q79" s="1">
        <v>5469.5330692563248</v>
      </c>
      <c r="R79" s="1">
        <f t="shared" si="23"/>
        <v>11.311547591793463</v>
      </c>
      <c r="W79" s="6">
        <f t="shared" si="21"/>
        <v>2.7519429831966979E-3</v>
      </c>
      <c r="X79" s="6">
        <f t="shared" si="12"/>
        <v>0.10861794505978672</v>
      </c>
      <c r="Y79" s="6">
        <f t="shared" si="13"/>
        <v>0.11136988804298342</v>
      </c>
    </row>
    <row r="80" spans="1:25" x14ac:dyDescent="0.2">
      <c r="A80">
        <f t="shared" si="18"/>
        <v>27</v>
      </c>
      <c r="B80" s="2">
        <f t="shared" si="19"/>
        <v>44746</v>
      </c>
      <c r="C80">
        <f>'311 cov wlz'!D80-'311 cov wlz'!E80+'312 cov nwlz'!D80-'312 cov nwlz'!E80+'321 ncov wlz'!D80-'321 ncov wlz'!E80+'322 ncov nwlz'!D80-'322 ncov nwlz'!E80</f>
        <v>24</v>
      </c>
      <c r="D80" s="1">
        <v>85743</v>
      </c>
      <c r="E80" s="1">
        <f>Oversterfte!C342</f>
        <v>2976</v>
      </c>
      <c r="F80">
        <f>'311 cov wlz'!D80+'312 cov nwlz'!D80+'321 ncov wlz'!D80+'322 ncov nwlz'!D80</f>
        <v>2651</v>
      </c>
      <c r="H80" s="6">
        <v>0.89141226403977636</v>
      </c>
      <c r="I80" s="6">
        <f t="shared" si="25"/>
        <v>0.89001521657242011</v>
      </c>
      <c r="J80" s="1">
        <f t="shared" si="22"/>
        <v>23.811644239765009</v>
      </c>
      <c r="K80" s="1">
        <f t="shared" si="26"/>
        <v>0.18835576023499101</v>
      </c>
      <c r="M80">
        <v>1680</v>
      </c>
      <c r="N80" s="1">
        <v>1067.116053142887</v>
      </c>
      <c r="O80" s="1">
        <f t="shared" si="24"/>
        <v>14.131630111775419</v>
      </c>
      <c r="P80">
        <v>914</v>
      </c>
      <c r="Q80" s="1">
        <v>4898.8281258205116</v>
      </c>
      <c r="R80" s="1">
        <f t="shared" si="23"/>
        <v>11.472288425606314</v>
      </c>
      <c r="W80" s="6">
        <f t="shared" si="21"/>
        <v>1.3970474673562494E-3</v>
      </c>
      <c r="X80" s="6">
        <f t="shared" si="12"/>
        <v>0.10858773596022364</v>
      </c>
      <c r="Y80" s="6">
        <f t="shared" si="13"/>
        <v>0.10998478342757989</v>
      </c>
    </row>
    <row r="81" spans="1:25" x14ac:dyDescent="0.2">
      <c r="A81">
        <f t="shared" si="18"/>
        <v>28</v>
      </c>
      <c r="B81" s="2">
        <f t="shared" si="19"/>
        <v>44753</v>
      </c>
      <c r="C81">
        <f>'311 cov wlz'!D81-'311 cov wlz'!E81+'312 cov nwlz'!D81-'312 cov nwlz'!E81+'321 ncov wlz'!D81-'321 ncov wlz'!E81+'322 ncov nwlz'!D81-'322 ncov nwlz'!E81</f>
        <v>28</v>
      </c>
      <c r="D81" s="1">
        <v>122877</v>
      </c>
      <c r="E81" s="1">
        <f>Oversterfte!C343</f>
        <v>3090</v>
      </c>
      <c r="F81">
        <f>'311 cov wlz'!D81+'312 cov nwlz'!D81+'321 ncov wlz'!D81+'322 ncov nwlz'!D81</f>
        <v>2759</v>
      </c>
      <c r="H81" s="6">
        <v>0.89141226403977636</v>
      </c>
      <c r="I81" s="6">
        <f t="shared" si="25"/>
        <v>0.89084684608785347</v>
      </c>
      <c r="J81" s="1">
        <f t="shared" si="22"/>
        <v>16.75359005614434</v>
      </c>
      <c r="K81" s="1">
        <f t="shared" si="26"/>
        <v>11.24640994385566</v>
      </c>
      <c r="M81">
        <v>1682</v>
      </c>
      <c r="N81" s="1">
        <v>2850.6855115715975</v>
      </c>
      <c r="O81" s="1">
        <f t="shared" si="24"/>
        <v>9.6152817088843765</v>
      </c>
      <c r="P81">
        <v>951</v>
      </c>
      <c r="Q81" s="1">
        <v>12879.978349006138</v>
      </c>
      <c r="R81" s="1">
        <f t="shared" si="23"/>
        <v>8.3993312547116901</v>
      </c>
      <c r="W81" s="6">
        <f t="shared" si="21"/>
        <v>5.6541795192288635E-4</v>
      </c>
      <c r="X81" s="6">
        <f t="shared" si="12"/>
        <v>0.10858773596022364</v>
      </c>
      <c r="Y81" s="6">
        <f t="shared" si="13"/>
        <v>0.10915315391214653</v>
      </c>
    </row>
    <row r="82" spans="1:25" x14ac:dyDescent="0.2">
      <c r="A82">
        <f t="shared" si="18"/>
        <v>29</v>
      </c>
      <c r="B82" s="2">
        <f t="shared" si="19"/>
        <v>44760</v>
      </c>
      <c r="C82">
        <f>'311 cov wlz'!D82-'311 cov wlz'!E82+'312 cov nwlz'!D82-'312 cov nwlz'!E82+'321 ncov wlz'!D82-'321 ncov wlz'!E82+'322 ncov nwlz'!D82-'322 ncov nwlz'!E82</f>
        <v>27</v>
      </c>
      <c r="D82" s="1">
        <v>92671</v>
      </c>
      <c r="E82" s="1">
        <f>Oversterfte!C344</f>
        <v>3190</v>
      </c>
      <c r="F82">
        <f>'311 cov wlz'!D82+'312 cov nwlz'!D82+'321 ncov wlz'!D82+'322 ncov nwlz'!D82</f>
        <v>2829</v>
      </c>
      <c r="H82" s="6">
        <v>0.89141466969299332</v>
      </c>
      <c r="I82" s="6">
        <f t="shared" si="25"/>
        <v>0.88896554126894367</v>
      </c>
      <c r="J82" s="1">
        <f t="shared" si="22"/>
        <v>13.565318703964351</v>
      </c>
      <c r="K82" s="1">
        <f t="shared" si="26"/>
        <v>13.434681296035649</v>
      </c>
      <c r="M82">
        <v>1799</v>
      </c>
      <c r="N82" s="1">
        <v>1437.8258229897463</v>
      </c>
      <c r="O82" s="1">
        <f t="shared" si="24"/>
        <v>8.0482921821886109</v>
      </c>
      <c r="P82">
        <v>987</v>
      </c>
      <c r="Q82" s="1">
        <v>7948.6762344846193</v>
      </c>
      <c r="R82" s="1">
        <f t="shared" si="23"/>
        <v>6.5380720156225181</v>
      </c>
      <c r="W82" s="6">
        <f t="shared" si="21"/>
        <v>2.4491284240496514E-3</v>
      </c>
      <c r="X82" s="6">
        <f t="shared" si="12"/>
        <v>0.10858533030700668</v>
      </c>
      <c r="Y82" s="6">
        <f t="shared" si="13"/>
        <v>0.11103445873105633</v>
      </c>
    </row>
    <row r="83" spans="1:25" x14ac:dyDescent="0.2">
      <c r="A83">
        <f t="shared" si="18"/>
        <v>30</v>
      </c>
      <c r="B83" s="2">
        <f t="shared" si="19"/>
        <v>44767</v>
      </c>
      <c r="C83">
        <f>'311 cov wlz'!D83-'311 cov wlz'!E83+'312 cov nwlz'!D83-'312 cov nwlz'!E83+'321 ncov wlz'!D83-'321 ncov wlz'!E83+'322 ncov nwlz'!D83-'322 ncov nwlz'!E83</f>
        <v>26</v>
      </c>
      <c r="D83" s="1">
        <v>86613</v>
      </c>
      <c r="E83" s="1">
        <f>Oversterfte!C345</f>
        <v>3135</v>
      </c>
      <c r="F83">
        <f>'311 cov wlz'!D83+'312 cov nwlz'!D83+'321 ncov wlz'!D83+'322 ncov nwlz'!D83</f>
        <v>2788</v>
      </c>
      <c r="H83" s="6">
        <v>0.89141466969299332</v>
      </c>
      <c r="I83" s="6">
        <f t="shared" si="25"/>
        <v>0.88810028955441556</v>
      </c>
      <c r="J83" s="1">
        <f t="shared" si="22"/>
        <v>8.5443745295994393</v>
      </c>
      <c r="K83" s="1">
        <f t="shared" si="26"/>
        <v>17.455625470400562</v>
      </c>
      <c r="M83">
        <v>1781</v>
      </c>
      <c r="N83" s="1">
        <v>1576.0843672456576</v>
      </c>
      <c r="O83" s="1">
        <f t="shared" si="24"/>
        <v>5.0301668166789186</v>
      </c>
      <c r="P83">
        <v>959</v>
      </c>
      <c r="Q83" s="1">
        <v>7367.0004135649297</v>
      </c>
      <c r="R83" s="1">
        <f t="shared" si="23"/>
        <v>4.1573326775140256</v>
      </c>
      <c r="W83" s="6">
        <f t="shared" si="21"/>
        <v>3.314380138577766E-3</v>
      </c>
      <c r="X83" s="6">
        <f t="shared" si="12"/>
        <v>0.10858533030700668</v>
      </c>
      <c r="Y83" s="6">
        <f t="shared" si="13"/>
        <v>0.11189971044558444</v>
      </c>
    </row>
    <row r="84" spans="1:25" x14ac:dyDescent="0.2">
      <c r="A84">
        <f t="shared" si="18"/>
        <v>31</v>
      </c>
      <c r="B84" s="2">
        <f t="shared" si="19"/>
        <v>44774</v>
      </c>
      <c r="C84">
        <f>'311 cov wlz'!D84-'311 cov wlz'!E84+'312 cov nwlz'!D84-'312 cov nwlz'!E84+'321 ncov wlz'!D84-'321 ncov wlz'!E84+'322 ncov nwlz'!D84-'322 ncov nwlz'!E84</f>
        <v>30</v>
      </c>
      <c r="D84" s="1">
        <v>57962</v>
      </c>
      <c r="E84" s="1">
        <f>Oversterfte!C346</f>
        <v>2963</v>
      </c>
      <c r="F84">
        <f>'311 cov wlz'!D84+'312 cov nwlz'!D84+'321 ncov wlz'!D84+'322 ncov nwlz'!D84</f>
        <v>2628</v>
      </c>
      <c r="H84" s="6">
        <v>0.89142637737426755</v>
      </c>
      <c r="I84" s="6">
        <f t="shared" si="25"/>
        <v>0.88826201598922028</v>
      </c>
      <c r="J84" s="1">
        <f t="shared" si="22"/>
        <v>4.6453848802253761</v>
      </c>
      <c r="K84" s="1">
        <f t="shared" si="26"/>
        <v>25.354615119774625</v>
      </c>
      <c r="M84">
        <v>1651</v>
      </c>
      <c r="N84" s="1">
        <v>1189.9561084142395</v>
      </c>
      <c r="O84" s="1">
        <f t="shared" si="24"/>
        <v>2.5642978919693262</v>
      </c>
      <c r="P84">
        <v>920</v>
      </c>
      <c r="Q84" s="1">
        <v>5516.0034385113267</v>
      </c>
      <c r="R84" s="1">
        <f t="shared" si="23"/>
        <v>2.4307396136493575</v>
      </c>
      <c r="W84" s="6">
        <f t="shared" si="21"/>
        <v>3.1643613850472763E-3</v>
      </c>
      <c r="X84" s="6">
        <f t="shared" si="12"/>
        <v>0.10857362262573245</v>
      </c>
      <c r="Y84" s="6">
        <f t="shared" si="13"/>
        <v>0.11173798401077972</v>
      </c>
    </row>
    <row r="85" spans="1:25" x14ac:dyDescent="0.2">
      <c r="A85">
        <f t="shared" si="18"/>
        <v>32</v>
      </c>
      <c r="B85" s="2">
        <f t="shared" si="19"/>
        <v>44781</v>
      </c>
      <c r="C85">
        <f>'311 cov wlz'!D85-'311 cov wlz'!E85+'312 cov nwlz'!D85-'312 cov nwlz'!E85+'321 ncov wlz'!D85-'321 ncov wlz'!E85+'322 ncov nwlz'!D85-'322 ncov nwlz'!E85</f>
        <v>27</v>
      </c>
      <c r="D85" s="1">
        <v>33588</v>
      </c>
      <c r="E85" s="1">
        <f>Oversterfte!C347</f>
        <v>2987</v>
      </c>
      <c r="F85">
        <f>'311 cov wlz'!D85+'312 cov nwlz'!D85+'321 ncov wlz'!D85+'322 ncov nwlz'!D85</f>
        <v>2658</v>
      </c>
      <c r="H85" s="6">
        <v>0.89143370647524589</v>
      </c>
      <c r="I85" s="6">
        <f t="shared" si="25"/>
        <v>0.88889399365243671</v>
      </c>
      <c r="J85" s="1">
        <f t="shared" si="22"/>
        <v>2.6581578588467005</v>
      </c>
      <c r="K85" s="1">
        <f t="shared" si="26"/>
        <v>24.3418421411533</v>
      </c>
      <c r="M85">
        <v>1634</v>
      </c>
      <c r="N85" s="1">
        <v>590.40348330914367</v>
      </c>
      <c r="O85" s="1">
        <f t="shared" si="24"/>
        <v>1.3875848609204577</v>
      </c>
      <c r="P85">
        <v>939</v>
      </c>
      <c r="Q85" s="1">
        <v>2889.7271407837447</v>
      </c>
      <c r="R85" s="1">
        <f t="shared" si="23"/>
        <v>1.4706493959039511</v>
      </c>
      <c r="W85" s="6">
        <f t="shared" si="21"/>
        <v>2.5397128228091814E-3</v>
      </c>
      <c r="X85" s="6">
        <f t="shared" si="12"/>
        <v>0.10856629352475411</v>
      </c>
      <c r="Y85" s="6">
        <f t="shared" si="13"/>
        <v>0.11110600634756329</v>
      </c>
    </row>
    <row r="86" spans="1:25" x14ac:dyDescent="0.2">
      <c r="A86">
        <f t="shared" si="18"/>
        <v>33</v>
      </c>
      <c r="B86" s="2">
        <f t="shared" si="19"/>
        <v>44788</v>
      </c>
      <c r="C86">
        <f>'311 cov wlz'!D86-'311 cov wlz'!E86+'312 cov nwlz'!D86-'312 cov nwlz'!E86+'321 ncov wlz'!D86-'321 ncov wlz'!E86+'322 ncov nwlz'!D86-'322 ncov nwlz'!E86</f>
        <v>23</v>
      </c>
      <c r="D86" s="1">
        <v>25873</v>
      </c>
      <c r="E86" s="1">
        <f>Oversterfte!C348</f>
        <v>3079</v>
      </c>
      <c r="F86">
        <f>'311 cov wlz'!D86+'312 cov nwlz'!D86+'321 ncov wlz'!D86+'322 ncov nwlz'!D86</f>
        <v>2737</v>
      </c>
      <c r="H86" s="6">
        <v>0.89143370647524589</v>
      </c>
      <c r="I86" s="6">
        <f t="shared" si="25"/>
        <v>0.8876886535929438</v>
      </c>
      <c r="J86" s="1">
        <f t="shared" si="22"/>
        <v>1.3222589228646666</v>
      </c>
      <c r="K86" s="1">
        <f t="shared" si="26"/>
        <v>21.677741077135334</v>
      </c>
      <c r="M86">
        <v>1703</v>
      </c>
      <c r="N86" s="1">
        <v>395.52311707680838</v>
      </c>
      <c r="O86" s="1">
        <f t="shared" si="24"/>
        <v>0.64302302249101773</v>
      </c>
      <c r="P86">
        <v>956</v>
      </c>
      <c r="Q86" s="1">
        <v>2018.614932885906</v>
      </c>
      <c r="R86" s="1">
        <f t="shared" si="23"/>
        <v>0.77876076553550555</v>
      </c>
      <c r="W86" s="6">
        <f t="shared" si="21"/>
        <v>3.7450528823020912E-3</v>
      </c>
      <c r="X86" s="6">
        <f t="shared" si="12"/>
        <v>0.10856629352475411</v>
      </c>
      <c r="Y86" s="6">
        <f t="shared" si="13"/>
        <v>0.1123113464070562</v>
      </c>
    </row>
    <row r="87" spans="1:25" x14ac:dyDescent="0.2">
      <c r="A87">
        <f t="shared" si="18"/>
        <v>34</v>
      </c>
      <c r="B87" s="2">
        <f t="shared" si="19"/>
        <v>44795</v>
      </c>
      <c r="C87">
        <f>'311 cov wlz'!D87-'311 cov wlz'!E87+'312 cov nwlz'!D87-'312 cov nwlz'!E87+'321 ncov wlz'!D87-'321 ncov wlz'!E87+'322 ncov nwlz'!D87-'322 ncov nwlz'!E87</f>
        <v>22</v>
      </c>
      <c r="D87" s="1">
        <v>17034</v>
      </c>
      <c r="E87" s="1">
        <f>Oversterfte!C349</f>
        <v>3044</v>
      </c>
      <c r="F87">
        <f>'311 cov wlz'!D87+'312 cov nwlz'!D87+'321 ncov wlz'!D87+'322 ncov nwlz'!D87</f>
        <v>2688</v>
      </c>
      <c r="H87" s="6">
        <v>0.89143611212846285</v>
      </c>
      <c r="I87" s="6">
        <f t="shared" si="25"/>
        <v>0.88789638960814077</v>
      </c>
      <c r="J87" s="1">
        <f t="shared" si="22"/>
        <v>295.2710973843021</v>
      </c>
      <c r="K87" s="1">
        <f t="shared" si="26"/>
        <v>-273.2710973843021</v>
      </c>
      <c r="M87">
        <v>1633</v>
      </c>
      <c r="N87" s="1">
        <v>192.78923541247485</v>
      </c>
      <c r="O87" s="1">
        <f t="shared" si="24"/>
        <v>287.35012772572344</v>
      </c>
      <c r="P87">
        <v>955</v>
      </c>
      <c r="Q87" s="1">
        <v>1218.8563883299798</v>
      </c>
      <c r="R87" s="1">
        <f t="shared" si="23"/>
        <v>30.145675913311052</v>
      </c>
      <c r="W87" s="6">
        <f t="shared" si="21"/>
        <v>3.5397225203220861E-3</v>
      </c>
      <c r="X87" s="6">
        <f t="shared" si="12"/>
        <v>0.10856388787153715</v>
      </c>
      <c r="Y87" s="6">
        <f t="shared" si="13"/>
        <v>0.11210361039185923</v>
      </c>
    </row>
    <row r="88" spans="1:25" x14ac:dyDescent="0.2">
      <c r="A88">
        <f t="shared" si="18"/>
        <v>35</v>
      </c>
      <c r="B88" s="2">
        <f t="shared" si="19"/>
        <v>44802</v>
      </c>
      <c r="C88">
        <f>'311 cov wlz'!D88-'311 cov wlz'!E88+'312 cov nwlz'!D88-'312 cov nwlz'!E88+'321 ncov wlz'!D88-'321 ncov wlz'!E88+'322 ncov nwlz'!D88-'322 ncov nwlz'!E88</f>
        <v>34</v>
      </c>
      <c r="D88" s="1">
        <v>13818</v>
      </c>
      <c r="E88" s="1">
        <f>Oversterfte!C350</f>
        <v>2968</v>
      </c>
      <c r="F88">
        <f>'311 cov wlz'!D88+'312 cov nwlz'!D88+'321 ncov wlz'!D88+'322 ncov nwlz'!D88</f>
        <v>2661</v>
      </c>
      <c r="H88" s="6">
        <v>0.89143611212846285</v>
      </c>
      <c r="I88" s="6">
        <f t="shared" si="25"/>
        <v>0.89260724002299074</v>
      </c>
      <c r="J88" s="1">
        <f t="shared" si="22"/>
        <v>590.95643119981787</v>
      </c>
      <c r="K88" s="1">
        <f t="shared" si="26"/>
        <v>-556.95643119981787</v>
      </c>
      <c r="M88">
        <v>1601</v>
      </c>
      <c r="N88" s="1">
        <v>123.8744939271255</v>
      </c>
      <c r="O88" s="1">
        <f t="shared" si="24"/>
        <v>511.75276110371175</v>
      </c>
      <c r="P88">
        <v>950</v>
      </c>
      <c r="Q88" s="1">
        <v>969.01821862348174</v>
      </c>
      <c r="R88" s="1">
        <f t="shared" si="23"/>
        <v>123.68426169179125</v>
      </c>
      <c r="W88" s="6">
        <f t="shared" si="21"/>
        <v>-1.1711278945278902E-3</v>
      </c>
      <c r="X88" s="6">
        <f t="shared" si="12"/>
        <v>0.10856388787153715</v>
      </c>
      <c r="Y88" s="6">
        <f t="shared" si="13"/>
        <v>0.10739275997700926</v>
      </c>
    </row>
    <row r="89" spans="1:25" x14ac:dyDescent="0.2">
      <c r="A89">
        <f t="shared" si="18"/>
        <v>36</v>
      </c>
      <c r="B89" s="2">
        <f t="shared" si="19"/>
        <v>44809</v>
      </c>
      <c r="C89">
        <f>'311 cov wlz'!D89-'311 cov wlz'!E89+'312 cov nwlz'!D89-'312 cov nwlz'!E89+'321 ncov wlz'!D89-'321 ncov wlz'!E89+'322 ncov nwlz'!D89-'322 ncov nwlz'!E89</f>
        <v>28</v>
      </c>
      <c r="D89" s="1">
        <v>0</v>
      </c>
      <c r="E89" s="1">
        <f>Oversterfte!C351</f>
        <v>2941</v>
      </c>
      <c r="F89">
        <f>'311 cov wlz'!D89+'312 cov nwlz'!D89+'321 ncov wlz'!D89+'322 ncov nwlz'!D89</f>
        <v>2630</v>
      </c>
      <c r="H89" s="6">
        <v>0.89143611212846285</v>
      </c>
      <c r="I89" s="6">
        <f t="shared" si="25"/>
        <v>0.89265320535784609</v>
      </c>
      <c r="J89" s="1">
        <f t="shared" si="22"/>
        <v>847.11906035065738</v>
      </c>
      <c r="K89" s="1">
        <f t="shared" si="26"/>
        <v>-819.11906035065738</v>
      </c>
      <c r="M89">
        <v>1533</v>
      </c>
      <c r="N89" s="1">
        <v>0</v>
      </c>
      <c r="O89" s="1">
        <f t="shared" si="24"/>
        <v>645.95745794784784</v>
      </c>
      <c r="P89">
        <v>996</v>
      </c>
      <c r="Q89" s="1">
        <v>0</v>
      </c>
      <c r="R89" s="1">
        <f t="shared" si="23"/>
        <v>264.92325210662233</v>
      </c>
      <c r="W89" s="6">
        <f t="shared" si="21"/>
        <v>-1.2170932293832371E-3</v>
      </c>
      <c r="X89" s="6">
        <f t="shared" si="12"/>
        <v>0.10856388787153715</v>
      </c>
      <c r="Y89" s="6">
        <f t="shared" si="13"/>
        <v>0.10734679464215391</v>
      </c>
    </row>
    <row r="90" spans="1:25" x14ac:dyDescent="0.2">
      <c r="A90">
        <f t="shared" si="18"/>
        <v>37</v>
      </c>
      <c r="B90" s="2">
        <f t="shared" si="19"/>
        <v>44816</v>
      </c>
      <c r="C90">
        <f>'311 cov wlz'!D90-'311 cov wlz'!E90+'312 cov nwlz'!D90-'312 cov nwlz'!E90+'321 ncov wlz'!D90-'321 ncov wlz'!E90+'322 ncov nwlz'!D90-'322 ncov nwlz'!E90</f>
        <v>25</v>
      </c>
      <c r="D90" s="1">
        <v>0</v>
      </c>
      <c r="E90" s="1">
        <f>Oversterfte!C352</f>
        <v>2822</v>
      </c>
      <c r="F90">
        <f>'311 cov wlz'!D90+'312 cov nwlz'!D90+'321 ncov wlz'!D90+'322 ncov nwlz'!D90</f>
        <v>2499</v>
      </c>
      <c r="H90" s="6">
        <v>0.89143611212846285</v>
      </c>
      <c r="I90" s="6">
        <f t="shared" si="25"/>
        <v>0.88924702299307223</v>
      </c>
      <c r="J90" s="1">
        <f t="shared" si="22"/>
        <v>1025.8704681854394</v>
      </c>
      <c r="K90" s="1">
        <f t="shared" si="26"/>
        <v>-1000.8704681854394</v>
      </c>
      <c r="M90">
        <v>1483</v>
      </c>
      <c r="N90" s="1">
        <v>0</v>
      </c>
      <c r="O90" s="1">
        <f t="shared" si="24"/>
        <v>739.84351435204439</v>
      </c>
      <c r="P90">
        <v>935</v>
      </c>
      <c r="Q90" s="1">
        <v>0</v>
      </c>
      <c r="R90" s="1">
        <f t="shared" si="23"/>
        <v>363.24301057853557</v>
      </c>
      <c r="W90" s="6">
        <f t="shared" si="21"/>
        <v>2.1890891353906206E-3</v>
      </c>
      <c r="X90" s="6">
        <f t="shared" si="12"/>
        <v>0.10856388787153715</v>
      </c>
      <c r="Y90" s="6">
        <f t="shared" si="13"/>
        <v>0.11075297700692777</v>
      </c>
    </row>
    <row r="91" spans="1:25" x14ac:dyDescent="0.2">
      <c r="A91">
        <f t="shared" si="18"/>
        <v>38</v>
      </c>
      <c r="B91" s="2">
        <f t="shared" si="19"/>
        <v>44823</v>
      </c>
      <c r="C91">
        <f>'311 cov wlz'!D91-'311 cov wlz'!E91+'312 cov nwlz'!D91-'312 cov nwlz'!E91+'321 ncov wlz'!D91-'321 ncov wlz'!E91+'322 ncov nwlz'!D91-'322 ncov nwlz'!E91</f>
        <v>19</v>
      </c>
      <c r="D91" s="1">
        <v>231262.59999999998</v>
      </c>
      <c r="E91" s="1">
        <f>Oversterfte!C353</f>
        <v>3018</v>
      </c>
      <c r="F91">
        <f>'311 cov wlz'!D91+'312 cov nwlz'!D91+'321 ncov wlz'!D91+'322 ncov nwlz'!D91</f>
        <v>2691</v>
      </c>
      <c r="H91" s="6">
        <v>0.89143611212846285</v>
      </c>
      <c r="I91" s="6">
        <f t="shared" si="25"/>
        <v>0.89031629813800373</v>
      </c>
      <c r="J91" s="1">
        <f t="shared" si="22"/>
        <v>976.07350428889322</v>
      </c>
      <c r="K91" s="1">
        <f t="shared" si="26"/>
        <v>-957.07350428889322</v>
      </c>
      <c r="M91">
        <v>1621</v>
      </c>
      <c r="N91" s="1">
        <v>147450.74</v>
      </c>
      <c r="O91" s="1">
        <f t="shared" si="24"/>
        <v>625.20685103993139</v>
      </c>
      <c r="P91">
        <v>958</v>
      </c>
      <c r="Q91" s="1">
        <v>83811.86</v>
      </c>
      <c r="R91" s="1">
        <f t="shared" si="23"/>
        <v>424.3345514212441</v>
      </c>
      <c r="W91" s="6">
        <f t="shared" si="21"/>
        <v>1.1198139904591287E-3</v>
      </c>
      <c r="X91" s="6">
        <f t="shared" si="12"/>
        <v>0.10856388787153715</v>
      </c>
      <c r="Y91" s="6">
        <f t="shared" si="13"/>
        <v>0.10968370186199627</v>
      </c>
    </row>
    <row r="92" spans="1:25" x14ac:dyDescent="0.2">
      <c r="A92">
        <f t="shared" si="18"/>
        <v>39</v>
      </c>
      <c r="B92" s="2">
        <f t="shared" si="19"/>
        <v>44830</v>
      </c>
      <c r="C92">
        <f>'311 cov wlz'!D92-'311 cov wlz'!E92+'312 cov nwlz'!D92-'312 cov nwlz'!E92+'321 ncov wlz'!D92-'321 ncov wlz'!E92+'322 ncov nwlz'!D92-'322 ncov nwlz'!E92</f>
        <v>19</v>
      </c>
      <c r="D92" s="1">
        <v>456469.38000000006</v>
      </c>
      <c r="E92" s="1">
        <f>Oversterfte!C354</f>
        <v>3207</v>
      </c>
      <c r="F92">
        <f>'311 cov wlz'!D92+'312 cov nwlz'!D92+'321 ncov wlz'!D92+'322 ncov nwlz'!D92</f>
        <v>2862</v>
      </c>
      <c r="H92" s="6">
        <v>0.8914951010008425</v>
      </c>
      <c r="I92" s="6">
        <f t="shared" si="25"/>
        <v>0.89216833484897617</v>
      </c>
      <c r="J92" s="1">
        <f t="shared" si="22"/>
        <v>862.00277037153376</v>
      </c>
      <c r="K92" s="1">
        <f t="shared" si="26"/>
        <v>-843.00277037153376</v>
      </c>
      <c r="M92">
        <v>1775</v>
      </c>
      <c r="N92" s="1">
        <v>120623.64000000001</v>
      </c>
      <c r="O92" s="1">
        <f t="shared" si="24"/>
        <v>504.3567403873555</v>
      </c>
      <c r="P92">
        <v>1063</v>
      </c>
      <c r="Q92" s="1">
        <v>265865.16000000003</v>
      </c>
      <c r="R92" s="1">
        <f t="shared" si="23"/>
        <v>422.52795893687437</v>
      </c>
      <c r="W92" s="6">
        <f t="shared" si="21"/>
        <v>-6.7323384813366971E-4</v>
      </c>
      <c r="X92" s="6">
        <f t="shared" si="12"/>
        <v>0.1085048989991575</v>
      </c>
      <c r="Y92" s="6">
        <f t="shared" si="13"/>
        <v>0.10783166515102383</v>
      </c>
    </row>
    <row r="93" spans="1:25" x14ac:dyDescent="0.2">
      <c r="A93">
        <f t="shared" si="18"/>
        <v>40</v>
      </c>
      <c r="B93" s="2">
        <f t="shared" si="19"/>
        <v>44837</v>
      </c>
      <c r="C93">
        <f>'311 cov wlz'!D93-'311 cov wlz'!E93+'312 cov nwlz'!D93-'312 cov nwlz'!E93+'321 ncov wlz'!D93-'321 ncov wlz'!E93+'322 ncov nwlz'!D93-'322 ncov nwlz'!E93</f>
        <v>25</v>
      </c>
      <c r="D93" s="1">
        <v>567355.92999999993</v>
      </c>
      <c r="E93" s="1">
        <f>Oversterfte!C355</f>
        <v>3311</v>
      </c>
      <c r="F93">
        <f>'311 cov wlz'!D93+'312 cov nwlz'!D93+'321 ncov wlz'!D93+'322 ncov nwlz'!D93</f>
        <v>2954</v>
      </c>
      <c r="H93" s="6">
        <v>0.8914951010008425</v>
      </c>
      <c r="I93" s="6">
        <f t="shared" si="25"/>
        <v>0.89442108729626302</v>
      </c>
      <c r="J93" s="1">
        <f t="shared" si="22"/>
        <v>647.29923556212213</v>
      </c>
      <c r="K93" s="1">
        <f t="shared" si="26"/>
        <v>-622.29923556212213</v>
      </c>
      <c r="M93">
        <v>1862</v>
      </c>
      <c r="N93" s="1">
        <v>85310.700000000012</v>
      </c>
      <c r="O93" s="1">
        <f t="shared" si="24"/>
        <v>389.29894088314575</v>
      </c>
      <c r="P93">
        <v>1048</v>
      </c>
      <c r="Q93" s="1">
        <v>364715.65999999992</v>
      </c>
      <c r="R93" s="1">
        <f t="shared" si="23"/>
        <v>306.7217425169855</v>
      </c>
      <c r="W93" s="6">
        <f t="shared" si="21"/>
        <v>-2.9259862954205129E-3</v>
      </c>
      <c r="X93" s="6">
        <f t="shared" si="12"/>
        <v>0.1085048989991575</v>
      </c>
      <c r="Y93" s="6">
        <f t="shared" si="13"/>
        <v>0.10557891270373698</v>
      </c>
    </row>
    <row r="94" spans="1:25" x14ac:dyDescent="0.2">
      <c r="A94">
        <f t="shared" si="18"/>
        <v>41</v>
      </c>
      <c r="B94" s="2">
        <f t="shared" si="19"/>
        <v>44844</v>
      </c>
      <c r="C94">
        <f>'311 cov wlz'!D94-'311 cov wlz'!E94+'312 cov nwlz'!D94-'312 cov nwlz'!E94+'321 ncov wlz'!D94-'321 ncov wlz'!E94+'322 ncov nwlz'!D94-'322 ncov nwlz'!E94</f>
        <v>32</v>
      </c>
      <c r="D94" s="1">
        <v>620017.10000000009</v>
      </c>
      <c r="E94" s="1">
        <f>Oversterfte!C356</f>
        <v>3310</v>
      </c>
      <c r="F94">
        <f>'311 cov wlz'!D94+'312 cov nwlz'!D94+'321 ncov wlz'!D94+'322 ncov nwlz'!D94</f>
        <v>2982</v>
      </c>
      <c r="H94" s="6">
        <v>0.8914951010008425</v>
      </c>
      <c r="I94" s="6">
        <f t="shared" si="25"/>
        <v>0.89567032122676604</v>
      </c>
      <c r="J94" s="1">
        <f t="shared" si="22"/>
        <v>442.17994366419498</v>
      </c>
      <c r="K94" s="1">
        <f t="shared" si="26"/>
        <v>-410.17994366419498</v>
      </c>
      <c r="M94">
        <v>1845</v>
      </c>
      <c r="N94" s="1">
        <v>65008.649999999965</v>
      </c>
      <c r="O94" s="1">
        <f t="shared" si="24"/>
        <v>280.26543072826831</v>
      </c>
      <c r="P94">
        <v>1027</v>
      </c>
      <c r="Q94" s="1">
        <v>329033.94000000018</v>
      </c>
      <c r="R94" s="1">
        <f t="shared" si="23"/>
        <v>195.19687428699507</v>
      </c>
      <c r="W94" s="6">
        <f t="shared" si="21"/>
        <v>-4.1752202259235371E-3</v>
      </c>
      <c r="X94" s="6">
        <f t="shared" si="12"/>
        <v>0.1085048989991575</v>
      </c>
      <c r="Y94" s="6">
        <f t="shared" si="13"/>
        <v>0.10432967877323396</v>
      </c>
    </row>
    <row r="95" spans="1:25" x14ac:dyDescent="0.2">
      <c r="A95">
        <f t="shared" si="18"/>
        <v>42</v>
      </c>
      <c r="B95" s="2">
        <f t="shared" si="19"/>
        <v>44851</v>
      </c>
      <c r="C95">
        <f>'311 cov wlz'!D95-'311 cov wlz'!E95+'312 cov nwlz'!D95-'312 cov nwlz'!E95+'321 ncov wlz'!D95-'321 ncov wlz'!E95+'322 ncov nwlz'!D95-'322 ncov nwlz'!E95</f>
        <v>19</v>
      </c>
      <c r="D95" s="1">
        <v>591518.34000000008</v>
      </c>
      <c r="E95" s="1">
        <f>Oversterfte!C357</f>
        <v>3369</v>
      </c>
      <c r="F95">
        <f>'311 cov wlz'!D95+'312 cov nwlz'!D95+'321 ncov wlz'!D95+'322 ncov nwlz'!D95</f>
        <v>2994</v>
      </c>
      <c r="H95" s="6">
        <v>0.8914951010008425</v>
      </c>
      <c r="I95" s="6">
        <f t="shared" si="25"/>
        <v>0.89170199858492971</v>
      </c>
      <c r="J95" s="1">
        <f t="shared" si="22"/>
        <v>288.6475322238752</v>
      </c>
      <c r="K95" s="1">
        <f t="shared" si="26"/>
        <v>-269.6475322238752</v>
      </c>
      <c r="M95">
        <v>1852</v>
      </c>
      <c r="N95" s="1">
        <v>52521.909999999974</v>
      </c>
      <c r="O95" s="1">
        <f t="shared" si="24"/>
        <v>184.18458776549781</v>
      </c>
      <c r="P95">
        <v>1068</v>
      </c>
      <c r="Q95" s="1">
        <v>230035.06000000006</v>
      </c>
      <c r="R95" s="1">
        <f t="shared" si="23"/>
        <v>126.18910279780884</v>
      </c>
      <c r="W95" s="6">
        <f t="shared" si="21"/>
        <v>-2.0689758408720671E-4</v>
      </c>
      <c r="X95" s="6">
        <f t="shared" si="12"/>
        <v>0.1085048989991575</v>
      </c>
      <c r="Y95" s="6">
        <f t="shared" si="13"/>
        <v>0.10829800141507029</v>
      </c>
    </row>
    <row r="96" spans="1:25" x14ac:dyDescent="0.2">
      <c r="A96">
        <f t="shared" si="18"/>
        <v>43</v>
      </c>
      <c r="B96" s="2">
        <f t="shared" si="19"/>
        <v>44858</v>
      </c>
      <c r="C96">
        <f>'311 cov wlz'!D96-'311 cov wlz'!E96+'312 cov nwlz'!D96-'312 cov nwlz'!E96+'321 ncov wlz'!D96-'321 ncov wlz'!E96+'322 ncov nwlz'!D96-'322 ncov nwlz'!E96</f>
        <v>16</v>
      </c>
      <c r="D96" s="1">
        <v>546688.69999999995</v>
      </c>
      <c r="E96" s="1">
        <f>Oversterfte!C358</f>
        <v>3310</v>
      </c>
      <c r="F96">
        <f>'311 cov wlz'!D96+'312 cov nwlz'!D96+'321 ncov wlz'!D96+'322 ncov nwlz'!D96</f>
        <v>2941</v>
      </c>
      <c r="H96" s="6">
        <v>0.8914951010008425</v>
      </c>
      <c r="I96" s="6">
        <f t="shared" si="25"/>
        <v>0.88783022025852221</v>
      </c>
      <c r="J96" s="1">
        <f t="shared" si="22"/>
        <v>189.50130408985868</v>
      </c>
      <c r="K96" s="1">
        <f t="shared" si="26"/>
        <v>-173.50130408985868</v>
      </c>
      <c r="M96">
        <v>1841</v>
      </c>
      <c r="N96" s="1">
        <v>35459.770000000019</v>
      </c>
      <c r="O96" s="1">
        <f t="shared" si="24"/>
        <v>123.97765578702244</v>
      </c>
      <c r="P96">
        <v>1070</v>
      </c>
      <c r="Q96" s="1">
        <v>143790.45999999996</v>
      </c>
      <c r="R96" s="1">
        <f t="shared" si="23"/>
        <v>79.787187320352459</v>
      </c>
      <c r="W96" s="6">
        <f t="shared" si="21"/>
        <v>3.6648807423202978E-3</v>
      </c>
      <c r="X96" s="6">
        <f t="shared" si="12"/>
        <v>0.1085048989991575</v>
      </c>
      <c r="Y96" s="6">
        <f t="shared" si="13"/>
        <v>0.11216977974147779</v>
      </c>
    </row>
    <row r="97" spans="1:25" x14ac:dyDescent="0.2">
      <c r="A97">
        <f t="shared" si="18"/>
        <v>44</v>
      </c>
      <c r="B97" s="2">
        <f t="shared" si="19"/>
        <v>44865</v>
      </c>
      <c r="C97">
        <f>'311 cov wlz'!D97-'311 cov wlz'!E97+'312 cov nwlz'!D97-'312 cov nwlz'!E97+'321 ncov wlz'!D97-'321 ncov wlz'!E97+'322 ncov nwlz'!D97-'322 ncov nwlz'!E97</f>
        <v>30</v>
      </c>
      <c r="D97" s="1">
        <v>305627.0999999998</v>
      </c>
      <c r="E97" s="1">
        <f>Oversterfte!C359</f>
        <v>3234</v>
      </c>
      <c r="F97">
        <f>'311 cov wlz'!D97+'312 cov nwlz'!D97+'321 ncov wlz'!D97+'322 ncov nwlz'!D97</f>
        <v>2864</v>
      </c>
      <c r="H97" s="6">
        <v>0.8914951010008425</v>
      </c>
      <c r="I97" s="6">
        <f t="shared" si="25"/>
        <v>0.88804094566448555</v>
      </c>
      <c r="J97" s="1">
        <f t="shared" si="22"/>
        <v>125.81693529049316</v>
      </c>
      <c r="K97" s="1">
        <f t="shared" si="26"/>
        <v>-95.816935290493163</v>
      </c>
      <c r="M97">
        <v>1746</v>
      </c>
      <c r="N97" s="1">
        <v>22353.299999999988</v>
      </c>
      <c r="O97" s="1">
        <f t="shared" si="24"/>
        <v>83.348822492043951</v>
      </c>
      <c r="P97">
        <v>1044</v>
      </c>
      <c r="Q97" s="1">
        <v>83207.489999999758</v>
      </c>
      <c r="R97" s="1">
        <f t="shared" si="23"/>
        <v>51.93820470203471</v>
      </c>
      <c r="W97" s="6">
        <f t="shared" si="21"/>
        <v>3.4541553363569566E-3</v>
      </c>
      <c r="X97" s="6">
        <f t="shared" ref="X97:X104" si="27">1-H97</f>
        <v>0.1085048989991575</v>
      </c>
      <c r="Y97" s="6">
        <f t="shared" ref="Y97:Y104" si="28">1-I97</f>
        <v>0.11195905433551445</v>
      </c>
    </row>
    <row r="98" spans="1:25" x14ac:dyDescent="0.2">
      <c r="A98">
        <f t="shared" si="18"/>
        <v>45</v>
      </c>
      <c r="B98" s="2">
        <f t="shared" si="19"/>
        <v>44872</v>
      </c>
      <c r="C98">
        <f>'311 cov wlz'!D98-'311 cov wlz'!E98+'312 cov nwlz'!D98-'312 cov nwlz'!E98+'321 ncov wlz'!D98-'321 ncov wlz'!E98+'322 ncov nwlz'!D98-'322 ncov nwlz'!E98</f>
        <v>18</v>
      </c>
      <c r="D98" s="1">
        <v>226347.8600000001</v>
      </c>
      <c r="E98" s="1">
        <f>Oversterfte!C360</f>
        <v>3171</v>
      </c>
      <c r="F98">
        <f>'311 cov wlz'!D98+'312 cov nwlz'!D98+'321 ncov wlz'!D98+'322 ncov nwlz'!D98</f>
        <v>2830</v>
      </c>
      <c r="H98" s="6">
        <v>0.8914951010008425</v>
      </c>
      <c r="I98" s="6">
        <f t="shared" si="25"/>
        <v>0.89295500723437915</v>
      </c>
      <c r="J98" s="1">
        <f t="shared" si="22"/>
        <v>85.392833272349321</v>
      </c>
      <c r="K98" s="1">
        <f t="shared" si="26"/>
        <v>-67.392833272349321</v>
      </c>
      <c r="M98">
        <v>1754</v>
      </c>
      <c r="N98" s="1">
        <v>17062.14000000013</v>
      </c>
      <c r="O98" s="1">
        <f t="shared" ref="O98:O129" si="29">(N99+N100+N101+N102)*M98/838661</f>
        <v>53.526383532797787</v>
      </c>
      <c r="P98">
        <v>1031</v>
      </c>
      <c r="Q98" s="1">
        <v>53446.920000000158</v>
      </c>
      <c r="R98" s="1">
        <f t="shared" si="23"/>
        <v>38.293867297685338</v>
      </c>
      <c r="W98" s="6">
        <f t="shared" si="21"/>
        <v>-1.4599062335366453E-3</v>
      </c>
      <c r="X98" s="6">
        <f t="shared" si="27"/>
        <v>0.1085048989991575</v>
      </c>
      <c r="Y98" s="6">
        <f t="shared" si="28"/>
        <v>0.10704499276562085</v>
      </c>
    </row>
    <row r="99" spans="1:25" x14ac:dyDescent="0.2">
      <c r="A99">
        <f t="shared" si="18"/>
        <v>46</v>
      </c>
      <c r="B99" s="2">
        <f t="shared" si="19"/>
        <v>44879</v>
      </c>
      <c r="C99">
        <f>'311 cov wlz'!D99-'311 cov wlz'!E99+'312 cov nwlz'!D99-'312 cov nwlz'!E99+'321 ncov wlz'!D99-'321 ncov wlz'!E99+'322 ncov nwlz'!D99-'322 ncov nwlz'!E99</f>
        <v>22</v>
      </c>
      <c r="D99" s="1">
        <v>116938.74999999988</v>
      </c>
      <c r="E99" s="1">
        <f>Oversterfte!C361</f>
        <v>3222</v>
      </c>
      <c r="F99">
        <f>'311 cov wlz'!D99+'312 cov nwlz'!D99+'321 ncov wlz'!D99+'322 ncov nwlz'!D99</f>
        <v>2904</v>
      </c>
      <c r="H99" s="6">
        <v>0.8914951010008425</v>
      </c>
      <c r="I99" s="6">
        <f t="shared" ref="I99:I104" si="30">(0.5*F99/E99+0.25*(F98/E98+F100/E100))</f>
        <v>0.89949352480880906</v>
      </c>
      <c r="J99" s="1">
        <f t="shared" si="22"/>
        <v>74.24802988146476</v>
      </c>
      <c r="K99" s="1">
        <f t="shared" ref="K99:K105" si="31">C99-J99</f>
        <v>-52.24802988146476</v>
      </c>
      <c r="M99">
        <v>1766</v>
      </c>
      <c r="N99" s="1">
        <v>8531.0699999999488</v>
      </c>
      <c r="O99" s="1">
        <f t="shared" si="29"/>
        <v>48.375173019849306</v>
      </c>
      <c r="P99">
        <v>1054</v>
      </c>
      <c r="Q99" s="1">
        <v>36896.619999999879</v>
      </c>
      <c r="R99" s="1">
        <f t="shared" si="23"/>
        <v>31.461418250542899</v>
      </c>
      <c r="W99" s="6">
        <f t="shared" si="21"/>
        <v>-7.9984238079665593E-3</v>
      </c>
      <c r="X99" s="6">
        <f t="shared" si="27"/>
        <v>0.1085048989991575</v>
      </c>
      <c r="Y99" s="6">
        <f t="shared" si="28"/>
        <v>0.10050647519119094</v>
      </c>
    </row>
    <row r="100" spans="1:25" x14ac:dyDescent="0.2">
      <c r="A100">
        <f t="shared" si="18"/>
        <v>47</v>
      </c>
      <c r="B100" s="2">
        <f t="shared" si="19"/>
        <v>44886</v>
      </c>
      <c r="C100">
        <f>'311 cov wlz'!D100-'311 cov wlz'!E100+'312 cov nwlz'!D100-'312 cov nwlz'!E100+'321 ncov wlz'!D100-'321 ncov wlz'!E100+'322 ncov nwlz'!D100-'322 ncov nwlz'!E100</f>
        <v>17</v>
      </c>
      <c r="D100" s="1">
        <v>92909.039999999921</v>
      </c>
      <c r="E100" s="1">
        <f>Oversterfte!C362</f>
        <v>3409</v>
      </c>
      <c r="F100">
        <f>'311 cov wlz'!D100+'312 cov nwlz'!D100+'321 ncov wlz'!D100+'322 ncov nwlz'!D100</f>
        <v>3078</v>
      </c>
      <c r="H100" s="6">
        <v>0.8914951010008425</v>
      </c>
      <c r="I100" s="6">
        <f t="shared" si="30"/>
        <v>0.90250678623855518</v>
      </c>
      <c r="J100" s="1">
        <f t="shared" si="22"/>
        <v>49.605441700372481</v>
      </c>
      <c r="K100" s="1">
        <f t="shared" si="31"/>
        <v>-32.605441700372481</v>
      </c>
      <c r="M100">
        <v>1876</v>
      </c>
      <c r="N100" s="1">
        <v>8531.0699999999488</v>
      </c>
      <c r="O100" s="1">
        <f t="shared" si="29"/>
        <v>32.305206704496726</v>
      </c>
      <c r="P100">
        <v>1057</v>
      </c>
      <c r="Q100" s="1">
        <v>26723.459999999963</v>
      </c>
      <c r="R100" s="1">
        <f t="shared" si="23"/>
        <v>21.033977919559707</v>
      </c>
      <c r="W100" s="6">
        <f t="shared" si="21"/>
        <v>-1.1011685237712676E-2</v>
      </c>
      <c r="X100" s="6">
        <f t="shared" si="27"/>
        <v>0.1085048989991575</v>
      </c>
      <c r="Y100" s="6">
        <f t="shared" si="28"/>
        <v>9.7493213761444819E-2</v>
      </c>
    </row>
    <row r="101" spans="1:25" x14ac:dyDescent="0.2">
      <c r="A101">
        <f t="shared" si="18"/>
        <v>48</v>
      </c>
      <c r="B101" s="2">
        <f t="shared" si="19"/>
        <v>44893</v>
      </c>
      <c r="C101">
        <f>'311 cov wlz'!D101-'311 cov wlz'!E101+'312 cov nwlz'!D101-'312 cov nwlz'!E101+'321 ncov wlz'!D101-'321 ncov wlz'!E101+'322 ncov nwlz'!D101-'322 ncov nwlz'!E101</f>
        <v>23</v>
      </c>
      <c r="D101" s="1">
        <v>68626.349999999977</v>
      </c>
      <c r="E101" s="1">
        <f>Oversterfte!C363</f>
        <v>3430</v>
      </c>
      <c r="F101">
        <f>'311 cov wlz'!D101+'312 cov nwlz'!D101+'321 ncov wlz'!D101+'322 ncov nwlz'!D101</f>
        <v>3097</v>
      </c>
      <c r="H101" s="6">
        <v>0.89150243010182084</v>
      </c>
      <c r="I101" s="6">
        <f t="shared" si="30"/>
        <v>0.9002893869009585</v>
      </c>
      <c r="J101" s="1">
        <f t="shared" si="22"/>
        <v>43.73351803353934</v>
      </c>
      <c r="K101" s="1">
        <f t="shared" si="31"/>
        <v>-20.73351803353934</v>
      </c>
      <c r="M101">
        <v>1844</v>
      </c>
      <c r="N101" s="1">
        <v>5910.890000000014</v>
      </c>
      <c r="O101" s="1">
        <f t="shared" si="29"/>
        <v>24.518732837225052</v>
      </c>
      <c r="P101">
        <v>1131</v>
      </c>
      <c r="Q101" s="1">
        <v>16550.300000000047</v>
      </c>
      <c r="R101" s="1">
        <f t="shared" si="23"/>
        <v>22.506555370881767</v>
      </c>
      <c r="W101" s="6">
        <f t="shared" si="21"/>
        <v>-8.7869567991376574E-3</v>
      </c>
      <c r="X101" s="6">
        <f t="shared" si="27"/>
        <v>0.10849756989817916</v>
      </c>
      <c r="Y101" s="6">
        <f t="shared" si="28"/>
        <v>9.9710613099041501E-2</v>
      </c>
    </row>
    <row r="102" spans="1:25" x14ac:dyDescent="0.2">
      <c r="A102">
        <f t="shared" si="18"/>
        <v>49</v>
      </c>
      <c r="B102" s="2">
        <f t="shared" si="19"/>
        <v>44900</v>
      </c>
      <c r="C102">
        <f>'311 cov wlz'!D102-'311 cov wlz'!E102+'312 cov nwlz'!D102-'312 cov nwlz'!E102+'321 ncov wlz'!D102-'321 ncov wlz'!E102+'322 ncov nwlz'!D102-'322 ncov nwlz'!E102</f>
        <v>25</v>
      </c>
      <c r="D102" s="1">
        <v>45922.830000000307</v>
      </c>
      <c r="E102" s="1">
        <f>Oversterfte!C364</f>
        <v>3616</v>
      </c>
      <c r="F102">
        <f>'311 cov wlz'!D102+'312 cov nwlz'!D102+'321 ncov wlz'!D102+'322 ncov nwlz'!D102</f>
        <v>3227</v>
      </c>
      <c r="H102" s="6">
        <f>H101</f>
        <v>0.89150243010182084</v>
      </c>
      <c r="I102" s="6">
        <f t="shared" si="30"/>
        <v>0.89566386988332536</v>
      </c>
      <c r="J102" s="1">
        <f t="shared" si="22"/>
        <v>32.345934626240826</v>
      </c>
      <c r="K102" s="1">
        <f t="shared" si="31"/>
        <v>-7.345934626240826</v>
      </c>
      <c r="M102">
        <v>2015</v>
      </c>
      <c r="N102" s="1">
        <v>2620.1799999999348</v>
      </c>
      <c r="O102" s="1">
        <f t="shared" si="29"/>
        <v>20.49708529429666</v>
      </c>
      <c r="P102">
        <v>1133</v>
      </c>
      <c r="Q102" s="1">
        <v>19587.410000000149</v>
      </c>
      <c r="R102" s="1">
        <f t="shared" si="23"/>
        <v>14.283489572628957</v>
      </c>
      <c r="W102" s="6">
        <f t="shared" si="21"/>
        <v>-4.1614397815045168E-3</v>
      </c>
      <c r="X102" s="6">
        <f t="shared" si="27"/>
        <v>0.10849756989817916</v>
      </c>
      <c r="Y102" s="6">
        <f t="shared" si="28"/>
        <v>0.10433613011667464</v>
      </c>
    </row>
    <row r="103" spans="1:25" x14ac:dyDescent="0.2">
      <c r="A103">
        <f t="shared" si="18"/>
        <v>50</v>
      </c>
      <c r="B103" s="2">
        <f t="shared" si="19"/>
        <v>44907</v>
      </c>
      <c r="C103">
        <f>'311 cov wlz'!D103-'311 cov wlz'!E103+'312 cov nwlz'!D103-'312 cov nwlz'!E103+'321 ncov wlz'!D103-'321 ncov wlz'!E103+'322 ncov nwlz'!D103-'322 ncov nwlz'!E103</f>
        <v>23</v>
      </c>
      <c r="D103" s="1">
        <v>47459.999999999884</v>
      </c>
      <c r="E103" s="1">
        <f>Oversterfte!C365</f>
        <v>3996</v>
      </c>
      <c r="F103">
        <f>'311 cov wlz'!D103+'312 cov nwlz'!D103+'321 ncov wlz'!D103+'322 ncov nwlz'!D103</f>
        <v>3576</v>
      </c>
      <c r="H103" s="6">
        <f t="shared" ref="H103:H105" si="32">H102</f>
        <v>0.89150243010182084</v>
      </c>
      <c r="I103" s="6">
        <f t="shared" si="30"/>
        <v>0.89491053787425645</v>
      </c>
      <c r="J103" s="1">
        <f t="shared" si="22"/>
        <v>13.663883061258023</v>
      </c>
      <c r="K103" s="1">
        <f t="shared" si="31"/>
        <v>9.3361169387419771</v>
      </c>
      <c r="M103">
        <v>2255</v>
      </c>
      <c r="N103" s="1">
        <v>5910.890000000014</v>
      </c>
      <c r="O103" s="1">
        <f t="shared" si="29"/>
        <v>7.0451659252071046</v>
      </c>
      <c r="P103">
        <v>1241</v>
      </c>
      <c r="Q103" s="1">
        <v>17309.209999999963</v>
      </c>
      <c r="R103" s="1">
        <f t="shared" si="23"/>
        <v>7.6471814524896926</v>
      </c>
      <c r="W103" s="6">
        <f t="shared" si="21"/>
        <v>-3.408107772435609E-3</v>
      </c>
      <c r="X103" s="6">
        <f t="shared" si="27"/>
        <v>0.10849756989817916</v>
      </c>
      <c r="Y103" s="6">
        <f t="shared" si="28"/>
        <v>0.10508946212574355</v>
      </c>
    </row>
    <row r="104" spans="1:25" x14ac:dyDescent="0.2">
      <c r="A104">
        <f t="shared" si="18"/>
        <v>51</v>
      </c>
      <c r="B104" s="2">
        <f t="shared" si="19"/>
        <v>44914</v>
      </c>
      <c r="C104">
        <f>'311 cov wlz'!D104-'311 cov wlz'!E104+'312 cov nwlz'!D104-'312 cov nwlz'!E104+'321 ncov wlz'!D104-'321 ncov wlz'!E104+'322 ncov nwlz'!D104-'322 ncov nwlz'!E104</f>
        <v>33</v>
      </c>
      <c r="D104" s="1">
        <v>22064.770000000019</v>
      </c>
      <c r="E104" s="1">
        <f>Oversterfte!C366</f>
        <v>4202</v>
      </c>
      <c r="F104">
        <f>'311 cov wlz'!D104+'312 cov nwlz'!D104+'321 ncov wlz'!D104+'322 ncov nwlz'!D104</f>
        <v>3771</v>
      </c>
      <c r="H104" s="6">
        <f t="shared" si="32"/>
        <v>0.89150243010182084</v>
      </c>
      <c r="I104" s="6">
        <f t="shared" si="30"/>
        <v>0.89722091457002051</v>
      </c>
      <c r="J104" s="1">
        <f t="shared" si="22"/>
        <v>14.456066468188268</v>
      </c>
      <c r="K104" s="1">
        <f t="shared" si="31"/>
        <v>18.543933531811732</v>
      </c>
      <c r="M104">
        <v>2431</v>
      </c>
      <c r="N104" s="1">
        <v>0</v>
      </c>
      <c r="O104" s="1">
        <f t="shared" si="29"/>
        <v>7.5950325340037574</v>
      </c>
      <c r="P104">
        <v>1290</v>
      </c>
      <c r="Q104" s="1">
        <v>0</v>
      </c>
      <c r="R104" s="1">
        <f t="shared" si="23"/>
        <v>7.9491249586718</v>
      </c>
      <c r="W104" s="6">
        <f t="shared" si="21"/>
        <v>-5.7184844681996694E-3</v>
      </c>
      <c r="X104" s="6">
        <f t="shared" si="27"/>
        <v>0.10849756989817916</v>
      </c>
      <c r="Y104" s="6">
        <f t="shared" si="28"/>
        <v>0.10277908542997949</v>
      </c>
    </row>
    <row r="105" spans="1:25" x14ac:dyDescent="0.2">
      <c r="A105">
        <f t="shared" ref="A105" si="33">A104+1</f>
        <v>52</v>
      </c>
      <c r="B105" s="2">
        <f t="shared" ref="B105" si="34">B104+7</f>
        <v>44921</v>
      </c>
      <c r="C105">
        <f>'311 cov wlz'!D105-'311 cov wlz'!E105+'312 cov nwlz'!D105-'312 cov nwlz'!E105+'321 ncov wlz'!D105-'321 ncov wlz'!E105+'322 ncov nwlz'!D105-'322 ncov nwlz'!E105</f>
        <v>31</v>
      </c>
      <c r="D105" s="1">
        <v>34869.059999999939</v>
      </c>
      <c r="E105" s="1">
        <f>Oversterfte!C367</f>
        <v>4134</v>
      </c>
      <c r="F105">
        <f>'311 cov wlz'!D105+'312 cov nwlz'!D105+'321 ncov wlz'!D105+'322 ncov nwlz'!D105</f>
        <v>3717</v>
      </c>
      <c r="H105" s="6">
        <f t="shared" si="32"/>
        <v>0.89150243010182084</v>
      </c>
      <c r="I105" s="6">
        <f>I104</f>
        <v>0.89722091457002051</v>
      </c>
      <c r="J105" s="1">
        <f t="shared" ref="J105" si="35">(O105+R105+U105)*0.93</f>
        <v>0</v>
      </c>
      <c r="K105" s="1">
        <f t="shared" si="31"/>
        <v>31</v>
      </c>
      <c r="M105">
        <v>2331</v>
      </c>
      <c r="N105" s="1">
        <v>2620.1800000000512</v>
      </c>
      <c r="O105" s="1">
        <f t="shared" si="29"/>
        <v>0</v>
      </c>
      <c r="P105">
        <v>1282</v>
      </c>
      <c r="Q105" s="1">
        <v>16550.300000000047</v>
      </c>
      <c r="R105" s="1">
        <f t="shared" ref="R105" si="36">(Q106+Q107+Q108+Q109)*P105/2685816</f>
        <v>0</v>
      </c>
      <c r="W105" s="6">
        <f t="shared" si="21"/>
        <v>-5.7184844681996694E-3</v>
      </c>
      <c r="X105" s="6"/>
      <c r="Y105" s="6"/>
    </row>
    <row r="109" spans="1:25" x14ac:dyDescent="0.2">
      <c r="N109">
        <v>0</v>
      </c>
      <c r="Q109">
        <v>0</v>
      </c>
    </row>
    <row r="110" spans="1:25" x14ac:dyDescent="0.2">
      <c r="N110">
        <v>0</v>
      </c>
      <c r="Q110">
        <v>0</v>
      </c>
    </row>
    <row r="111" spans="1:25" x14ac:dyDescent="0.2">
      <c r="E111" s="1"/>
      <c r="F111" s="1"/>
      <c r="G111" s="1"/>
      <c r="N111">
        <v>0</v>
      </c>
      <c r="Q111">
        <v>0</v>
      </c>
    </row>
    <row r="112" spans="1:25" x14ac:dyDescent="0.2">
      <c r="N112">
        <v>0</v>
      </c>
      <c r="Q112">
        <v>0</v>
      </c>
    </row>
    <row r="113" spans="14:17" x14ac:dyDescent="0.2">
      <c r="N113">
        <v>0</v>
      </c>
      <c r="Q113">
        <v>0</v>
      </c>
    </row>
    <row r="114" spans="14:17" x14ac:dyDescent="0.2">
      <c r="N114">
        <v>3895.38</v>
      </c>
      <c r="Q114">
        <v>0</v>
      </c>
    </row>
    <row r="115" spans="14:17" x14ac:dyDescent="0.2">
      <c r="N115">
        <v>0</v>
      </c>
      <c r="Q115">
        <v>10037.780000000001</v>
      </c>
    </row>
    <row r="116" spans="14:17" x14ac:dyDescent="0.2">
      <c r="N116">
        <v>31150.429999999997</v>
      </c>
      <c r="Q116">
        <v>16150.959999999997</v>
      </c>
    </row>
    <row r="117" spans="14:17" x14ac:dyDescent="0.2">
      <c r="N117">
        <v>40371.459999999992</v>
      </c>
      <c r="Q117">
        <v>6440.6000000000022</v>
      </c>
    </row>
    <row r="118" spans="14:17" x14ac:dyDescent="0.2">
      <c r="N118">
        <v>78503.450000000041</v>
      </c>
      <c r="Q118">
        <v>0</v>
      </c>
    </row>
    <row r="119" spans="14:17" x14ac:dyDescent="0.2">
      <c r="N119">
        <v>115399.02999999997</v>
      </c>
      <c r="Q119">
        <v>0</v>
      </c>
    </row>
    <row r="120" spans="14:17" x14ac:dyDescent="0.2">
      <c r="N120">
        <v>85070.409999999974</v>
      </c>
      <c r="Q120">
        <v>16478.38</v>
      </c>
    </row>
    <row r="121" spans="14:17" x14ac:dyDescent="0.2">
      <c r="N121">
        <v>94579.620000000054</v>
      </c>
      <c r="Q121">
        <v>0</v>
      </c>
    </row>
    <row r="122" spans="14:17" x14ac:dyDescent="0.2">
      <c r="N122">
        <v>102175.68999999994</v>
      </c>
      <c r="Q122">
        <v>22591.559999999998</v>
      </c>
    </row>
    <row r="123" spans="14:17" x14ac:dyDescent="0.2">
      <c r="N123">
        <v>59772.380000000005</v>
      </c>
      <c r="Q123">
        <v>25762.399999999994</v>
      </c>
    </row>
    <row r="124" spans="14:17" x14ac:dyDescent="0.2">
      <c r="N124">
        <v>37912.080000000075</v>
      </c>
      <c r="Q124">
        <v>71272.94</v>
      </c>
    </row>
    <row r="125" spans="14:17" x14ac:dyDescent="0.2">
      <c r="N125">
        <v>17369.070000000065</v>
      </c>
      <c r="Q125">
        <v>64832.34</v>
      </c>
    </row>
    <row r="126" spans="14:17" x14ac:dyDescent="0.2">
      <c r="N126">
        <v>8386.6099999998696</v>
      </c>
      <c r="Q126">
        <v>181387.32000000004</v>
      </c>
    </row>
    <row r="127" spans="14:17" x14ac:dyDescent="0.2">
      <c r="N127">
        <v>12877.839999999967</v>
      </c>
      <c r="Q127">
        <v>203750.38</v>
      </c>
    </row>
    <row r="128" spans="14:17" x14ac:dyDescent="0.2">
      <c r="N128">
        <v>4491.2299999999814</v>
      </c>
      <c r="Q128">
        <v>349535.36</v>
      </c>
    </row>
    <row r="129" spans="14:17" x14ac:dyDescent="0.2">
      <c r="N129">
        <v>8386.6100000001024</v>
      </c>
      <c r="Q129">
        <v>397505.02</v>
      </c>
    </row>
    <row r="130" spans="14:17" x14ac:dyDescent="0.2">
      <c r="N130">
        <v>8386.609999999986</v>
      </c>
      <c r="Q130">
        <v>418536.61999999988</v>
      </c>
    </row>
    <row r="131" spans="14:17" x14ac:dyDescent="0.2">
      <c r="N131">
        <v>2578.0899999999674</v>
      </c>
      <c r="Q131">
        <v>296226.5399999998</v>
      </c>
    </row>
    <row r="132" spans="14:17" x14ac:dyDescent="0.2">
      <c r="N132">
        <v>5808.5200000000186</v>
      </c>
      <c r="Q132">
        <v>156352.46000000043</v>
      </c>
    </row>
    <row r="133" spans="14:17" x14ac:dyDescent="0.2">
      <c r="N133">
        <v>8386.609999999986</v>
      </c>
      <c r="Q133">
        <v>49861.479999999981</v>
      </c>
    </row>
    <row r="134" spans="14:17" x14ac:dyDescent="0.2">
      <c r="N134">
        <v>3895.3799999998882</v>
      </c>
      <c r="Q134">
        <v>36553.939999999944</v>
      </c>
    </row>
    <row r="135" spans="14:17" x14ac:dyDescent="0.2">
      <c r="N135">
        <v>78516.075674181935</v>
      </c>
      <c r="Q135">
        <v>223509.39895846229</v>
      </c>
    </row>
    <row r="136" spans="14:17" x14ac:dyDescent="0.2">
      <c r="N136">
        <v>68720.385291170052</v>
      </c>
      <c r="Q136">
        <v>195624.29579849736</v>
      </c>
    </row>
    <row r="137" spans="14:17" x14ac:dyDescent="0.2">
      <c r="N137">
        <v>51918.964231421494</v>
      </c>
      <c r="Q137">
        <v>147796.18556161143</v>
      </c>
    </row>
    <row r="138" spans="14:17" x14ac:dyDescent="0.2">
      <c r="N138">
        <v>47846.358247916389</v>
      </c>
      <c r="Q138">
        <v>136202.81811740558</v>
      </c>
    </row>
    <row r="139" spans="14:17" x14ac:dyDescent="0.2">
      <c r="N139">
        <v>48655.183825494212</v>
      </c>
      <c r="Q139">
        <v>138505.27805512372</v>
      </c>
    </row>
    <row r="140" spans="14:17" x14ac:dyDescent="0.2">
      <c r="N140">
        <v>42318.569240520694</v>
      </c>
      <c r="Q140">
        <v>120467.02403952513</v>
      </c>
    </row>
    <row r="141" spans="14:17" x14ac:dyDescent="0.2">
      <c r="N141">
        <v>17536.310828415513</v>
      </c>
      <c r="Q141">
        <v>49920.099286072254</v>
      </c>
    </row>
    <row r="142" spans="14:17" x14ac:dyDescent="0.2">
      <c r="N142">
        <v>15392.351102817707</v>
      </c>
      <c r="Q142">
        <v>43816.952312094203</v>
      </c>
    </row>
    <row r="143" spans="14:17" x14ac:dyDescent="0.2">
      <c r="N143">
        <v>11241.281412353996</v>
      </c>
      <c r="Q143">
        <v>32000.224545409357</v>
      </c>
    </row>
    <row r="144" spans="14:17" x14ac:dyDescent="0.2">
      <c r="N144">
        <v>7142.4612822567942</v>
      </c>
      <c r="Q144">
        <v>20332.234062562078</v>
      </c>
    </row>
    <row r="145" spans="14:17" x14ac:dyDescent="0.2">
      <c r="N145">
        <v>8537.5305018032359</v>
      </c>
      <c r="Q145">
        <v>24303.536500806673</v>
      </c>
    </row>
    <row r="146" spans="14:17" x14ac:dyDescent="0.2">
      <c r="N146">
        <v>7645.0579655542742</v>
      </c>
      <c r="Q146">
        <v>21762.961230696317</v>
      </c>
    </row>
    <row r="147" spans="14:17" x14ac:dyDescent="0.2">
      <c r="N147">
        <v>6654.9377332497679</v>
      </c>
      <c r="Q147">
        <v>18944.415141646656</v>
      </c>
    </row>
    <row r="148" spans="14:17" x14ac:dyDescent="0.2">
      <c r="N148">
        <v>5968.127092536949</v>
      </c>
      <c r="Q148">
        <v>16989.291529241302</v>
      </c>
    </row>
    <row r="149" spans="14:17" x14ac:dyDescent="0.2">
      <c r="N149">
        <v>6034.1390798643088</v>
      </c>
      <c r="Q149">
        <v>17177.20590836562</v>
      </c>
    </row>
    <row r="150" spans="14:17" x14ac:dyDescent="0.2">
      <c r="N150">
        <v>6219.9020550328178</v>
      </c>
      <c r="Q150">
        <v>17706.011895829179</v>
      </c>
    </row>
    <row r="151" spans="14:17" x14ac:dyDescent="0.2">
      <c r="N151">
        <v>6486.4522637896844</v>
      </c>
      <c r="Q151">
        <v>18464.792520560401</v>
      </c>
    </row>
    <row r="152" spans="14:17" x14ac:dyDescent="0.2">
      <c r="N152">
        <v>7153.0660961054127</v>
      </c>
      <c r="Q152">
        <v>20362.422473648836</v>
      </c>
    </row>
    <row r="153" spans="14:17" x14ac:dyDescent="0.2">
      <c r="N153">
        <v>6980.9463926859707</v>
      </c>
      <c r="Q153">
        <v>19872.45438584184</v>
      </c>
    </row>
    <row r="154" spans="14:17" x14ac:dyDescent="0.2">
      <c r="N154">
        <v>6559.9114518534334</v>
      </c>
      <c r="Q154">
        <v>18673.906626571486</v>
      </c>
    </row>
    <row r="155" spans="14:17" x14ac:dyDescent="0.2">
      <c r="N155">
        <v>98462.962285390997</v>
      </c>
      <c r="Q155">
        <v>22291.176718315226</v>
      </c>
    </row>
    <row r="156" spans="14:17" x14ac:dyDescent="0.2">
      <c r="N156">
        <v>192659.88499036571</v>
      </c>
      <c r="Q156">
        <v>62964.395674495718</v>
      </c>
    </row>
    <row r="157" spans="14:17" x14ac:dyDescent="0.2">
      <c r="N157">
        <v>227578.15002558814</v>
      </c>
      <c r="Q157">
        <v>193289.92019601277</v>
      </c>
    </row>
    <row r="158" spans="14:17" x14ac:dyDescent="0.2">
      <c r="N158">
        <v>135697.44864263202</v>
      </c>
      <c r="Q158">
        <v>518496.03078594944</v>
      </c>
    </row>
    <row r="159" spans="14:17" x14ac:dyDescent="0.2">
      <c r="N159">
        <v>51956.350383448065</v>
      </c>
      <c r="Q159">
        <v>624419.01511970989</v>
      </c>
    </row>
    <row r="160" spans="14:17" x14ac:dyDescent="0.2">
      <c r="N160">
        <v>32416.882685077679</v>
      </c>
      <c r="Q160">
        <v>477352.87551487255</v>
      </c>
    </row>
    <row r="161" spans="14:17" x14ac:dyDescent="0.2">
      <c r="N161">
        <v>18875.507214541511</v>
      </c>
      <c r="Q161">
        <v>256061.47952475841</v>
      </c>
    </row>
    <row r="162" spans="14:17" x14ac:dyDescent="0.2">
      <c r="N162">
        <v>9814.3640008434868</v>
      </c>
      <c r="Q162">
        <v>101480.48268724824</v>
      </c>
    </row>
    <row r="163" spans="14:17" x14ac:dyDescent="0.2">
      <c r="N163">
        <v>6124.9309608820731</v>
      </c>
      <c r="Q163">
        <v>43479.200453940008</v>
      </c>
    </row>
    <row r="164" spans="14:17" x14ac:dyDescent="0.2">
      <c r="N164">
        <v>5233.5556350952093</v>
      </c>
      <c r="Q164">
        <v>28440.951347763272</v>
      </c>
    </row>
    <row r="165" spans="14:17" x14ac:dyDescent="0.2">
      <c r="N165">
        <v>5012.7241391966363</v>
      </c>
      <c r="Q165">
        <v>24516.998919899539</v>
      </c>
    </row>
    <row r="166" spans="14:17" x14ac:dyDescent="0.2">
      <c r="N166">
        <v>4121.8090062640431</v>
      </c>
      <c r="Q166">
        <v>17514.53002229863</v>
      </c>
    </row>
    <row r="167" spans="14:17" x14ac:dyDescent="0.2">
      <c r="N167">
        <v>3112.3959380592951</v>
      </c>
      <c r="Q167">
        <v>12409.390934557621</v>
      </c>
    </row>
    <row r="168" spans="14:17" x14ac:dyDescent="0.2">
      <c r="N168">
        <v>3607.1933337191135</v>
      </c>
      <c r="Q168">
        <v>12838.613448295817</v>
      </c>
    </row>
    <row r="169" spans="14:17" x14ac:dyDescent="0.2">
      <c r="N169">
        <v>7079.385603675657</v>
      </c>
      <c r="Q169">
        <v>23891.103707564027</v>
      </c>
    </row>
    <row r="170" spans="14:17" x14ac:dyDescent="0.2">
      <c r="N170">
        <v>15187.589417103582</v>
      </c>
      <c r="Q170">
        <v>49678.087941137594</v>
      </c>
    </row>
    <row r="171" spans="14:17" x14ac:dyDescent="0.2">
      <c r="N171">
        <v>21911.994332861072</v>
      </c>
      <c r="Q171">
        <v>73298.493402227963</v>
      </c>
    </row>
    <row r="172" spans="14:17" x14ac:dyDescent="0.2">
      <c r="N172">
        <v>27305.99600078673</v>
      </c>
      <c r="Q172">
        <v>80411.173703533728</v>
      </c>
    </row>
    <row r="173" spans="14:17" x14ac:dyDescent="0.2">
      <c r="N173">
        <v>25311.072508425616</v>
      </c>
      <c r="Q173">
        <v>88157.874626865669</v>
      </c>
    </row>
    <row r="174" spans="14:17" x14ac:dyDescent="0.2">
      <c r="N174">
        <v>14378.337396813207</v>
      </c>
      <c r="Q174">
        <v>58513.983346131696</v>
      </c>
    </row>
    <row r="175" spans="14:17" x14ac:dyDescent="0.2">
      <c r="N175">
        <v>7493.3271599967793</v>
      </c>
      <c r="Q175">
        <v>33852.765359529752</v>
      </c>
    </row>
    <row r="176" spans="14:17" x14ac:dyDescent="0.2">
      <c r="N176">
        <v>3973.3415411355736</v>
      </c>
      <c r="Q176">
        <v>20936.453505214369</v>
      </c>
    </row>
    <row r="177" spans="14:17" x14ac:dyDescent="0.2">
      <c r="N177">
        <v>2260.7766471308046</v>
      </c>
      <c r="Q177">
        <v>11892.110388355768</v>
      </c>
    </row>
    <row r="178" spans="14:17" x14ac:dyDescent="0.2">
      <c r="N178">
        <v>1357.4299123132025</v>
      </c>
      <c r="Q178">
        <v>7870.48304927751</v>
      </c>
    </row>
    <row r="179" spans="14:17" x14ac:dyDescent="0.2">
      <c r="N179">
        <v>1419.0358274972355</v>
      </c>
      <c r="Q179">
        <v>6385.6612237375602</v>
      </c>
    </row>
    <row r="180" spans="14:17" x14ac:dyDescent="0.2">
      <c r="N180">
        <v>1166.5518617021276</v>
      </c>
      <c r="Q180">
        <v>6868.3716755319147</v>
      </c>
    </row>
    <row r="181" spans="14:17" x14ac:dyDescent="0.2">
      <c r="N181">
        <v>805.23591899121129</v>
      </c>
      <c r="Q181">
        <v>3927.0126098586165</v>
      </c>
    </row>
    <row r="182" spans="14:17" x14ac:dyDescent="0.2">
      <c r="N182">
        <v>791.2405442409721</v>
      </c>
      <c r="Q182">
        <v>3337.1492384049288</v>
      </c>
    </row>
    <row r="183" spans="14:17" x14ac:dyDescent="0.2">
      <c r="N183">
        <v>496.36206370204536</v>
      </c>
      <c r="Q183">
        <v>3183.0925002544013</v>
      </c>
    </row>
    <row r="184" spans="14:17" x14ac:dyDescent="0.2">
      <c r="N184">
        <v>1014.5462731365683</v>
      </c>
      <c r="Q184">
        <v>5316.9739869934965</v>
      </c>
    </row>
    <row r="185" spans="14:17" x14ac:dyDescent="0.2">
      <c r="N185">
        <v>1188.0958002709503</v>
      </c>
      <c r="Q185">
        <v>6713.2447019547126</v>
      </c>
    </row>
    <row r="186" spans="14:17" x14ac:dyDescent="0.2">
      <c r="N186">
        <v>1146.8767697418859</v>
      </c>
      <c r="Q186">
        <v>5469.5330692563248</v>
      </c>
    </row>
    <row r="187" spans="14:17" x14ac:dyDescent="0.2">
      <c r="N187">
        <v>1067.116053142887</v>
      </c>
      <c r="Q187">
        <v>4898.8281258205116</v>
      </c>
    </row>
    <row r="188" spans="14:17" x14ac:dyDescent="0.2">
      <c r="N188">
        <v>2850.6855115715975</v>
      </c>
      <c r="Q188">
        <v>12879.978349006138</v>
      </c>
    </row>
    <row r="189" spans="14:17" x14ac:dyDescent="0.2">
      <c r="N189">
        <v>1437.8258229897463</v>
      </c>
      <c r="Q189">
        <v>7948.6762344846193</v>
      </c>
    </row>
    <row r="190" spans="14:17" x14ac:dyDescent="0.2">
      <c r="N190">
        <v>1576.0843672456576</v>
      </c>
      <c r="Q190">
        <v>7367.0004135649297</v>
      </c>
    </row>
    <row r="191" spans="14:17" x14ac:dyDescent="0.2">
      <c r="N191">
        <v>1189.9561084142395</v>
      </c>
      <c r="Q191">
        <v>5516.0034385113267</v>
      </c>
    </row>
    <row r="192" spans="14:17" x14ac:dyDescent="0.2">
      <c r="N192">
        <v>590.40348330914367</v>
      </c>
      <c r="Q192">
        <v>2889.7271407837447</v>
      </c>
    </row>
    <row r="193" spans="14:17" x14ac:dyDescent="0.2">
      <c r="N193">
        <v>395.52311707680838</v>
      </c>
      <c r="Q193">
        <v>2018.614932885906</v>
      </c>
    </row>
    <row r="194" spans="14:17" x14ac:dyDescent="0.2">
      <c r="N194">
        <v>192.78923541247485</v>
      </c>
      <c r="Q194">
        <v>1218.8563883299798</v>
      </c>
    </row>
    <row r="195" spans="14:17" x14ac:dyDescent="0.2">
      <c r="N195">
        <v>123.8744939271255</v>
      </c>
      <c r="Q195">
        <v>969.01821862348174</v>
      </c>
    </row>
    <row r="196" spans="14:17" x14ac:dyDescent="0.2">
      <c r="N196">
        <v>0</v>
      </c>
      <c r="Q196">
        <v>0</v>
      </c>
    </row>
    <row r="197" spans="14:17" x14ac:dyDescent="0.2">
      <c r="N197">
        <v>0</v>
      </c>
      <c r="Q197">
        <v>0</v>
      </c>
    </row>
    <row r="198" spans="14:17" x14ac:dyDescent="0.2">
      <c r="N198">
        <v>147450.74</v>
      </c>
      <c r="Q198">
        <v>83811.86</v>
      </c>
    </row>
    <row r="199" spans="14:17" x14ac:dyDescent="0.2">
      <c r="N199">
        <v>120623.64000000001</v>
      </c>
      <c r="Q199">
        <v>265865.16000000003</v>
      </c>
    </row>
    <row r="200" spans="14:17" x14ac:dyDescent="0.2">
      <c r="N200">
        <v>85310.700000000012</v>
      </c>
      <c r="Q200">
        <v>364715.65999999992</v>
      </c>
    </row>
    <row r="201" spans="14:17" x14ac:dyDescent="0.2">
      <c r="N201">
        <v>65008.649999999965</v>
      </c>
      <c r="Q201">
        <v>329033.94000000018</v>
      </c>
    </row>
    <row r="202" spans="14:17" x14ac:dyDescent="0.2">
      <c r="N202">
        <v>52521.909999999974</v>
      </c>
      <c r="Q202">
        <v>230035.06000000006</v>
      </c>
    </row>
    <row r="203" spans="14:17" x14ac:dyDescent="0.2">
      <c r="N203">
        <v>35459.770000000019</v>
      </c>
      <c r="Q203">
        <v>143790.45999999996</v>
      </c>
    </row>
    <row r="204" spans="14:17" x14ac:dyDescent="0.2">
      <c r="N204">
        <v>22353.299999999988</v>
      </c>
      <c r="Q204">
        <v>83207.489999999758</v>
      </c>
    </row>
    <row r="205" spans="14:17" x14ac:dyDescent="0.2">
      <c r="N205">
        <v>17062.14000000013</v>
      </c>
      <c r="Q205">
        <v>53446.920000000158</v>
      </c>
    </row>
    <row r="206" spans="14:17" x14ac:dyDescent="0.2">
      <c r="N206">
        <v>8531.0699999999488</v>
      </c>
      <c r="Q206">
        <v>36896.619999999879</v>
      </c>
    </row>
    <row r="207" spans="14:17" x14ac:dyDescent="0.2">
      <c r="N207">
        <v>8531.0699999999488</v>
      </c>
      <c r="Q207">
        <v>26723.459999999963</v>
      </c>
    </row>
    <row r="208" spans="14:17" x14ac:dyDescent="0.2">
      <c r="N208">
        <v>5910.890000000014</v>
      </c>
      <c r="Q208">
        <v>16550.300000000047</v>
      </c>
    </row>
    <row r="209" spans="14:17" x14ac:dyDescent="0.2">
      <c r="N209">
        <v>2620.1799999999348</v>
      </c>
      <c r="Q209">
        <v>19587.410000000149</v>
      </c>
    </row>
    <row r="210" spans="14:17" x14ac:dyDescent="0.2">
      <c r="N210">
        <v>5910.890000000014</v>
      </c>
      <c r="Q210">
        <v>17309.209999999963</v>
      </c>
    </row>
    <row r="211" spans="14:17" x14ac:dyDescent="0.2">
      <c r="N211">
        <v>0</v>
      </c>
      <c r="Q211">
        <v>0</v>
      </c>
    </row>
    <row r="212" spans="14:17" x14ac:dyDescent="0.2">
      <c r="N212">
        <v>2620.1800000000512</v>
      </c>
      <c r="Q212">
        <v>16550.300000000047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2331-2EF5-F546-890E-45B7BA151271}">
  <dimension ref="A1:AP124"/>
  <sheetViews>
    <sheetView tabSelected="1" zoomScale="90" zoomScaleNormal="90" workbookViewId="0">
      <pane xSplit="2" ySplit="1" topLeftCell="J60" activePane="bottomRight" state="frozen"/>
      <selection pane="topRight" activeCell="C1" sqref="C1"/>
      <selection pane="bottomLeft" activeCell="A2" sqref="A2"/>
      <selection pane="bottomRight" activeCell="Z69" sqref="Z69"/>
    </sheetView>
  </sheetViews>
  <sheetFormatPr baseColWidth="10" defaultRowHeight="16" x14ac:dyDescent="0.2"/>
  <cols>
    <col min="2" max="2" width="11.33203125" bestFit="1" customWidth="1"/>
  </cols>
  <sheetData>
    <row r="1" spans="1:42" x14ac:dyDescent="0.2">
      <c r="A1" t="s">
        <v>59</v>
      </c>
      <c r="B1" t="s">
        <v>63</v>
      </c>
      <c r="C1" t="s">
        <v>75</v>
      </c>
      <c r="D1" t="s">
        <v>85</v>
      </c>
      <c r="E1" t="s">
        <v>76</v>
      </c>
      <c r="F1" t="s">
        <v>84</v>
      </c>
      <c r="G1" t="s">
        <v>77</v>
      </c>
      <c r="H1" t="s">
        <v>86</v>
      </c>
      <c r="I1" t="s">
        <v>89</v>
      </c>
      <c r="K1" t="s">
        <v>90</v>
      </c>
      <c r="AO1" t="s">
        <v>91</v>
      </c>
      <c r="AP1" t="s">
        <v>92</v>
      </c>
    </row>
    <row r="2" spans="1:42" x14ac:dyDescent="0.2">
      <c r="A2">
        <v>1</v>
      </c>
      <c r="B2" s="2">
        <v>44200</v>
      </c>
      <c r="C2">
        <f>'311 cov wlz'!D2-'311 cov wlz'!E2+'312 cov nwlz'!D2-'312 cov nwlz'!E2</f>
        <v>0</v>
      </c>
      <c r="D2">
        <f>'311 cov wlz'!D2+'312 cov nwlz'!D2</f>
        <v>0</v>
      </c>
      <c r="E2">
        <v>1145</v>
      </c>
      <c r="F2" s="7">
        <f>verzamel!C2/verzamel!E2</f>
        <v>0</v>
      </c>
      <c r="G2" s="1">
        <f>E2*F2*0.93</f>
        <v>0</v>
      </c>
      <c r="H2" s="7">
        <f>C2/E2/0.93</f>
        <v>0</v>
      </c>
      <c r="AN2" s="1"/>
      <c r="AO2" s="1">
        <f>Oversterfte!D264</f>
        <v>907.34336507162743</v>
      </c>
    </row>
    <row r="3" spans="1:42" x14ac:dyDescent="0.2">
      <c r="A3">
        <f>A2+1</f>
        <v>2</v>
      </c>
      <c r="B3" s="2">
        <f>B2+7</f>
        <v>44207</v>
      </c>
      <c r="C3">
        <f>'311 cov wlz'!D3-'311 cov wlz'!E3+'312 cov nwlz'!D3-'312 cov nwlz'!E3</f>
        <v>0</v>
      </c>
      <c r="D3">
        <f>'311 cov wlz'!D3+'312 cov nwlz'!D3</f>
        <v>0</v>
      </c>
      <c r="E3">
        <v>1026</v>
      </c>
      <c r="F3" s="7">
        <f>verzamel!C3/verzamel!E3</f>
        <v>0</v>
      </c>
      <c r="G3" s="1">
        <f t="shared" ref="G3:G54" si="0">E3*F3*0.93</f>
        <v>0</v>
      </c>
      <c r="H3" s="7">
        <f t="shared" ref="H3:H54" si="1">C3/E3/0.93</f>
        <v>0</v>
      </c>
      <c r="K3" s="6">
        <f>verzamel!N3/838661</f>
        <v>0</v>
      </c>
      <c r="AN3" s="1"/>
      <c r="AO3" s="1">
        <f>Oversterfte!D265</f>
        <v>606.50096306034766</v>
      </c>
      <c r="AP3" s="1">
        <f>0.5*AO3+0.25*(AO2+AO4)</f>
        <v>682.85355080093973</v>
      </c>
    </row>
    <row r="4" spans="1:42" x14ac:dyDescent="0.2">
      <c r="A4">
        <f t="shared" ref="A4:A53" si="2">A3+1</f>
        <v>3</v>
      </c>
      <c r="B4" s="2">
        <f t="shared" ref="B4:B54" si="3">B3+7</f>
        <v>44214</v>
      </c>
      <c r="C4">
        <f>'311 cov wlz'!D4-'311 cov wlz'!E4+'312 cov nwlz'!D4-'312 cov nwlz'!E4</f>
        <v>0</v>
      </c>
      <c r="D4">
        <f>'311 cov wlz'!D4+'312 cov nwlz'!D4</f>
        <v>0</v>
      </c>
      <c r="E4">
        <v>984</v>
      </c>
      <c r="F4" s="7">
        <f>verzamel!C4/verzamel!E4</f>
        <v>0</v>
      </c>
      <c r="G4" s="1">
        <f t="shared" si="0"/>
        <v>0</v>
      </c>
      <c r="H4" s="7">
        <f t="shared" si="1"/>
        <v>0</v>
      </c>
      <c r="K4" s="6">
        <f>verzamel!N4/838661</f>
        <v>0</v>
      </c>
      <c r="AN4" s="1"/>
      <c r="AO4" s="1">
        <f>Oversterfte!D266</f>
        <v>611.06891201143617</v>
      </c>
      <c r="AP4" s="1">
        <f t="shared" ref="AP4:AP67" si="4">0.5*AO4+0.25*(AO3+AO5)</f>
        <v>572.94076800039227</v>
      </c>
    </row>
    <row r="5" spans="1:42" x14ac:dyDescent="0.2">
      <c r="A5">
        <f t="shared" si="2"/>
        <v>4</v>
      </c>
      <c r="B5" s="2">
        <f t="shared" si="3"/>
        <v>44221</v>
      </c>
      <c r="C5">
        <f>'311 cov wlz'!D5-'311 cov wlz'!E5+'312 cov nwlz'!D5-'312 cov nwlz'!E5</f>
        <v>8</v>
      </c>
      <c r="D5">
        <f>'311 cov wlz'!D5+'312 cov nwlz'!D5</f>
        <v>8</v>
      </c>
      <c r="E5">
        <v>822</v>
      </c>
      <c r="F5" s="7">
        <f>verzamel!C5/verzamel!E5</f>
        <v>7.8040904198062432E-3</v>
      </c>
      <c r="G5" s="1">
        <f t="shared" si="0"/>
        <v>5.9659149623250816</v>
      </c>
      <c r="H5" s="7">
        <f t="shared" si="1"/>
        <v>1.0464903330455485E-2</v>
      </c>
      <c r="K5" s="6">
        <f>verzamel!N5/838661</f>
        <v>0</v>
      </c>
      <c r="AN5" s="1"/>
      <c r="AO5" s="1">
        <f>Oversterfte!D267</f>
        <v>463.12428491834908</v>
      </c>
      <c r="AP5" s="1">
        <f t="shared" si="4"/>
        <v>485.00269700657338</v>
      </c>
    </row>
    <row r="6" spans="1:42" x14ac:dyDescent="0.2">
      <c r="A6">
        <f t="shared" si="2"/>
        <v>5</v>
      </c>
      <c r="B6" s="2">
        <f t="shared" si="3"/>
        <v>44228</v>
      </c>
      <c r="C6">
        <f>'311 cov wlz'!D6-'311 cov wlz'!E6+'312 cov nwlz'!D6-'312 cov nwlz'!E6</f>
        <v>33</v>
      </c>
      <c r="D6">
        <f>'311 cov wlz'!D6+'312 cov nwlz'!D6</f>
        <v>33</v>
      </c>
      <c r="E6">
        <v>735</v>
      </c>
      <c r="F6" s="7">
        <f>verzamel!C6/verzamel!E6</f>
        <v>7.170224411603722E-2</v>
      </c>
      <c r="G6" s="1">
        <f t="shared" si="0"/>
        <v>49.012068965517244</v>
      </c>
      <c r="H6" s="7">
        <f t="shared" si="1"/>
        <v>4.8277375466315553E-2</v>
      </c>
      <c r="I6" s="6">
        <f>1.07*D6/E6</f>
        <v>4.8040816326530615E-2</v>
      </c>
      <c r="K6" s="6">
        <f>verzamel!N6/838661</f>
        <v>0</v>
      </c>
      <c r="AN6" s="1"/>
      <c r="AO6" s="1">
        <f>Oversterfte!D268</f>
        <v>402.69330617815922</v>
      </c>
      <c r="AP6" s="1">
        <f t="shared" si="4"/>
        <v>393.0654651393919</v>
      </c>
    </row>
    <row r="7" spans="1:42" x14ac:dyDescent="0.2">
      <c r="A7">
        <f t="shared" si="2"/>
        <v>6</v>
      </c>
      <c r="B7" s="2">
        <f t="shared" si="3"/>
        <v>44235</v>
      </c>
      <c r="C7">
        <f>'311 cov wlz'!D7-'311 cov wlz'!E7+'312 cov nwlz'!D7-'312 cov nwlz'!E7</f>
        <v>125</v>
      </c>
      <c r="D7">
        <f>'311 cov wlz'!D7+'312 cov nwlz'!D7</f>
        <v>127</v>
      </c>
      <c r="E7">
        <v>691</v>
      </c>
      <c r="F7" s="7">
        <f>verzamel!C7/verzamel!E7</f>
        <v>0.15774647887323945</v>
      </c>
      <c r="G7" s="1">
        <f t="shared" si="0"/>
        <v>101.37261971830988</v>
      </c>
      <c r="H7" s="7">
        <f t="shared" si="1"/>
        <v>0.19451317243203708</v>
      </c>
      <c r="I7" s="6">
        <f>1.07*(0.5*D7/E7+0.25*(D6/E6+D8/E8))</f>
        <v>0.18213702637172524</v>
      </c>
      <c r="K7" s="6">
        <f>verzamel!N7/838661</f>
        <v>4.6447611132507654E-3</v>
      </c>
      <c r="AN7" s="1"/>
      <c r="AO7" s="1">
        <f>Oversterfte!D269</f>
        <v>303.7509632829001</v>
      </c>
      <c r="AP7" s="1">
        <f t="shared" si="4"/>
        <v>325.10414960108631</v>
      </c>
    </row>
    <row r="8" spans="1:42" x14ac:dyDescent="0.2">
      <c r="A8">
        <f t="shared" si="2"/>
        <v>7</v>
      </c>
      <c r="B8" s="2">
        <f t="shared" si="3"/>
        <v>44242</v>
      </c>
      <c r="C8">
        <f>'311 cov wlz'!D8-'311 cov wlz'!E8+'312 cov nwlz'!D8-'312 cov nwlz'!E8</f>
        <v>171</v>
      </c>
      <c r="D8">
        <f>'311 cov wlz'!D8+'312 cov nwlz'!D8</f>
        <v>175</v>
      </c>
      <c r="E8">
        <v>652</v>
      </c>
      <c r="F8" s="7">
        <f>verzamel!C8/verzamel!E8</f>
        <v>0.20691609977324263</v>
      </c>
      <c r="G8" s="1">
        <f t="shared" si="0"/>
        <v>125.4656462585034</v>
      </c>
      <c r="H8" s="7">
        <f t="shared" si="1"/>
        <v>0.28201068672075991</v>
      </c>
      <c r="I8" s="6">
        <f t="shared" ref="I8:I71" si="5">1.07*(0.5*D8/E8+0.25*(D7/E7+D9/E9))</f>
        <v>0.26256665736262996</v>
      </c>
      <c r="K8" s="6">
        <f>verzamel!N8/838661</f>
        <v>0</v>
      </c>
      <c r="AN8" s="1"/>
      <c r="AO8" s="1">
        <f>Oversterfte!D270</f>
        <v>290.2213656603858</v>
      </c>
      <c r="AP8" s="1">
        <f t="shared" si="4"/>
        <v>216.29313503035644</v>
      </c>
    </row>
    <row r="9" spans="1:42" x14ac:dyDescent="0.2">
      <c r="A9">
        <f t="shared" si="2"/>
        <v>8</v>
      </c>
      <c r="B9" s="2">
        <f t="shared" si="3"/>
        <v>44249</v>
      </c>
      <c r="C9">
        <f>'311 cov wlz'!D9-'311 cov wlz'!E9+'312 cov nwlz'!D9-'312 cov nwlz'!E9</f>
        <v>127</v>
      </c>
      <c r="D9">
        <f>'311 cov wlz'!D9+'312 cov nwlz'!D9</f>
        <v>131</v>
      </c>
      <c r="E9">
        <v>502</v>
      </c>
      <c r="F9" s="7">
        <f>verzamel!C9/verzamel!E9</f>
        <v>0.21359526036794513</v>
      </c>
      <c r="G9" s="1">
        <f t="shared" si="0"/>
        <v>99.719083255378862</v>
      </c>
      <c r="H9" s="7">
        <f t="shared" si="1"/>
        <v>0.27203015893415583</v>
      </c>
      <c r="I9" s="6">
        <f t="shared" si="5"/>
        <v>0.27907535130186589</v>
      </c>
      <c r="K9" s="6">
        <f>verzamel!N9/838661</f>
        <v>3.7143053033347202E-2</v>
      </c>
      <c r="AN9" s="1"/>
      <c r="AO9" s="1">
        <f>Oversterfte!D271</f>
        <v>-19.021154482245947</v>
      </c>
      <c r="AP9" s="1">
        <f t="shared" si="4"/>
        <v>36.507210353908818</v>
      </c>
    </row>
    <row r="10" spans="1:42" x14ac:dyDescent="0.2">
      <c r="A10">
        <f t="shared" si="2"/>
        <v>9</v>
      </c>
      <c r="B10" s="2">
        <f t="shared" si="3"/>
        <v>44256</v>
      </c>
      <c r="C10">
        <f>'311 cov wlz'!D10-'311 cov wlz'!E10+'312 cov nwlz'!D10-'312 cov nwlz'!E10</f>
        <v>103</v>
      </c>
      <c r="D10">
        <f>'311 cov wlz'!D10+'312 cov nwlz'!D10</f>
        <v>107</v>
      </c>
      <c r="E10">
        <v>423</v>
      </c>
      <c r="F10" s="7">
        <f>verzamel!C10/verzamel!E10</f>
        <v>0.1784219001610306</v>
      </c>
      <c r="G10" s="1">
        <f t="shared" si="0"/>
        <v>70.189391304347836</v>
      </c>
      <c r="H10" s="7">
        <f t="shared" si="1"/>
        <v>0.26182668598591724</v>
      </c>
      <c r="I10" s="6">
        <f t="shared" si="5"/>
        <v>0.26905882408164766</v>
      </c>
      <c r="K10" s="6">
        <f>verzamel!N10/838661</f>
        <v>4.8137996162931136E-2</v>
      </c>
      <c r="AN10" s="1"/>
      <c r="AO10" s="1">
        <f>Oversterfte!D272</f>
        <v>-106.15021528025864</v>
      </c>
      <c r="AP10" s="1">
        <f t="shared" si="4"/>
        <v>-44.926610974704545</v>
      </c>
    </row>
    <row r="11" spans="1:42" x14ac:dyDescent="0.2">
      <c r="A11">
        <f t="shared" si="2"/>
        <v>10</v>
      </c>
      <c r="B11" s="2">
        <f t="shared" si="3"/>
        <v>44263</v>
      </c>
      <c r="C11">
        <f>'311 cov wlz'!D11-'311 cov wlz'!E11+'312 cov nwlz'!D11-'312 cov nwlz'!E11</f>
        <v>76</v>
      </c>
      <c r="D11">
        <f>'311 cov wlz'!D11+'312 cov nwlz'!D11</f>
        <v>92</v>
      </c>
      <c r="E11">
        <v>385</v>
      </c>
      <c r="F11" s="7">
        <f>verzamel!C11/verzamel!E11</f>
        <v>0.16548536209553158</v>
      </c>
      <c r="G11" s="1">
        <f t="shared" si="0"/>
        <v>59.252033898305086</v>
      </c>
      <c r="H11" s="7">
        <f t="shared" si="1"/>
        <v>0.21226085742214776</v>
      </c>
      <c r="I11" s="6">
        <f t="shared" si="5"/>
        <v>0.24414600411408924</v>
      </c>
      <c r="K11" s="6">
        <f>verzamel!N11/838661</f>
        <v>9.3605700038513817E-2</v>
      </c>
      <c r="AN11" s="1"/>
      <c r="AO11" s="1">
        <f>Oversterfte!D273</f>
        <v>51.615141143945038</v>
      </c>
      <c r="AP11" s="1">
        <f t="shared" si="4"/>
        <v>-33.226573810171885</v>
      </c>
    </row>
    <row r="12" spans="1:42" x14ac:dyDescent="0.2">
      <c r="A12">
        <f t="shared" si="2"/>
        <v>11</v>
      </c>
      <c r="B12" s="2">
        <f t="shared" si="3"/>
        <v>44270</v>
      </c>
      <c r="C12">
        <f>'311 cov wlz'!D12-'311 cov wlz'!E12+'312 cov nwlz'!D12-'312 cov nwlz'!E12</f>
        <v>56</v>
      </c>
      <c r="D12">
        <f>'311 cov wlz'!D12+'312 cov nwlz'!D12</f>
        <v>64</v>
      </c>
      <c r="E12">
        <v>352</v>
      </c>
      <c r="F12" s="7">
        <f>verzamel!C12/verzamel!E12</f>
        <v>0.15149523496549458</v>
      </c>
      <c r="G12" s="1">
        <f t="shared" si="0"/>
        <v>49.593480118304306</v>
      </c>
      <c r="H12" s="7">
        <f t="shared" si="1"/>
        <v>0.17106549364613879</v>
      </c>
      <c r="I12" s="6">
        <f t="shared" si="5"/>
        <v>0.22028435743361119</v>
      </c>
      <c r="K12" s="6">
        <f>verzamel!N12/838661</f>
        <v>0.137599137196078</v>
      </c>
      <c r="AN12" s="1"/>
      <c r="AO12" s="1">
        <f>Oversterfte!D274</f>
        <v>-129.98636224831898</v>
      </c>
      <c r="AP12" s="1">
        <f t="shared" si="4"/>
        <v>-78.653003852086954</v>
      </c>
    </row>
    <row r="13" spans="1:42" x14ac:dyDescent="0.2">
      <c r="A13">
        <f t="shared" si="2"/>
        <v>12</v>
      </c>
      <c r="B13" s="2">
        <f t="shared" si="3"/>
        <v>44277</v>
      </c>
      <c r="C13">
        <f>'311 cov wlz'!D13-'311 cov wlz'!E13+'312 cov nwlz'!D13-'312 cov nwlz'!E13</f>
        <v>54</v>
      </c>
      <c r="D13">
        <f>'311 cov wlz'!D13+'312 cov nwlz'!D13</f>
        <v>74</v>
      </c>
      <c r="E13">
        <v>335</v>
      </c>
      <c r="F13" s="7">
        <f>verzamel!C13/verzamel!E13</f>
        <v>0.13797634691195795</v>
      </c>
      <c r="G13" s="1">
        <f t="shared" si="0"/>
        <v>42.986530880420503</v>
      </c>
      <c r="H13" s="7">
        <f t="shared" si="1"/>
        <v>0.17332691381800672</v>
      </c>
      <c r="I13" s="6">
        <f t="shared" si="5"/>
        <v>0.2143222987150685</v>
      </c>
      <c r="K13" s="6">
        <f>verzamel!N13/838661</f>
        <v>0.10143599141965583</v>
      </c>
      <c r="AN13" s="1"/>
      <c r="AO13" s="1">
        <f>Oversterfte!D275</f>
        <v>-106.25443205565489</v>
      </c>
      <c r="AP13" s="1">
        <f t="shared" si="4"/>
        <v>-72.50451614429403</v>
      </c>
    </row>
    <row r="14" spans="1:42" x14ac:dyDescent="0.2">
      <c r="A14">
        <f t="shared" si="2"/>
        <v>13</v>
      </c>
      <c r="B14" s="2">
        <f t="shared" si="3"/>
        <v>44284</v>
      </c>
      <c r="C14">
        <f>'311 cov wlz'!D14-'311 cov wlz'!E14+'312 cov nwlz'!D14-'312 cov nwlz'!E14</f>
        <v>48</v>
      </c>
      <c r="D14">
        <f>'311 cov wlz'!D14+'312 cov nwlz'!D14</f>
        <v>65</v>
      </c>
      <c r="E14">
        <v>366</v>
      </c>
      <c r="F14" s="7">
        <f>verzamel!C14/verzamel!E14</f>
        <v>0.13593455003146634</v>
      </c>
      <c r="G14" s="1">
        <f t="shared" si="0"/>
        <v>46.269402139710515</v>
      </c>
      <c r="H14" s="7">
        <f t="shared" si="1"/>
        <v>0.14101886127269522</v>
      </c>
      <c r="I14" s="6">
        <f t="shared" si="5"/>
        <v>0.20679260738038574</v>
      </c>
      <c r="K14" s="6">
        <f>verzamel!N14/838661</f>
        <v>0.1127745537231373</v>
      </c>
      <c r="AN14" s="1"/>
      <c r="AO14" s="1">
        <f>Oversterfte!D276</f>
        <v>52.47716178245264</v>
      </c>
      <c r="AP14" s="1">
        <f t="shared" si="4"/>
        <v>15.386335242050222</v>
      </c>
    </row>
    <row r="15" spans="1:42" x14ac:dyDescent="0.2">
      <c r="A15">
        <f t="shared" si="2"/>
        <v>14</v>
      </c>
      <c r="B15" s="2">
        <f t="shared" si="3"/>
        <v>44291</v>
      </c>
      <c r="C15">
        <f>'311 cov wlz'!D15-'311 cov wlz'!E15+'312 cov nwlz'!D15-'312 cov nwlz'!E15</f>
        <v>45</v>
      </c>
      <c r="D15">
        <f>'311 cov wlz'!D15+'312 cov nwlz'!D15</f>
        <v>65</v>
      </c>
      <c r="E15">
        <v>330</v>
      </c>
      <c r="F15" s="7">
        <f>verzamel!C15/verzamel!E15</f>
        <v>0.12618595825426945</v>
      </c>
      <c r="G15" s="1">
        <f t="shared" si="0"/>
        <v>38.726470588235294</v>
      </c>
      <c r="H15" s="7">
        <f t="shared" si="1"/>
        <v>0.14662756598240467</v>
      </c>
      <c r="I15" s="6">
        <f t="shared" si="5"/>
        <v>0.20793634311756196</v>
      </c>
      <c r="K15" s="6">
        <f>verzamel!N15/838661</f>
        <v>0.12183193209175094</v>
      </c>
      <c r="AN15" s="1"/>
      <c r="AO15" s="1">
        <f>Oversterfte!D277</f>
        <v>62.845449458950498</v>
      </c>
      <c r="AP15" s="1">
        <f t="shared" si="4"/>
        <v>60.907902964980394</v>
      </c>
    </row>
    <row r="16" spans="1:42" x14ac:dyDescent="0.2">
      <c r="A16">
        <f t="shared" si="2"/>
        <v>15</v>
      </c>
      <c r="B16" s="2">
        <f t="shared" si="3"/>
        <v>44298</v>
      </c>
      <c r="C16">
        <f>'311 cov wlz'!D16-'311 cov wlz'!E16+'312 cov nwlz'!D16-'312 cov nwlz'!E16</f>
        <v>54</v>
      </c>
      <c r="D16">
        <f>'311 cov wlz'!D16+'312 cov nwlz'!D16</f>
        <v>71</v>
      </c>
      <c r="E16">
        <v>345</v>
      </c>
      <c r="F16" s="7">
        <f>verzamel!C16/verzamel!E16</f>
        <v>0.1357985336308575</v>
      </c>
      <c r="G16" s="1">
        <f t="shared" si="0"/>
        <v>43.570959515460636</v>
      </c>
      <c r="H16" s="7">
        <f t="shared" si="1"/>
        <v>0.16830294530154277</v>
      </c>
      <c r="I16" s="6">
        <f t="shared" si="5"/>
        <v>0.22144532826459015</v>
      </c>
      <c r="K16" s="6">
        <f>verzamel!N16/838661</f>
        <v>7.1271204932624746E-2</v>
      </c>
      <c r="AN16" s="1"/>
      <c r="AO16" s="1">
        <f>Oversterfte!D278</f>
        <v>65.463551159567942</v>
      </c>
      <c r="AP16" s="1">
        <f t="shared" si="4"/>
        <v>73.674716998694635</v>
      </c>
    </row>
    <row r="17" spans="1:42" x14ac:dyDescent="0.2">
      <c r="A17">
        <f t="shared" si="2"/>
        <v>16</v>
      </c>
      <c r="B17" s="2">
        <f t="shared" si="3"/>
        <v>44305</v>
      </c>
      <c r="C17">
        <f>'311 cov wlz'!D17-'311 cov wlz'!E17+'312 cov nwlz'!D17-'312 cov nwlz'!E17</f>
        <v>50</v>
      </c>
      <c r="D17">
        <f>'311 cov wlz'!D17+'312 cov nwlz'!D17</f>
        <v>66</v>
      </c>
      <c r="E17">
        <v>301</v>
      </c>
      <c r="F17" s="7">
        <f>verzamel!C17/verzamel!E17</f>
        <v>0.15458015267175573</v>
      </c>
      <c r="G17" s="1">
        <f t="shared" si="0"/>
        <v>43.271622137404584</v>
      </c>
      <c r="H17" s="7">
        <f t="shared" si="1"/>
        <v>0.17861608259207659</v>
      </c>
      <c r="I17" s="6">
        <f t="shared" si="5"/>
        <v>0.23965529222162568</v>
      </c>
      <c r="K17" s="6">
        <f>verzamel!N17/838661</f>
        <v>4.520548827237713E-2</v>
      </c>
      <c r="AN17" s="1"/>
      <c r="AO17" s="1">
        <f>Oversterfte!D279</f>
        <v>100.92631621669216</v>
      </c>
      <c r="AP17" s="1">
        <f t="shared" si="4"/>
        <v>94.033103238383205</v>
      </c>
    </row>
    <row r="18" spans="1:42" x14ac:dyDescent="0.2">
      <c r="A18">
        <f t="shared" si="2"/>
        <v>17</v>
      </c>
      <c r="B18" s="2">
        <f t="shared" si="3"/>
        <v>44312</v>
      </c>
      <c r="C18">
        <f>'311 cov wlz'!D18-'311 cov wlz'!E18+'312 cov nwlz'!D18-'312 cov nwlz'!E18</f>
        <v>59</v>
      </c>
      <c r="D18">
        <f>'311 cov wlz'!D18+'312 cov nwlz'!D18</f>
        <v>80</v>
      </c>
      <c r="E18">
        <v>318</v>
      </c>
      <c r="F18" s="7">
        <f>verzamel!C18/verzamel!E18</f>
        <v>0.17162984309958373</v>
      </c>
      <c r="G18" s="1">
        <f t="shared" si="0"/>
        <v>50.757809798270898</v>
      </c>
      <c r="H18" s="7">
        <f t="shared" si="1"/>
        <v>0.19949956042469735</v>
      </c>
      <c r="I18" s="6">
        <f t="shared" si="5"/>
        <v>0.27482369420278452</v>
      </c>
      <c r="K18" s="6">
        <f>verzamel!N18/838661</f>
        <v>2.0710477773498548E-2</v>
      </c>
      <c r="AN18" s="1"/>
      <c r="AO18" s="1">
        <f>Oversterfte!D280</f>
        <v>108.81622936058056</v>
      </c>
      <c r="AP18" s="1">
        <f t="shared" si="4"/>
        <v>83.31706822623471</v>
      </c>
    </row>
    <row r="19" spans="1:42" x14ac:dyDescent="0.2">
      <c r="A19">
        <f t="shared" si="2"/>
        <v>18</v>
      </c>
      <c r="B19" s="2">
        <f t="shared" si="3"/>
        <v>44319</v>
      </c>
      <c r="C19">
        <f>'311 cov wlz'!D19-'311 cov wlz'!E19+'312 cov nwlz'!D19-'312 cov nwlz'!E19</f>
        <v>67</v>
      </c>
      <c r="D19">
        <f>'311 cov wlz'!D19+'312 cov nwlz'!D19</f>
        <v>86</v>
      </c>
      <c r="E19">
        <v>282</v>
      </c>
      <c r="F19" s="7">
        <f>verzamel!C19/verzamel!E19</f>
        <v>0.19500000000000001</v>
      </c>
      <c r="G19" s="1">
        <f t="shared" si="0"/>
        <v>51.140700000000002</v>
      </c>
      <c r="H19" s="7">
        <f t="shared" si="1"/>
        <v>0.25547166933577364</v>
      </c>
      <c r="I19" s="6">
        <f t="shared" si="5"/>
        <v>0.32952569992714514</v>
      </c>
      <c r="K19" s="6">
        <f>verzamel!N19/838661</f>
        <v>9.9999999999998441E-3</v>
      </c>
      <c r="AN19" s="1"/>
      <c r="AO19" s="1">
        <f>Oversterfte!D281</f>
        <v>14.709497967085554</v>
      </c>
      <c r="AP19" s="1">
        <f t="shared" si="4"/>
        <v>49.104364211602729</v>
      </c>
    </row>
    <row r="20" spans="1:42" x14ac:dyDescent="0.2">
      <c r="A20">
        <f t="shared" si="2"/>
        <v>19</v>
      </c>
      <c r="B20" s="2">
        <f t="shared" si="3"/>
        <v>44326</v>
      </c>
      <c r="C20">
        <f>'311 cov wlz'!D20-'311 cov wlz'!E20+'312 cov nwlz'!D20-'312 cov nwlz'!E20</f>
        <v>63</v>
      </c>
      <c r="D20">
        <f>'311 cov wlz'!D20+'312 cov nwlz'!D20</f>
        <v>90</v>
      </c>
      <c r="E20">
        <v>243</v>
      </c>
      <c r="F20" s="7">
        <f>verzamel!C20/verzamel!E20</f>
        <v>0.19601990049751244</v>
      </c>
      <c r="G20" s="1">
        <f t="shared" si="0"/>
        <v>44.298537313432838</v>
      </c>
      <c r="H20" s="7">
        <f t="shared" si="1"/>
        <v>0.27877339705296694</v>
      </c>
      <c r="I20" s="6">
        <f t="shared" si="5"/>
        <v>0.38391037285886109</v>
      </c>
      <c r="K20" s="6">
        <f>verzamel!N20/838661</f>
        <v>1.5355238886749195E-2</v>
      </c>
      <c r="AN20" s="1"/>
      <c r="AO20" s="1">
        <f>Oversterfte!D282</f>
        <v>58.182231551659243</v>
      </c>
      <c r="AP20" s="1">
        <f t="shared" si="4"/>
        <v>47.472646118573493</v>
      </c>
    </row>
    <row r="21" spans="1:42" x14ac:dyDescent="0.2">
      <c r="A21">
        <f t="shared" si="2"/>
        <v>20</v>
      </c>
      <c r="B21" s="2">
        <f t="shared" si="3"/>
        <v>44333</v>
      </c>
      <c r="C21">
        <f>'311 cov wlz'!D21-'311 cov wlz'!E21+'312 cov nwlz'!D21-'312 cov nwlz'!E21</f>
        <v>50</v>
      </c>
      <c r="D21">
        <f>'311 cov wlz'!D21+'312 cov nwlz'!D21</f>
        <v>74</v>
      </c>
      <c r="E21">
        <v>190</v>
      </c>
      <c r="F21" s="7">
        <f>verzamel!C21/verzamel!E21</f>
        <v>0.22356091030789826</v>
      </c>
      <c r="G21" s="1">
        <f t="shared" si="0"/>
        <v>39.503212851405621</v>
      </c>
      <c r="H21" s="7">
        <f t="shared" si="1"/>
        <v>0.28296547821165813</v>
      </c>
      <c r="I21" s="6">
        <f t="shared" si="5"/>
        <v>0.38652945164844477</v>
      </c>
      <c r="K21" s="6">
        <f>verzamel!N21/838661</f>
        <v>5.3552388867492123E-3</v>
      </c>
      <c r="AN21" s="1"/>
      <c r="AO21" s="1">
        <f>Oversterfte!D283</f>
        <v>58.816623403889935</v>
      </c>
      <c r="AP21" s="1">
        <f t="shared" si="4"/>
        <v>19.755630643666791</v>
      </c>
    </row>
    <row r="22" spans="1:42" x14ac:dyDescent="0.2">
      <c r="A22">
        <f t="shared" si="2"/>
        <v>21</v>
      </c>
      <c r="B22" s="2">
        <f t="shared" si="3"/>
        <v>44340</v>
      </c>
      <c r="C22">
        <f>'311 cov wlz'!D22-'311 cov wlz'!E22+'312 cov nwlz'!D22-'312 cov nwlz'!E22</f>
        <v>28</v>
      </c>
      <c r="D22">
        <f>'311 cov wlz'!D22+'312 cov nwlz'!D22</f>
        <v>34</v>
      </c>
      <c r="E22">
        <v>115</v>
      </c>
      <c r="F22" s="7">
        <f>verzamel!C22/verzamel!E22</f>
        <v>0.19244476122594439</v>
      </c>
      <c r="G22" s="1">
        <f t="shared" si="0"/>
        <v>20.581967213114755</v>
      </c>
      <c r="H22" s="7">
        <f t="shared" si="1"/>
        <v>0.26180458158017766</v>
      </c>
      <c r="I22" s="6">
        <f t="shared" si="5"/>
        <v>0.37996588219048372</v>
      </c>
      <c r="K22" s="6">
        <f>verzamel!N22/838661</f>
        <v>1.0000000000000122E-2</v>
      </c>
      <c r="AN22" s="1"/>
      <c r="AO22" s="1">
        <f>Oversterfte!D284</f>
        <v>-96.792955784771948</v>
      </c>
      <c r="AP22" s="1">
        <f t="shared" si="4"/>
        <v>-0.95083233502703024</v>
      </c>
    </row>
    <row r="23" spans="1:42" x14ac:dyDescent="0.2">
      <c r="A23">
        <f t="shared" si="2"/>
        <v>22</v>
      </c>
      <c r="B23" s="2">
        <f t="shared" si="3"/>
        <v>44347</v>
      </c>
      <c r="C23">
        <f>'311 cov wlz'!D23-'311 cov wlz'!E23+'312 cov nwlz'!D23-'312 cov nwlz'!E23</f>
        <v>34</v>
      </c>
      <c r="D23">
        <f>'311 cov wlz'!D23+'312 cov nwlz'!D23</f>
        <v>51</v>
      </c>
      <c r="E23">
        <v>116</v>
      </c>
      <c r="F23" s="7">
        <f>verzamel!C23/verzamel!E23</f>
        <v>0.1814556331006979</v>
      </c>
      <c r="G23" s="1">
        <f t="shared" si="0"/>
        <v>19.575433698903293</v>
      </c>
      <c r="H23" s="7">
        <f t="shared" si="1"/>
        <v>0.31516499814608823</v>
      </c>
      <c r="I23" s="6">
        <f t="shared" si="5"/>
        <v>0.42715403626311849</v>
      </c>
      <c r="K23" s="6">
        <f>verzamel!N23/838661</f>
        <v>9.9999999999999829E-3</v>
      </c>
      <c r="AN23" s="1"/>
      <c r="AO23" s="1">
        <f>Oversterfte!D285</f>
        <v>130.96595882554584</v>
      </c>
      <c r="AP23" s="1">
        <f t="shared" si="4"/>
        <v>48.21713541243389</v>
      </c>
    </row>
    <row r="24" spans="1:42" x14ac:dyDescent="0.2">
      <c r="A24">
        <f t="shared" si="2"/>
        <v>23</v>
      </c>
      <c r="B24" s="2">
        <f t="shared" si="3"/>
        <v>44354</v>
      </c>
      <c r="C24">
        <f>'311 cov wlz'!D24-'311 cov wlz'!E24+'312 cov nwlz'!D24-'312 cov nwlz'!E24</f>
        <v>19</v>
      </c>
      <c r="D24">
        <f>'311 cov wlz'!D24+'312 cov nwlz'!D24</f>
        <v>27</v>
      </c>
      <c r="E24">
        <v>64</v>
      </c>
      <c r="F24" s="7">
        <f>verzamel!C24/verzamel!E24</f>
        <v>0.186264308012487</v>
      </c>
      <c r="G24" s="1">
        <f t="shared" si="0"/>
        <v>11.086451612903227</v>
      </c>
      <c r="H24" s="7">
        <f t="shared" si="1"/>
        <v>0.31922043010752688</v>
      </c>
      <c r="I24" s="6">
        <f t="shared" si="5"/>
        <v>0.39576186401284652</v>
      </c>
      <c r="K24" s="6">
        <f>verzamel!N24/838661</f>
        <v>3.0740549518815915E-3</v>
      </c>
      <c r="AN24" s="1"/>
      <c r="AO24" s="1">
        <f>Oversterfte!D286</f>
        <v>27.729579783415829</v>
      </c>
      <c r="AP24" s="1">
        <f t="shared" si="4"/>
        <v>55.147073408872075</v>
      </c>
    </row>
    <row r="25" spans="1:42" x14ac:dyDescent="0.2">
      <c r="A25">
        <f t="shared" si="2"/>
        <v>24</v>
      </c>
      <c r="B25" s="2">
        <f t="shared" si="3"/>
        <v>44361</v>
      </c>
      <c r="C25">
        <f>'311 cov wlz'!D25-'311 cov wlz'!E25+'312 cov nwlz'!D25-'312 cov nwlz'!E25</f>
        <v>6</v>
      </c>
      <c r="D25">
        <f>'311 cov wlz'!D25+'312 cov nwlz'!D25</f>
        <v>10</v>
      </c>
      <c r="E25">
        <v>51</v>
      </c>
      <c r="F25" s="7">
        <f>verzamel!C25/verzamel!E25</f>
        <v>0.16312303938654585</v>
      </c>
      <c r="G25" s="1">
        <f t="shared" si="0"/>
        <v>7.7369257581038697</v>
      </c>
      <c r="H25" s="7">
        <f t="shared" si="1"/>
        <v>0.1265022137887413</v>
      </c>
      <c r="I25" s="6">
        <f t="shared" si="5"/>
        <v>0.31682759735838784</v>
      </c>
      <c r="K25" s="6">
        <f>verzamel!N25/838661</f>
        <v>6.9259450481183923E-3</v>
      </c>
      <c r="AN25" s="1"/>
      <c r="AO25" s="1">
        <f>Oversterfte!D287</f>
        <v>34.1631752431108</v>
      </c>
      <c r="AP25" s="1">
        <f t="shared" si="4"/>
        <v>-11.994528994429743</v>
      </c>
    </row>
    <row r="26" spans="1:42" x14ac:dyDescent="0.2">
      <c r="A26">
        <f t="shared" si="2"/>
        <v>25</v>
      </c>
      <c r="B26" s="2">
        <f t="shared" si="3"/>
        <v>44368</v>
      </c>
      <c r="C26">
        <f>'311 cov wlz'!D26-'311 cov wlz'!E26+'312 cov nwlz'!D26-'312 cov nwlz'!E26</f>
        <v>5</v>
      </c>
      <c r="D26">
        <f>'311 cov wlz'!D26+'312 cov nwlz'!D26</f>
        <v>10</v>
      </c>
      <c r="E26">
        <v>27</v>
      </c>
      <c r="F26" s="7">
        <f>verzamel!C26/verzamel!E26</f>
        <v>0.14440703329592219</v>
      </c>
      <c r="G26" s="1">
        <f t="shared" si="0"/>
        <v>3.6260606060606064</v>
      </c>
      <c r="H26" s="7">
        <f t="shared" si="1"/>
        <v>0.1991238550378335</v>
      </c>
      <c r="I26" s="6">
        <f t="shared" si="5"/>
        <v>0.40179478071421804</v>
      </c>
      <c r="K26" s="6">
        <f>verzamel!N26/838661</f>
        <v>9.9999999999999829E-3</v>
      </c>
      <c r="AN26" s="1"/>
      <c r="AO26" s="1">
        <f>Oversterfte!D288</f>
        <v>-144.0340462473564</v>
      </c>
      <c r="AP26" s="1">
        <f t="shared" si="4"/>
        <v>-65.507365650770566</v>
      </c>
    </row>
    <row r="27" spans="1:42" x14ac:dyDescent="0.2">
      <c r="A27">
        <f t="shared" si="2"/>
        <v>26</v>
      </c>
      <c r="B27" s="2">
        <f t="shared" si="3"/>
        <v>44375</v>
      </c>
      <c r="C27">
        <f>'311 cov wlz'!D27-'311 cov wlz'!E27+'312 cov nwlz'!D27-'312 cov nwlz'!E27</f>
        <v>5</v>
      </c>
      <c r="D27">
        <f>'311 cov wlz'!D27+'312 cov nwlz'!D27</f>
        <v>13</v>
      </c>
      <c r="E27">
        <v>23</v>
      </c>
      <c r="F27" s="7">
        <f>verzamel!C27/verzamel!E27</f>
        <v>0.13457408732999285</v>
      </c>
      <c r="G27" s="1">
        <f t="shared" si="0"/>
        <v>2.8785397279885472</v>
      </c>
      <c r="H27" s="7">
        <f t="shared" si="1"/>
        <v>0.23375409069658717</v>
      </c>
      <c r="I27" s="6">
        <f t="shared" si="5"/>
        <v>0.50337014032666205</v>
      </c>
      <c r="K27" s="6">
        <f>verzamel!N27/838661</f>
        <v>4.6447611132506318E-3</v>
      </c>
      <c r="AN27" s="1"/>
      <c r="AO27" s="1">
        <f>Oversterfte!D289</f>
        <v>-8.1245453514802648</v>
      </c>
      <c r="AP27" s="1">
        <f t="shared" si="4"/>
        <v>-27.652939243972924</v>
      </c>
    </row>
    <row r="28" spans="1:42" x14ac:dyDescent="0.2">
      <c r="A28">
        <f t="shared" si="2"/>
        <v>27</v>
      </c>
      <c r="B28" s="2">
        <f t="shared" si="3"/>
        <v>44382</v>
      </c>
      <c r="C28">
        <f>'311 cov wlz'!D28-'311 cov wlz'!E28+'312 cov nwlz'!D28-'312 cov nwlz'!E28</f>
        <v>2</v>
      </c>
      <c r="D28">
        <f>'311 cov wlz'!D28+'312 cov nwlz'!D28</f>
        <v>8</v>
      </c>
      <c r="E28">
        <v>21</v>
      </c>
      <c r="F28" s="7">
        <f>verzamel!C28/verzamel!E28</f>
        <v>0.11866197183098591</v>
      </c>
      <c r="G28" s="1">
        <f t="shared" si="0"/>
        <v>2.3174683098591551</v>
      </c>
      <c r="H28" s="7">
        <f t="shared" si="1"/>
        <v>0.10240655401945724</v>
      </c>
      <c r="I28" s="6">
        <f t="shared" si="5"/>
        <v>0.48171570229922633</v>
      </c>
      <c r="K28" s="6">
        <f>verzamel!N28/838661</f>
        <v>9.3620754600705097E-2</v>
      </c>
      <c r="AN28" s="1"/>
      <c r="AO28" s="1">
        <f>Oversterfte!D290</f>
        <v>49.671379974425236</v>
      </c>
      <c r="AP28" s="1">
        <f t="shared" si="4"/>
        <v>45.599256643846843</v>
      </c>
    </row>
    <row r="29" spans="1:42" x14ac:dyDescent="0.2">
      <c r="A29">
        <f t="shared" si="2"/>
        <v>28</v>
      </c>
      <c r="B29" s="2">
        <f t="shared" si="3"/>
        <v>44389</v>
      </c>
      <c r="C29">
        <f>'311 cov wlz'!D29-'311 cov wlz'!E29+'312 cov nwlz'!D29-'312 cov nwlz'!E29</f>
        <v>2</v>
      </c>
      <c r="D29">
        <f>'311 cov wlz'!D29+'312 cov nwlz'!D29</f>
        <v>9</v>
      </c>
      <c r="E29">
        <v>19</v>
      </c>
      <c r="F29" s="7">
        <f>verzamel!C29/verzamel!E29</f>
        <v>0.10337626174730247</v>
      </c>
      <c r="G29" s="1">
        <f t="shared" si="0"/>
        <v>1.8266585450748347</v>
      </c>
      <c r="H29" s="7">
        <f t="shared" si="1"/>
        <v>0.11318619128466326</v>
      </c>
      <c r="I29" s="6">
        <f t="shared" si="5"/>
        <v>0.49694346159516439</v>
      </c>
      <c r="K29" s="6">
        <f>verzamel!N29/838661</f>
        <v>8.1940599707354997E-2</v>
      </c>
      <c r="AN29" s="1"/>
      <c r="AO29" s="1">
        <f>Oversterfte!D291</f>
        <v>91.178811978017166</v>
      </c>
      <c r="AP29" s="1">
        <f t="shared" si="4"/>
        <v>57.824943281051446</v>
      </c>
    </row>
    <row r="30" spans="1:42" x14ac:dyDescent="0.2">
      <c r="A30">
        <f t="shared" si="2"/>
        <v>29</v>
      </c>
      <c r="B30" s="2">
        <f t="shared" si="3"/>
        <v>44396</v>
      </c>
      <c r="C30">
        <f>'311 cov wlz'!D30-'311 cov wlz'!E30+'312 cov nwlz'!D30-'312 cov nwlz'!E30</f>
        <v>9</v>
      </c>
      <c r="D30">
        <f>'311 cov wlz'!D30+'312 cov nwlz'!D30</f>
        <v>36</v>
      </c>
      <c r="E30">
        <v>68</v>
      </c>
      <c r="F30" s="7">
        <f>verzamel!C30/verzamel!E30</f>
        <v>8.8976945244956779E-2</v>
      </c>
      <c r="G30" s="1">
        <f t="shared" si="0"/>
        <v>5.6269020172910666</v>
      </c>
      <c r="H30" s="7">
        <f t="shared" si="1"/>
        <v>0.14231499051233396</v>
      </c>
      <c r="I30" s="6">
        <f t="shared" si="5"/>
        <v>0.55652116289918996</v>
      </c>
      <c r="K30" s="6">
        <f>verzamel!N30/838661</f>
        <v>6.1906973415267304E-2</v>
      </c>
      <c r="AN30" s="1"/>
      <c r="AO30" s="1">
        <f>Oversterfte!D292</f>
        <v>-0.72923080625378134</v>
      </c>
      <c r="AP30" s="1">
        <f t="shared" si="4"/>
        <v>57.897603531299637</v>
      </c>
    </row>
    <row r="31" spans="1:42" x14ac:dyDescent="0.2">
      <c r="A31">
        <f t="shared" si="2"/>
        <v>30</v>
      </c>
      <c r="B31" s="2">
        <f t="shared" si="3"/>
        <v>44403</v>
      </c>
      <c r="C31">
        <f>'311 cov wlz'!D31-'311 cov wlz'!E31+'312 cov nwlz'!D31-'312 cov nwlz'!E31</f>
        <v>4</v>
      </c>
      <c r="D31">
        <f>'311 cov wlz'!D31+'312 cov nwlz'!D31</f>
        <v>40</v>
      </c>
      <c r="E31">
        <v>73</v>
      </c>
      <c r="F31" s="7">
        <f>verzamel!C31/verzamel!E31</f>
        <v>7.5419952005485083E-2</v>
      </c>
      <c r="G31" s="1">
        <f t="shared" si="0"/>
        <v>5.1202605416523825</v>
      </c>
      <c r="H31" s="7">
        <f t="shared" si="1"/>
        <v>5.8918839298865808E-2</v>
      </c>
      <c r="I31" s="6">
        <f t="shared" si="5"/>
        <v>0.57956190997198176</v>
      </c>
      <c r="K31" s="6">
        <f>verzamel!N31/838661</f>
        <v>5.705089213390916E-2</v>
      </c>
      <c r="AN31" s="1"/>
      <c r="AO31" s="1">
        <f>Oversterfte!D293</f>
        <v>141.87006375968895</v>
      </c>
      <c r="AP31" s="1">
        <f t="shared" si="4"/>
        <v>117.24033237884589</v>
      </c>
    </row>
    <row r="32" spans="1:42" x14ac:dyDescent="0.2">
      <c r="A32">
        <f t="shared" si="2"/>
        <v>31</v>
      </c>
      <c r="B32" s="2">
        <f t="shared" si="3"/>
        <v>44410</v>
      </c>
      <c r="C32">
        <f>'311 cov wlz'!D32-'311 cov wlz'!E32+'312 cov nwlz'!D32-'312 cov nwlz'!E32</f>
        <v>7</v>
      </c>
      <c r="D32">
        <f>'311 cov wlz'!D32+'312 cov nwlz'!D32</f>
        <v>59</v>
      </c>
      <c r="E32">
        <v>109</v>
      </c>
      <c r="F32" s="7">
        <f>verzamel!C32/verzamel!E32</f>
        <v>7.1549105636179541E-2</v>
      </c>
      <c r="G32" s="1">
        <f t="shared" si="0"/>
        <v>7.25293283833952</v>
      </c>
      <c r="H32" s="7">
        <f t="shared" si="1"/>
        <v>6.9053960737890899E-2</v>
      </c>
      <c r="I32" s="6">
        <f t="shared" si="5"/>
        <v>0.57778014548787959</v>
      </c>
      <c r="K32" s="6">
        <f>verzamel!N32/838661</f>
        <v>5.801531706552971E-2</v>
      </c>
      <c r="AN32" s="1"/>
      <c r="AO32" s="1">
        <f>Oversterfte!D294</f>
        <v>185.95043280225946</v>
      </c>
      <c r="AP32" s="1">
        <f t="shared" si="4"/>
        <v>143.57696416753583</v>
      </c>
    </row>
    <row r="33" spans="1:42" x14ac:dyDescent="0.2">
      <c r="A33">
        <f t="shared" si="2"/>
        <v>32</v>
      </c>
      <c r="B33" s="2">
        <f t="shared" si="3"/>
        <v>44417</v>
      </c>
      <c r="C33">
        <f>'311 cov wlz'!D33-'311 cov wlz'!E33+'312 cov nwlz'!D33-'312 cov nwlz'!E33</f>
        <v>6</v>
      </c>
      <c r="D33">
        <f>'311 cov wlz'!D33+'312 cov nwlz'!D33</f>
        <v>54</v>
      </c>
      <c r="E33">
        <v>102</v>
      </c>
      <c r="F33" s="7">
        <f>verzamel!C33/verzamel!E33</f>
        <v>5.9092507914175169E-2</v>
      </c>
      <c r="G33" s="1">
        <f t="shared" si="0"/>
        <v>5.6055153007386567</v>
      </c>
      <c r="H33" s="7">
        <f t="shared" si="1"/>
        <v>6.3251106894370648E-2</v>
      </c>
      <c r="I33" s="6">
        <f t="shared" si="5"/>
        <v>0.57184607640037366</v>
      </c>
      <c r="K33" s="6">
        <f>verzamel!N33/838661</f>
        <v>5.0459684235371255E-2</v>
      </c>
      <c r="AN33" s="1"/>
      <c r="AO33" s="1">
        <f>Oversterfte!D295</f>
        <v>60.536927305935478</v>
      </c>
      <c r="AP33" s="1">
        <f t="shared" si="4"/>
        <v>105.18246003137585</v>
      </c>
    </row>
    <row r="34" spans="1:42" x14ac:dyDescent="0.2">
      <c r="A34">
        <f t="shared" si="2"/>
        <v>33</v>
      </c>
      <c r="B34" s="2">
        <f t="shared" si="3"/>
        <v>44424</v>
      </c>
      <c r="C34">
        <f>'311 cov wlz'!D34-'311 cov wlz'!E34+'312 cov nwlz'!D34-'312 cov nwlz'!E34</f>
        <v>4</v>
      </c>
      <c r="D34">
        <f>'311 cov wlz'!D34+'312 cov nwlz'!D34</f>
        <v>50</v>
      </c>
      <c r="E34">
        <v>93</v>
      </c>
      <c r="F34" s="7">
        <f>verzamel!C34/verzamel!E34</f>
        <v>6.2306368330464719E-2</v>
      </c>
      <c r="G34" s="1">
        <f t="shared" si="0"/>
        <v>5.3888777969018937</v>
      </c>
      <c r="H34" s="7">
        <f t="shared" si="1"/>
        <v>4.6248121170077469E-2</v>
      </c>
      <c r="I34" s="6">
        <f t="shared" si="5"/>
        <v>0.55038413113267215</v>
      </c>
      <c r="K34" s="6">
        <f>verzamel!N34/838661</f>
        <v>2.0909891873373762E-2</v>
      </c>
      <c r="AN34" s="1"/>
      <c r="AO34" s="1">
        <f>Oversterfte!D296</f>
        <v>113.705552711373</v>
      </c>
      <c r="AP34" s="1">
        <f t="shared" si="4"/>
        <v>104.38254978137513</v>
      </c>
    </row>
    <row r="35" spans="1:42" x14ac:dyDescent="0.2">
      <c r="A35">
        <f t="shared" si="2"/>
        <v>34</v>
      </c>
      <c r="B35" s="2">
        <f t="shared" si="3"/>
        <v>44431</v>
      </c>
      <c r="C35">
        <f>'311 cov wlz'!D35-'311 cov wlz'!E35+'312 cov nwlz'!D35-'312 cov nwlz'!E35</f>
        <v>4</v>
      </c>
      <c r="D35">
        <f>'311 cov wlz'!D35+'312 cov nwlz'!D35</f>
        <v>48</v>
      </c>
      <c r="E35">
        <v>106</v>
      </c>
      <c r="F35" s="7">
        <f>verzamel!C35/verzamel!E35</f>
        <v>6.137061029662462E-2</v>
      </c>
      <c r="G35" s="1">
        <f t="shared" si="0"/>
        <v>6.0499147630412553</v>
      </c>
      <c r="H35" s="7">
        <f t="shared" si="1"/>
        <v>4.0576181781294379E-2</v>
      </c>
      <c r="I35" s="6">
        <f t="shared" si="5"/>
        <v>0.52751813685366689</v>
      </c>
      <c r="K35" s="6">
        <f>verzamel!N35/838661</f>
        <v>1.8353483830555739E-2</v>
      </c>
      <c r="AN35" s="1"/>
      <c r="AO35" s="1">
        <f>Oversterfte!D297</f>
        <v>129.58216639681905</v>
      </c>
      <c r="AP35" s="1">
        <f t="shared" si="4"/>
        <v>106.05263338506472</v>
      </c>
    </row>
    <row r="36" spans="1:42" x14ac:dyDescent="0.2">
      <c r="A36">
        <f t="shared" si="2"/>
        <v>35</v>
      </c>
      <c r="B36" s="2">
        <f t="shared" si="3"/>
        <v>44438</v>
      </c>
      <c r="C36">
        <f>'311 cov wlz'!D36-'311 cov wlz'!E36+'312 cov nwlz'!D36-'312 cov nwlz'!E36</f>
        <v>4</v>
      </c>
      <c r="D36">
        <f>'311 cov wlz'!D36+'312 cov nwlz'!D36</f>
        <v>46</v>
      </c>
      <c r="E36">
        <v>87</v>
      </c>
      <c r="F36" s="7">
        <f>verzamel!C36/verzamel!E36</f>
        <v>4.7386759581881537E-2</v>
      </c>
      <c r="G36" s="1">
        <f t="shared" si="0"/>
        <v>3.8340627177700353</v>
      </c>
      <c r="H36" s="7">
        <f t="shared" si="1"/>
        <v>4.9437646768013842E-2</v>
      </c>
      <c r="I36" s="6">
        <f t="shared" si="5"/>
        <v>0.54782284299116424</v>
      </c>
      <c r="K36" s="6">
        <f>verzamel!N36/838661</f>
        <v>1.3403844237843415E-2</v>
      </c>
      <c r="AN36" s="1"/>
      <c r="AO36" s="1">
        <f>Oversterfte!D298</f>
        <v>51.340648035247796</v>
      </c>
      <c r="AP36" s="1">
        <f t="shared" si="4"/>
        <v>122.36595797315374</v>
      </c>
    </row>
    <row r="37" spans="1:42" x14ac:dyDescent="0.2">
      <c r="A37">
        <f t="shared" si="2"/>
        <v>36</v>
      </c>
      <c r="B37" s="2">
        <f t="shared" si="3"/>
        <v>44445</v>
      </c>
      <c r="C37">
        <f>'311 cov wlz'!D37-'311 cov wlz'!E37+'312 cov nwlz'!D37-'312 cov nwlz'!E37</f>
        <v>1</v>
      </c>
      <c r="D37">
        <f>'311 cov wlz'!D37+'312 cov nwlz'!D37</f>
        <v>50</v>
      </c>
      <c r="E37">
        <v>93</v>
      </c>
      <c r="F37" s="7">
        <f>verzamel!C37/verzamel!E37</f>
        <v>4.9773755656108594E-2</v>
      </c>
      <c r="G37" s="1">
        <f t="shared" si="0"/>
        <v>4.3049321266968326</v>
      </c>
      <c r="H37" s="7">
        <f t="shared" si="1"/>
        <v>1.1562030292519367E-2</v>
      </c>
      <c r="I37" s="6">
        <f t="shared" si="5"/>
        <v>0.58675540073766175</v>
      </c>
      <c r="K37" s="6">
        <f>verzamel!N37/838661</f>
        <v>8.5165058137397515E-3</v>
      </c>
      <c r="AN37" s="1"/>
      <c r="AO37" s="1">
        <f>Oversterfte!D299</f>
        <v>257.20036942530032</v>
      </c>
      <c r="AP37" s="1">
        <f t="shared" si="4"/>
        <v>157.04109687471237</v>
      </c>
    </row>
    <row r="38" spans="1:42" x14ac:dyDescent="0.2">
      <c r="A38">
        <f t="shared" si="2"/>
        <v>37</v>
      </c>
      <c r="B38" s="2">
        <f t="shared" si="3"/>
        <v>44452</v>
      </c>
      <c r="C38">
        <f>'311 cov wlz'!D38-'311 cov wlz'!E38+'312 cov nwlz'!D38-'312 cov nwlz'!E38</f>
        <v>7</v>
      </c>
      <c r="D38">
        <f>'311 cov wlz'!D38+'312 cov nwlz'!D38</f>
        <v>56</v>
      </c>
      <c r="E38">
        <v>95</v>
      </c>
      <c r="F38" s="7">
        <f>verzamel!C38/verzamel!E38</f>
        <v>4.3150684931506852E-2</v>
      </c>
      <c r="G38" s="1">
        <f t="shared" si="0"/>
        <v>3.8123630136986311</v>
      </c>
      <c r="H38" s="7">
        <f t="shared" si="1"/>
        <v>7.9230333899264274E-2</v>
      </c>
      <c r="I38" s="6">
        <f t="shared" si="5"/>
        <v>0.62143972371436262</v>
      </c>
      <c r="K38" s="6">
        <f>verzamel!N38/838661</f>
        <v>1.0179954119487177E-2</v>
      </c>
      <c r="AN38" s="1"/>
      <c r="AO38" s="1">
        <f>Oversterfte!D300</f>
        <v>62.423000613001022</v>
      </c>
      <c r="AP38" s="1">
        <f t="shared" si="4"/>
        <v>97.588767363939724</v>
      </c>
    </row>
    <row r="39" spans="1:42" x14ac:dyDescent="0.2">
      <c r="A39">
        <f t="shared" si="2"/>
        <v>38</v>
      </c>
      <c r="B39" s="2">
        <f t="shared" si="3"/>
        <v>44459</v>
      </c>
      <c r="C39">
        <f>'311 cov wlz'!D39-'311 cov wlz'!E39+'312 cov nwlz'!D39-'312 cov nwlz'!E39</f>
        <v>1</v>
      </c>
      <c r="D39">
        <f>'311 cov wlz'!D39+'312 cov nwlz'!D39</f>
        <v>37</v>
      </c>
      <c r="E39">
        <v>61</v>
      </c>
      <c r="F39" s="7">
        <f>verzamel!C39/verzamel!E39</f>
        <v>4.7075112495673241E-2</v>
      </c>
      <c r="G39" s="1">
        <f t="shared" si="0"/>
        <v>2.6705711318795431</v>
      </c>
      <c r="H39" s="7">
        <f t="shared" si="1"/>
        <v>1.7627357659086903E-2</v>
      </c>
      <c r="I39" s="6">
        <f t="shared" si="5"/>
        <v>0.61148407391429405</v>
      </c>
      <c r="K39" s="6">
        <f>verzamel!N39/838661</f>
        <v>9.1157904869241264E-3</v>
      </c>
      <c r="AN39" s="1"/>
      <c r="AO39" s="1">
        <f>Oversterfte!D301</f>
        <v>8.308698804456526</v>
      </c>
      <c r="AP39" s="1">
        <f t="shared" si="4"/>
        <v>63.058033449468439</v>
      </c>
    </row>
    <row r="40" spans="1:42" x14ac:dyDescent="0.2">
      <c r="A40">
        <f t="shared" si="2"/>
        <v>39</v>
      </c>
      <c r="B40" s="2">
        <f t="shared" si="3"/>
        <v>44466</v>
      </c>
      <c r="C40">
        <f>'311 cov wlz'!D40-'311 cov wlz'!E40+'312 cov nwlz'!D40-'312 cov nwlz'!E40</f>
        <v>3</v>
      </c>
      <c r="D40">
        <f>'311 cov wlz'!D40+'312 cov nwlz'!D40</f>
        <v>29</v>
      </c>
      <c r="E40">
        <v>60</v>
      </c>
      <c r="F40" s="7">
        <f>verzamel!C40/verzamel!E40</f>
        <v>3.9623254303345241E-2</v>
      </c>
      <c r="G40" s="1">
        <f t="shared" si="0"/>
        <v>2.2109775901266646</v>
      </c>
      <c r="H40" s="7">
        <f t="shared" si="1"/>
        <v>5.3763440860215055E-2</v>
      </c>
      <c r="I40" s="6">
        <f t="shared" si="5"/>
        <v>0.55106769485188389</v>
      </c>
      <c r="K40" s="6">
        <f>verzamel!N40/838661</f>
        <v>7.9351939976340467E-3</v>
      </c>
      <c r="AN40" s="1"/>
      <c r="AO40" s="1">
        <f>Oversterfte!D302</f>
        <v>173.19173557595968</v>
      </c>
      <c r="AP40" s="1">
        <f t="shared" si="4"/>
        <v>123.78194901051143</v>
      </c>
    </row>
    <row r="41" spans="1:42" x14ac:dyDescent="0.2">
      <c r="A41">
        <f t="shared" si="2"/>
        <v>40</v>
      </c>
      <c r="B41" s="2">
        <f t="shared" si="3"/>
        <v>44473</v>
      </c>
      <c r="C41">
        <f>'311 cov wlz'!D41-'311 cov wlz'!E41+'312 cov nwlz'!D41-'312 cov nwlz'!E41</f>
        <v>1</v>
      </c>
      <c r="D41">
        <f>'311 cov wlz'!D41+'312 cov nwlz'!D41</f>
        <v>37</v>
      </c>
      <c r="E41">
        <v>76</v>
      </c>
      <c r="F41" s="7">
        <f>verzamel!C41/verzamel!E41</f>
        <v>4.0676863000325414E-2</v>
      </c>
      <c r="G41" s="1">
        <f t="shared" si="0"/>
        <v>2.8750406768630006</v>
      </c>
      <c r="H41" s="7">
        <f t="shared" si="1"/>
        <v>1.4148273910582907E-2</v>
      </c>
      <c r="I41" s="6">
        <f t="shared" si="5"/>
        <v>0.55077161045818435</v>
      </c>
      <c r="K41" s="6">
        <f>verzamel!N41/838661</f>
        <v>7.1162568577016801E-3</v>
      </c>
      <c r="AN41" s="1"/>
      <c r="AO41" s="1">
        <f>Oversterfte!D303</f>
        <v>140.43562608566981</v>
      </c>
      <c r="AP41" s="1">
        <f t="shared" si="4"/>
        <v>140.62270475202956</v>
      </c>
    </row>
    <row r="42" spans="1:42" x14ac:dyDescent="0.2">
      <c r="A42">
        <f t="shared" si="2"/>
        <v>41</v>
      </c>
      <c r="B42" s="2">
        <f t="shared" si="3"/>
        <v>44480</v>
      </c>
      <c r="C42">
        <f>'311 cov wlz'!D42-'311 cov wlz'!E42+'312 cov nwlz'!D42-'312 cov nwlz'!E42</f>
        <v>2</v>
      </c>
      <c r="D42">
        <f>'311 cov wlz'!D42+'312 cov nwlz'!D42</f>
        <v>62</v>
      </c>
      <c r="E42">
        <v>103</v>
      </c>
      <c r="F42" s="7">
        <f>verzamel!C42/verzamel!E42</f>
        <v>4.2684913652655587E-2</v>
      </c>
      <c r="G42" s="1">
        <f t="shared" si="0"/>
        <v>4.0887878787878789</v>
      </c>
      <c r="H42" s="7">
        <f t="shared" si="1"/>
        <v>2.0879006159306813E-2</v>
      </c>
      <c r="I42" s="6">
        <f t="shared" si="5"/>
        <v>0.64311705132572528</v>
      </c>
      <c r="K42" s="6">
        <f>verzamel!N42/838661</f>
        <v>7.1949680262517381E-3</v>
      </c>
      <c r="AN42" s="1"/>
      <c r="AO42" s="1">
        <f>Oversterfte!D304</f>
        <v>108.42783126081895</v>
      </c>
      <c r="AP42" s="1">
        <f t="shared" si="4"/>
        <v>161.96634969430261</v>
      </c>
    </row>
    <row r="43" spans="1:42" x14ac:dyDescent="0.2">
      <c r="A43">
        <f t="shared" si="2"/>
        <v>42</v>
      </c>
      <c r="B43" s="2">
        <f t="shared" si="3"/>
        <v>44487</v>
      </c>
      <c r="C43">
        <f>'311 cov wlz'!D43-'311 cov wlz'!E43+'312 cov nwlz'!D43-'312 cov nwlz'!E43</f>
        <v>2</v>
      </c>
      <c r="D43">
        <f>'311 cov wlz'!D43+'312 cov nwlz'!D43</f>
        <v>122</v>
      </c>
      <c r="E43">
        <v>171</v>
      </c>
      <c r="F43" s="7">
        <f>verzamel!C43/verzamel!E43</f>
        <v>3.8109756097560975E-2</v>
      </c>
      <c r="G43" s="1">
        <f t="shared" si="0"/>
        <v>6.0605945121951219</v>
      </c>
      <c r="H43" s="7">
        <f t="shared" si="1"/>
        <v>1.2576243476073695E-2</v>
      </c>
      <c r="I43" s="6">
        <f t="shared" si="5"/>
        <v>0.7261183339419216</v>
      </c>
      <c r="K43" s="6">
        <f>verzamel!N43/838661</f>
        <v>7.4164675059801488E-3</v>
      </c>
      <c r="AN43" s="1"/>
      <c r="AO43" s="1">
        <f>Oversterfte!D305</f>
        <v>290.57411016990272</v>
      </c>
      <c r="AP43" s="1">
        <f t="shared" si="4"/>
        <v>265.4671641250593</v>
      </c>
    </row>
    <row r="44" spans="1:42" x14ac:dyDescent="0.2">
      <c r="A44">
        <f t="shared" si="2"/>
        <v>43</v>
      </c>
      <c r="B44" s="2">
        <f t="shared" si="3"/>
        <v>44494</v>
      </c>
      <c r="C44">
        <f>'311 cov wlz'!D44-'311 cov wlz'!E44+'312 cov nwlz'!D44-'312 cov nwlz'!E44</f>
        <v>9</v>
      </c>
      <c r="D44">
        <f>'311 cov wlz'!D44+'312 cov nwlz'!D44</f>
        <v>205</v>
      </c>
      <c r="E44">
        <v>299</v>
      </c>
      <c r="F44" s="7">
        <f>verzamel!C44/verzamel!E44</f>
        <v>3.6862282512533179E-2</v>
      </c>
      <c r="G44" s="1">
        <f t="shared" si="0"/>
        <v>10.250294898260101</v>
      </c>
      <c r="H44" s="7">
        <f t="shared" si="1"/>
        <v>3.2365951019527453E-2</v>
      </c>
      <c r="I44" s="6">
        <f t="shared" si="5"/>
        <v>0.7420916260949999</v>
      </c>
      <c r="K44" s="6">
        <f>verzamel!N44/838661</f>
        <v>7.7342958165333604E-3</v>
      </c>
      <c r="AN44" s="1"/>
      <c r="AO44" s="1">
        <f>Oversterfte!D306</f>
        <v>372.2926048996128</v>
      </c>
      <c r="AP44" s="1">
        <f t="shared" si="4"/>
        <v>378.04176603395854</v>
      </c>
    </row>
    <row r="45" spans="1:42" x14ac:dyDescent="0.2">
      <c r="A45">
        <f t="shared" si="2"/>
        <v>44</v>
      </c>
      <c r="B45" s="2">
        <f t="shared" si="3"/>
        <v>44501</v>
      </c>
      <c r="C45">
        <f>'311 cov wlz'!D45-'311 cov wlz'!E45+'312 cov nwlz'!D45-'312 cov nwlz'!E45</f>
        <v>12</v>
      </c>
      <c r="D45">
        <f>'311 cov wlz'!D45+'312 cov nwlz'!D45</f>
        <v>282</v>
      </c>
      <c r="E45">
        <v>409</v>
      </c>
      <c r="F45" s="7">
        <f>verzamel!C45/verzamel!E45</f>
        <v>3.4042553191489362E-2</v>
      </c>
      <c r="G45" s="1">
        <f t="shared" si="0"/>
        <v>12.94876595744681</v>
      </c>
      <c r="H45" s="7">
        <f t="shared" si="1"/>
        <v>3.1548229355627413E-2</v>
      </c>
      <c r="I45" s="6">
        <f t="shared" si="5"/>
        <v>0.73316382549591497</v>
      </c>
      <c r="K45" s="6">
        <f>verzamel!N45/838661</f>
        <v>8.5291507487595258E-3</v>
      </c>
      <c r="AN45" s="1"/>
      <c r="AO45" s="1">
        <f>Oversterfte!D307</f>
        <v>477.00774416670583</v>
      </c>
      <c r="AP45" s="1">
        <f t="shared" si="4"/>
        <v>509.86303694534138</v>
      </c>
    </row>
    <row r="46" spans="1:42" x14ac:dyDescent="0.2">
      <c r="A46">
        <f t="shared" si="2"/>
        <v>45</v>
      </c>
      <c r="B46" s="2">
        <f t="shared" si="3"/>
        <v>44508</v>
      </c>
      <c r="C46">
        <f>'311 cov wlz'!D46-'311 cov wlz'!E46+'312 cov nwlz'!D46-'312 cov nwlz'!E46</f>
        <v>8</v>
      </c>
      <c r="D46">
        <f>'311 cov wlz'!D46+'312 cov nwlz'!D46</f>
        <v>378</v>
      </c>
      <c r="E46">
        <v>559</v>
      </c>
      <c r="F46" s="7">
        <f>verzamel!C46/verzamel!E46</f>
        <v>3.245382585751979E-2</v>
      </c>
      <c r="G46" s="1">
        <f t="shared" si="0"/>
        <v>16.871770448548812</v>
      </c>
      <c r="H46" s="7">
        <f t="shared" si="1"/>
        <v>1.5388462500240443E-2</v>
      </c>
      <c r="I46" s="6">
        <f t="shared" si="5"/>
        <v>0.73478485144982919</v>
      </c>
      <c r="K46" s="6">
        <f>verzamel!N46/838661</f>
        <v>8.323919191050938E-3</v>
      </c>
      <c r="AN46" s="1"/>
      <c r="AO46" s="1">
        <f>Oversterfte!D308</f>
        <v>713.14405454834105</v>
      </c>
      <c r="AP46" s="1">
        <f t="shared" si="4"/>
        <v>699.60395570881599</v>
      </c>
    </row>
    <row r="47" spans="1:42" x14ac:dyDescent="0.2">
      <c r="A47">
        <f t="shared" si="2"/>
        <v>46</v>
      </c>
      <c r="B47" s="2">
        <f t="shared" si="3"/>
        <v>44515</v>
      </c>
      <c r="C47">
        <f>'311 cov wlz'!D47-'311 cov wlz'!E47+'312 cov nwlz'!D47-'312 cov nwlz'!E47</f>
        <v>24</v>
      </c>
      <c r="D47">
        <f>'311 cov wlz'!D47+'312 cov nwlz'!D47</f>
        <v>583</v>
      </c>
      <c r="E47">
        <v>827</v>
      </c>
      <c r="F47" s="7">
        <f>verzamel!C47/verzamel!E47</f>
        <v>3.4250000000000003E-2</v>
      </c>
      <c r="G47" s="1">
        <f t="shared" si="0"/>
        <v>26.342017500000004</v>
      </c>
      <c r="H47" s="7">
        <f t="shared" si="1"/>
        <v>3.1204899169169558E-2</v>
      </c>
      <c r="I47" s="6">
        <f t="shared" si="5"/>
        <v>0.74992870596581929</v>
      </c>
      <c r="K47" s="6">
        <f>verzamel!N47/838661</f>
        <v>7.8218868551815732E-3</v>
      </c>
      <c r="AN47" s="1"/>
      <c r="AO47" s="1">
        <f>Oversterfte!D309</f>
        <v>895.11996957187603</v>
      </c>
      <c r="AP47" s="1">
        <f t="shared" si="4"/>
        <v>892.68143015970963</v>
      </c>
    </row>
    <row r="48" spans="1:42" x14ac:dyDescent="0.2">
      <c r="A48">
        <f t="shared" si="2"/>
        <v>47</v>
      </c>
      <c r="B48" s="2">
        <f t="shared" si="3"/>
        <v>44522</v>
      </c>
      <c r="C48">
        <f>'311 cov wlz'!D48-'311 cov wlz'!E48+'312 cov nwlz'!D48-'312 cov nwlz'!E48</f>
        <v>26</v>
      </c>
      <c r="D48">
        <f>'311 cov wlz'!D48+'312 cov nwlz'!D48</f>
        <v>736</v>
      </c>
      <c r="E48">
        <v>1026</v>
      </c>
      <c r="F48" s="7">
        <f>verzamel!C48/verzamel!E48</f>
        <v>3.2626815908549656E-2</v>
      </c>
      <c r="G48" s="1">
        <f t="shared" si="0"/>
        <v>31.131855203619914</v>
      </c>
      <c r="H48" s="7">
        <f t="shared" si="1"/>
        <v>2.7248527531493007E-2</v>
      </c>
      <c r="I48" s="6">
        <f t="shared" si="5"/>
        <v>0.7618370220400188</v>
      </c>
      <c r="K48" s="6">
        <f>verzamel!N48/838661</f>
        <v>0.11740496134360724</v>
      </c>
      <c r="AN48" s="1"/>
      <c r="AO48" s="1">
        <f>Oversterfte!D310</f>
        <v>1067.3417269467454</v>
      </c>
      <c r="AP48" s="1">
        <f t="shared" si="4"/>
        <v>1068.5002166028512</v>
      </c>
    </row>
    <row r="49" spans="1:42" x14ac:dyDescent="0.2">
      <c r="A49">
        <f t="shared" si="2"/>
        <v>48</v>
      </c>
      <c r="B49" s="2">
        <f t="shared" si="3"/>
        <v>44529</v>
      </c>
      <c r="C49">
        <f>'311 cov wlz'!D49-'311 cov wlz'!E49+'312 cov nwlz'!D49-'312 cov nwlz'!E49</f>
        <v>23</v>
      </c>
      <c r="D49">
        <f>'311 cov wlz'!D49+'312 cov nwlz'!D49</f>
        <v>765</v>
      </c>
      <c r="E49">
        <v>1080</v>
      </c>
      <c r="F49" s="7">
        <f>verzamel!C49/verzamel!E49</f>
        <v>2.7266530334014997E-2</v>
      </c>
      <c r="G49" s="1">
        <f t="shared" si="0"/>
        <v>27.386503067484664</v>
      </c>
      <c r="H49" s="7">
        <f t="shared" si="1"/>
        <v>2.2899243329350855E-2</v>
      </c>
      <c r="I49" s="6">
        <f t="shared" si="5"/>
        <v>0.75898661229825493</v>
      </c>
      <c r="K49" s="6">
        <f>verzamel!N49/838661</f>
        <v>0.2297231956539838</v>
      </c>
      <c r="AN49" s="1"/>
      <c r="AO49" s="1">
        <f>Oversterfte!D311</f>
        <v>1244.1974429460383</v>
      </c>
      <c r="AP49" s="1">
        <f t="shared" si="4"/>
        <v>1190.6970158027777</v>
      </c>
    </row>
    <row r="50" spans="1:42" x14ac:dyDescent="0.2">
      <c r="A50">
        <f t="shared" si="2"/>
        <v>49</v>
      </c>
      <c r="B50" s="2">
        <f t="shared" si="3"/>
        <v>44536</v>
      </c>
      <c r="C50">
        <f>'311 cov wlz'!D50-'311 cov wlz'!E50+'312 cov nwlz'!D50-'312 cov nwlz'!E50</f>
        <v>32</v>
      </c>
      <c r="D50">
        <f>'311 cov wlz'!D50+'312 cov nwlz'!D50</f>
        <v>742</v>
      </c>
      <c r="E50">
        <v>1055</v>
      </c>
      <c r="F50" s="7">
        <f>verzamel!C50/verzamel!E50</f>
        <v>2.8493275586961478E-2</v>
      </c>
      <c r="G50" s="1">
        <f t="shared" si="0"/>
        <v>27.956177342147257</v>
      </c>
      <c r="H50" s="7">
        <f t="shared" si="1"/>
        <v>3.2614788768282117E-2</v>
      </c>
      <c r="I50" s="6">
        <f t="shared" si="5"/>
        <v>0.74568371570243597</v>
      </c>
      <c r="K50" s="6">
        <f>verzamel!N50/838661</f>
        <v>0.27135892813137624</v>
      </c>
      <c r="AN50" s="1"/>
      <c r="AO50" s="1">
        <f>Oversterfte!D312</f>
        <v>1207.0514503722889</v>
      </c>
      <c r="AP50" s="1">
        <f t="shared" si="4"/>
        <v>1128.8848315996615</v>
      </c>
    </row>
    <row r="51" spans="1:42" x14ac:dyDescent="0.2">
      <c r="A51">
        <f t="shared" si="2"/>
        <v>50</v>
      </c>
      <c r="B51" s="2">
        <f t="shared" si="3"/>
        <v>44543</v>
      </c>
      <c r="C51">
        <f>'311 cov wlz'!D51-'311 cov wlz'!E51+'312 cov nwlz'!D51-'312 cov nwlz'!E51</f>
        <v>27</v>
      </c>
      <c r="D51">
        <f>'311 cov wlz'!D51+'312 cov nwlz'!D51</f>
        <v>526</v>
      </c>
      <c r="E51">
        <v>782</v>
      </c>
      <c r="F51" s="7">
        <f>verzamel!C51/verzamel!E51</f>
        <v>2.4396254312469196E-2</v>
      </c>
      <c r="G51" s="1">
        <f t="shared" si="0"/>
        <v>17.742419911286348</v>
      </c>
      <c r="H51" s="7">
        <f t="shared" si="1"/>
        <v>3.7125649698869723E-2</v>
      </c>
      <c r="I51" s="6">
        <f t="shared" si="5"/>
        <v>0.72214107109867054</v>
      </c>
      <c r="K51" s="6">
        <f>verzamel!N51/838661</f>
        <v>0.16180250261146281</v>
      </c>
      <c r="AN51" s="1"/>
      <c r="AO51" s="1">
        <f>Oversterfte!D313</f>
        <v>857.23898270803011</v>
      </c>
      <c r="AP51" s="1">
        <f t="shared" si="4"/>
        <v>868.14767445027553</v>
      </c>
    </row>
    <row r="52" spans="1:42" x14ac:dyDescent="0.2">
      <c r="A52">
        <f t="shared" si="2"/>
        <v>51</v>
      </c>
      <c r="B52" s="2">
        <f t="shared" si="3"/>
        <v>44550</v>
      </c>
      <c r="C52">
        <f>'311 cov wlz'!D52-'311 cov wlz'!E52+'312 cov nwlz'!D52-'312 cov nwlz'!E52</f>
        <v>12</v>
      </c>
      <c r="D52">
        <f>'311 cov wlz'!D52+'312 cov nwlz'!D52</f>
        <v>388</v>
      </c>
      <c r="E52">
        <v>596</v>
      </c>
      <c r="F52" s="7">
        <f>verzamel!C52/verzamel!E52</f>
        <v>2.5198938992042442E-2</v>
      </c>
      <c r="G52" s="1">
        <f t="shared" si="0"/>
        <v>13.967267904509285</v>
      </c>
      <c r="H52" s="7">
        <f t="shared" si="1"/>
        <v>2.1649707728945658E-2</v>
      </c>
      <c r="I52" s="6">
        <f t="shared" si="5"/>
        <v>0.70267477986233895</v>
      </c>
      <c r="K52" s="6">
        <f>verzamel!N52/838661</f>
        <v>6.1951551799175192E-2</v>
      </c>
      <c r="AN52" s="1"/>
      <c r="AO52" s="1">
        <f>Oversterfte!D314</f>
        <v>551.06128201275305</v>
      </c>
      <c r="AP52" s="1">
        <f t="shared" si="4"/>
        <v>602.53568717270741</v>
      </c>
    </row>
    <row r="53" spans="1:42" x14ac:dyDescent="0.2">
      <c r="A53">
        <f t="shared" si="2"/>
        <v>52</v>
      </c>
      <c r="B53" s="2">
        <f t="shared" si="3"/>
        <v>44557</v>
      </c>
      <c r="C53">
        <f>'311 cov wlz'!D53-'311 cov wlz'!E53+'312 cov nwlz'!D53-'312 cov nwlz'!E53</f>
        <v>9</v>
      </c>
      <c r="D53">
        <f>'311 cov wlz'!D53+'312 cov nwlz'!D53</f>
        <v>270</v>
      </c>
      <c r="E53">
        <v>414</v>
      </c>
      <c r="F53" s="7">
        <f>verzamel!C53/verzamel!E53</f>
        <v>1.7639077340569877E-2</v>
      </c>
      <c r="G53" s="1">
        <f t="shared" si="0"/>
        <v>6.7913975576662144</v>
      </c>
      <c r="H53" s="7">
        <f t="shared" si="1"/>
        <v>2.3375409069658716E-2</v>
      </c>
      <c r="I53" s="6">
        <f t="shared" si="5"/>
        <v>0.67397794688838242</v>
      </c>
      <c r="K53" s="6">
        <f>verzamel!N53/838661</f>
        <v>3.8653141954946846E-2</v>
      </c>
      <c r="AN53" s="1"/>
      <c r="AO53" s="1">
        <f>Oversterfte!D315</f>
        <v>450.78120195729343</v>
      </c>
      <c r="AP53" s="1">
        <f t="shared" si="4"/>
        <v>405.99697405575057</v>
      </c>
    </row>
    <row r="54" spans="1:42" x14ac:dyDescent="0.2">
      <c r="A54">
        <v>1</v>
      </c>
      <c r="B54" s="2">
        <f t="shared" si="3"/>
        <v>44564</v>
      </c>
      <c r="C54">
        <f>'311 cov wlz'!D54-'311 cov wlz'!E54+'312 cov nwlz'!D54-'312 cov nwlz'!E54</f>
        <v>7</v>
      </c>
      <c r="D54">
        <f>'311 cov wlz'!D54+'312 cov nwlz'!D54</f>
        <v>167</v>
      </c>
      <c r="E54">
        <v>296</v>
      </c>
      <c r="F54" s="7">
        <f>verzamel!C54/verzamel!E54</f>
        <v>2.3282887077997673E-2</v>
      </c>
      <c r="G54" s="1">
        <f t="shared" si="0"/>
        <v>6.4093131548312003</v>
      </c>
      <c r="H54" s="7">
        <f t="shared" si="1"/>
        <v>2.5428654460912525E-2</v>
      </c>
      <c r="I54" s="6">
        <f t="shared" si="5"/>
        <v>0.62780216273410772</v>
      </c>
      <c r="K54" s="6">
        <f>verzamel!N54/838661</f>
        <v>2.2506718703435014E-2</v>
      </c>
      <c r="AN54" s="1"/>
      <c r="AO54" s="1">
        <f>Oversterfte!D316</f>
        <v>171.36421029566236</v>
      </c>
      <c r="AP54" s="1">
        <f t="shared" si="4"/>
        <v>169.48874825655582</v>
      </c>
    </row>
    <row r="55" spans="1:42" x14ac:dyDescent="0.2">
      <c r="A55">
        <f t="shared" ref="A55:A106" si="6">A54+1</f>
        <v>2</v>
      </c>
      <c r="B55" s="2">
        <f t="shared" ref="B55:B106" si="7">B54+7</f>
        <v>44571</v>
      </c>
      <c r="C55">
        <f>'311 cov wlz'!D55-'311 cov wlz'!E55+'312 cov nwlz'!D55-'312 cov nwlz'!E55</f>
        <v>5</v>
      </c>
      <c r="D55">
        <f>'311 cov wlz'!D55+'312 cov nwlz'!D55</f>
        <v>128</v>
      </c>
      <c r="E55">
        <v>226</v>
      </c>
      <c r="I55" s="6">
        <f t="shared" si="5"/>
        <v>0.6048652118555744</v>
      </c>
      <c r="K55" s="6">
        <f>verzamel!N55/838661</f>
        <v>1.170242088381776E-2</v>
      </c>
      <c r="AN55" s="1"/>
      <c r="AO55" s="1">
        <f>Oversterfte!D317</f>
        <v>-115.55462952239486</v>
      </c>
      <c r="AP55" s="1">
        <f t="shared" si="4"/>
        <v>-36.444671619612222</v>
      </c>
    </row>
    <row r="56" spans="1:42" x14ac:dyDescent="0.2">
      <c r="A56">
        <f t="shared" si="6"/>
        <v>3</v>
      </c>
      <c r="B56" s="2">
        <f t="shared" si="7"/>
        <v>44578</v>
      </c>
      <c r="C56">
        <f>'311 cov wlz'!D56-'311 cov wlz'!E56+'312 cov nwlz'!D56-'312 cov nwlz'!E56</f>
        <v>2</v>
      </c>
      <c r="D56">
        <f>'311 cov wlz'!D56+'312 cov nwlz'!D56</f>
        <v>101</v>
      </c>
      <c r="E56">
        <v>179</v>
      </c>
      <c r="F56" s="1"/>
      <c r="G56" s="1"/>
      <c r="I56" s="6">
        <f t="shared" si="5"/>
        <v>0.62308023423391812</v>
      </c>
      <c r="K56" s="6">
        <f>verzamel!N56/838661</f>
        <v>7.3032261675242717E-3</v>
      </c>
      <c r="AN56" s="1"/>
      <c r="AO56" s="1">
        <f>Oversterfte!D318</f>
        <v>-86.033637729321526</v>
      </c>
      <c r="AP56" s="1">
        <f t="shared" si="4"/>
        <v>-91.404245014537423</v>
      </c>
    </row>
    <row r="57" spans="1:42" x14ac:dyDescent="0.2">
      <c r="A57">
        <f t="shared" si="6"/>
        <v>4</v>
      </c>
      <c r="B57" s="2">
        <f t="shared" si="7"/>
        <v>44585</v>
      </c>
      <c r="C57">
        <f>'311 cov wlz'!D57-'311 cov wlz'!E57+'312 cov nwlz'!D57-'312 cov nwlz'!E57</f>
        <v>4</v>
      </c>
      <c r="D57">
        <f>'311 cov wlz'!D57+'312 cov nwlz'!D57</f>
        <v>118</v>
      </c>
      <c r="E57">
        <v>186</v>
      </c>
      <c r="I57" s="6">
        <f t="shared" si="5"/>
        <v>0.65599289190533538</v>
      </c>
      <c r="K57" s="6">
        <f>verzamel!N57/838661</f>
        <v>6.240370823366306E-3</v>
      </c>
      <c r="AN57" s="1"/>
      <c r="AO57" s="1">
        <f>Oversterfte!D319</f>
        <v>-77.995075077111778</v>
      </c>
      <c r="AP57" s="1">
        <f t="shared" si="4"/>
        <v>-58.609069589109481</v>
      </c>
    </row>
    <row r="58" spans="1:42" x14ac:dyDescent="0.2">
      <c r="A58">
        <f t="shared" si="6"/>
        <v>5</v>
      </c>
      <c r="B58" s="2">
        <f t="shared" si="7"/>
        <v>44592</v>
      </c>
      <c r="C58">
        <f>'311 cov wlz'!D58-'311 cov wlz'!E58+'312 cov nwlz'!D58-'312 cov nwlz'!E58</f>
        <v>4</v>
      </c>
      <c r="D58">
        <f>'311 cov wlz'!D58+'312 cov nwlz'!D58</f>
        <v>148</v>
      </c>
      <c r="E58">
        <v>239</v>
      </c>
      <c r="G58" s="6"/>
      <c r="I58" s="6">
        <f t="shared" si="5"/>
        <v>0.65037181016118029</v>
      </c>
      <c r="K58" s="6">
        <f>verzamel!N58/838661</f>
        <v>5.9770564497414764E-3</v>
      </c>
      <c r="AN58" s="1"/>
      <c r="AO58" s="1">
        <f>Oversterfte!D320</f>
        <v>7.5875095271071586</v>
      </c>
      <c r="AP58" s="1">
        <f t="shared" si="4"/>
        <v>-20.282792166799254</v>
      </c>
    </row>
    <row r="59" spans="1:42" x14ac:dyDescent="0.2">
      <c r="A59">
        <f t="shared" si="6"/>
        <v>6</v>
      </c>
      <c r="B59" s="2">
        <f t="shared" si="7"/>
        <v>44599</v>
      </c>
      <c r="C59">
        <f>'311 cov wlz'!D59-'311 cov wlz'!E59+'312 cov nwlz'!D59-'312 cov nwlz'!E59</f>
        <v>6</v>
      </c>
      <c r="D59">
        <f>'311 cov wlz'!D59+'312 cov nwlz'!D59</f>
        <v>153</v>
      </c>
      <c r="E59">
        <v>274</v>
      </c>
      <c r="I59" s="6">
        <f t="shared" si="5"/>
        <v>0.62801484103052696</v>
      </c>
      <c r="K59" s="6">
        <f>verzamel!N59/838661</f>
        <v>4.9147498289106601E-3</v>
      </c>
      <c r="AN59" s="1"/>
      <c r="AO59" s="1">
        <f>Oversterfte!D321</f>
        <v>-18.311112644299556</v>
      </c>
      <c r="AP59" s="1">
        <f t="shared" si="4"/>
        <v>20.799449010457806</v>
      </c>
    </row>
    <row r="60" spans="1:42" x14ac:dyDescent="0.2">
      <c r="A60">
        <f t="shared" si="6"/>
        <v>7</v>
      </c>
      <c r="B60" s="2">
        <f t="shared" si="7"/>
        <v>44606</v>
      </c>
      <c r="C60">
        <f>'311 cov wlz'!D60-'311 cov wlz'!E60+'312 cov nwlz'!D60-'312 cov nwlz'!E60</f>
        <v>6</v>
      </c>
      <c r="D60">
        <f>'311 cov wlz'!D60+'312 cov nwlz'!D60</f>
        <v>178</v>
      </c>
      <c r="E60">
        <v>291</v>
      </c>
      <c r="I60" s="6">
        <f t="shared" si="5"/>
        <v>0.63478597960241623</v>
      </c>
      <c r="K60" s="6">
        <f>verzamel!N60/838661</f>
        <v>3.7111490078342679E-3</v>
      </c>
      <c r="AN60" s="1"/>
      <c r="AO60" s="1">
        <f>Oversterfte!D322</f>
        <v>112.23251180332318</v>
      </c>
      <c r="AP60" s="1">
        <f t="shared" si="4"/>
        <v>76.311384927255631</v>
      </c>
    </row>
    <row r="61" spans="1:42" x14ac:dyDescent="0.2">
      <c r="A61">
        <f t="shared" si="6"/>
        <v>8</v>
      </c>
      <c r="B61" s="2">
        <f t="shared" si="7"/>
        <v>44613</v>
      </c>
      <c r="C61">
        <f>'311 cov wlz'!D61-'311 cov wlz'!E61+'312 cov nwlz'!D61-'312 cov nwlz'!E61</f>
        <v>5</v>
      </c>
      <c r="D61">
        <f>'311 cov wlz'!D61+'312 cov nwlz'!D61</f>
        <v>149</v>
      </c>
      <c r="E61">
        <v>252</v>
      </c>
      <c r="I61" s="6">
        <f t="shared" si="5"/>
        <v>0.65297607122837442</v>
      </c>
      <c r="K61" s="6">
        <f>verzamel!N61/838661</f>
        <v>4.3011339906340144E-3</v>
      </c>
      <c r="AN61" s="1"/>
      <c r="AO61" s="1">
        <f>Oversterfte!D323</f>
        <v>99.091628746675724</v>
      </c>
      <c r="AP61" s="1">
        <f t="shared" si="4"/>
        <v>76.376722127955532</v>
      </c>
    </row>
    <row r="62" spans="1:42" x14ac:dyDescent="0.2">
      <c r="A62">
        <f t="shared" si="6"/>
        <v>9</v>
      </c>
      <c r="B62" s="2">
        <f t="shared" si="7"/>
        <v>44620</v>
      </c>
      <c r="C62">
        <f>'311 cov wlz'!D62-'311 cov wlz'!E62+'312 cov nwlz'!D62-'312 cov nwlz'!E62</f>
        <v>4</v>
      </c>
      <c r="D62">
        <f>'311 cov wlz'!D62+'312 cov nwlz'!D62</f>
        <v>152</v>
      </c>
      <c r="E62">
        <v>235</v>
      </c>
      <c r="I62" s="6">
        <f t="shared" si="5"/>
        <v>0.6967390828649298</v>
      </c>
      <c r="K62" s="6">
        <f>verzamel!N62/838661</f>
        <v>8.4412958318982965E-3</v>
      </c>
      <c r="AN62" s="1"/>
      <c r="AO62" s="1">
        <f>Oversterfte!D324</f>
        <v>-4.9088807848524993</v>
      </c>
      <c r="AP62" s="1">
        <f t="shared" si="4"/>
        <v>64.320978690509719</v>
      </c>
    </row>
    <row r="63" spans="1:42" x14ac:dyDescent="0.2">
      <c r="A63">
        <f t="shared" si="6"/>
        <v>10</v>
      </c>
      <c r="B63" s="2">
        <f t="shared" si="7"/>
        <v>44627</v>
      </c>
      <c r="C63">
        <f>'311 cov wlz'!D63-'311 cov wlz'!E63+'312 cov nwlz'!D63-'312 cov nwlz'!E63</f>
        <v>6</v>
      </c>
      <c r="D63">
        <f>'311 cov wlz'!D63+'312 cov nwlz'!D63</f>
        <v>226</v>
      </c>
      <c r="E63">
        <v>314</v>
      </c>
      <c r="I63" s="6">
        <f t="shared" si="5"/>
        <v>0.74859716598521187</v>
      </c>
      <c r="K63" s="6">
        <f>verzamel!N63/838661</f>
        <v>1.8109330727318407E-2</v>
      </c>
      <c r="AN63" s="1"/>
      <c r="AO63" s="1">
        <f>Oversterfte!D325</f>
        <v>168.01004758506815</v>
      </c>
      <c r="AP63" s="1">
        <f t="shared" si="4"/>
        <v>184.42402315091147</v>
      </c>
    </row>
    <row r="64" spans="1:42" x14ac:dyDescent="0.2">
      <c r="A64">
        <f t="shared" si="6"/>
        <v>11</v>
      </c>
      <c r="B64" s="2">
        <f t="shared" si="7"/>
        <v>44634</v>
      </c>
      <c r="C64">
        <f>'311 cov wlz'!D64-'311 cov wlz'!E64+'312 cov nwlz'!D64-'312 cov nwlz'!E64</f>
        <v>7</v>
      </c>
      <c r="D64">
        <f>'311 cov wlz'!D64+'312 cov nwlz'!D64</f>
        <v>292</v>
      </c>
      <c r="E64">
        <v>410</v>
      </c>
      <c r="I64" s="6">
        <f t="shared" si="5"/>
        <v>0.77229017053961424</v>
      </c>
      <c r="K64" s="6">
        <f>verzamel!N64/838661</f>
        <v>2.6127355788406845E-2</v>
      </c>
      <c r="AN64" s="1"/>
      <c r="AO64" s="1">
        <f>Oversterfte!D326</f>
        <v>406.58487821836206</v>
      </c>
      <c r="AP64" s="1">
        <f t="shared" si="4"/>
        <v>358.6732794339905</v>
      </c>
    </row>
    <row r="65" spans="1:42" x14ac:dyDescent="0.2">
      <c r="A65">
        <f t="shared" si="6"/>
        <v>12</v>
      </c>
      <c r="B65" s="2">
        <f t="shared" si="7"/>
        <v>44641</v>
      </c>
      <c r="C65">
        <f>'311 cov wlz'!D65-'311 cov wlz'!E65+'312 cov nwlz'!D65-'312 cov nwlz'!E65</f>
        <v>10</v>
      </c>
      <c r="D65">
        <f>'311 cov wlz'!D65+'312 cov nwlz'!D65</f>
        <v>289</v>
      </c>
      <c r="E65">
        <v>389</v>
      </c>
      <c r="I65" s="6">
        <f t="shared" si="5"/>
        <v>0.79308939089192287</v>
      </c>
      <c r="K65" s="6">
        <f>verzamel!N65/838661</f>
        <v>3.2559038754379578E-2</v>
      </c>
      <c r="AN65" s="1"/>
      <c r="AO65" s="1">
        <f>Oversterfte!D327</f>
        <v>453.51331371416973</v>
      </c>
      <c r="AP65" s="1">
        <f t="shared" si="4"/>
        <v>432.26755112955027</v>
      </c>
    </row>
    <row r="66" spans="1:42" x14ac:dyDescent="0.2">
      <c r="A66">
        <f t="shared" si="6"/>
        <v>13</v>
      </c>
      <c r="B66" s="2">
        <f t="shared" si="7"/>
        <v>44648</v>
      </c>
      <c r="C66">
        <f>'311 cov wlz'!D66-'311 cov wlz'!E66+'312 cov nwlz'!D66-'312 cov nwlz'!E66</f>
        <v>5</v>
      </c>
      <c r="D66">
        <f>'311 cov wlz'!D66+'312 cov nwlz'!D66</f>
        <v>263</v>
      </c>
      <c r="E66">
        <v>343</v>
      </c>
      <c r="I66" s="6">
        <f t="shared" si="5"/>
        <v>0.81140978383490392</v>
      </c>
      <c r="K66" s="6">
        <f>verzamel!N66/838661</f>
        <v>3.0180338072744072E-2</v>
      </c>
      <c r="AN66" s="1"/>
      <c r="AO66" s="1">
        <f>Oversterfte!D328</f>
        <v>415.45869887149956</v>
      </c>
      <c r="AP66" s="1">
        <f t="shared" si="4"/>
        <v>433.37140941545545</v>
      </c>
    </row>
    <row r="67" spans="1:42" x14ac:dyDescent="0.2">
      <c r="A67">
        <f t="shared" si="6"/>
        <v>14</v>
      </c>
      <c r="B67" s="2">
        <f t="shared" si="7"/>
        <v>44655</v>
      </c>
      <c r="C67">
        <f>'311 cov wlz'!D67-'311 cov wlz'!E67+'312 cov nwlz'!D67-'312 cov nwlz'!E67</f>
        <v>7</v>
      </c>
      <c r="D67">
        <f>'311 cov wlz'!D67+'312 cov nwlz'!D67</f>
        <v>221</v>
      </c>
      <c r="E67">
        <v>292</v>
      </c>
      <c r="I67" s="6">
        <f t="shared" si="5"/>
        <v>0.82213825045264199</v>
      </c>
      <c r="K67" s="6">
        <f>verzamel!N67/838661</f>
        <v>1.7144397315259928E-2</v>
      </c>
      <c r="AN67" s="1"/>
      <c r="AO67" s="1">
        <f>Oversterfte!D329</f>
        <v>449.05492620465293</v>
      </c>
      <c r="AP67" s="1">
        <f t="shared" si="4"/>
        <v>432.87008070309332</v>
      </c>
    </row>
    <row r="68" spans="1:42" x14ac:dyDescent="0.2">
      <c r="A68">
        <f t="shared" si="6"/>
        <v>15</v>
      </c>
      <c r="B68" s="2">
        <f t="shared" si="7"/>
        <v>44662</v>
      </c>
      <c r="C68">
        <f>'311 cov wlz'!D68-'311 cov wlz'!E68+'312 cov nwlz'!D68-'312 cov nwlz'!E68</f>
        <v>3</v>
      </c>
      <c r="D68">
        <f>'311 cov wlz'!D68+'312 cov nwlz'!D68</f>
        <v>180</v>
      </c>
      <c r="E68">
        <v>227</v>
      </c>
      <c r="I68" s="6">
        <f t="shared" si="5"/>
        <v>0.84986674004347085</v>
      </c>
      <c r="K68" s="6">
        <f>verzamel!N68/838661</f>
        <v>8.9348701799616039E-3</v>
      </c>
      <c r="AN68" s="1"/>
      <c r="AO68" s="1">
        <f>Oversterfte!D330</f>
        <v>417.91177153156787</v>
      </c>
      <c r="AP68" s="1">
        <f t="shared" ref="AP68:AP104" si="8">0.5*AO68+0.25*(AO67+AO69)</f>
        <v>362.62476278573286</v>
      </c>
    </row>
    <row r="69" spans="1:42" x14ac:dyDescent="0.2">
      <c r="A69">
        <f t="shared" si="6"/>
        <v>16</v>
      </c>
      <c r="B69" s="2">
        <f t="shared" si="7"/>
        <v>44669</v>
      </c>
      <c r="C69">
        <f>'311 cov wlz'!D69-'311 cov wlz'!E69+'312 cov nwlz'!D69-'312 cov nwlz'!E69</f>
        <v>2</v>
      </c>
      <c r="D69">
        <f>'311 cov wlz'!D69+'312 cov nwlz'!D69</f>
        <v>141</v>
      </c>
      <c r="E69">
        <v>169</v>
      </c>
      <c r="I69" s="6">
        <f t="shared" si="5"/>
        <v>0.87014939723397433</v>
      </c>
      <c r="K69" s="6">
        <f>verzamel!N69/838661</f>
        <v>4.7377206536795844E-3</v>
      </c>
      <c r="AN69" s="1"/>
      <c r="AO69" s="1">
        <f>Oversterfte!D331</f>
        <v>165.62058187514276</v>
      </c>
      <c r="AP69" s="1">
        <f t="shared" si="8"/>
        <v>212.72829201316802</v>
      </c>
    </row>
    <row r="70" spans="1:42" x14ac:dyDescent="0.2">
      <c r="A70">
        <f t="shared" si="6"/>
        <v>17</v>
      </c>
      <c r="B70" s="2">
        <f t="shared" si="7"/>
        <v>44676</v>
      </c>
      <c r="C70">
        <f>'311 cov wlz'!D70-'311 cov wlz'!E70+'312 cov nwlz'!D70-'312 cov nwlz'!E70</f>
        <v>2</v>
      </c>
      <c r="D70">
        <f>'311 cov wlz'!D70+'312 cov nwlz'!D70</f>
        <v>91</v>
      </c>
      <c r="E70">
        <v>115</v>
      </c>
      <c r="I70" s="6">
        <f t="shared" si="5"/>
        <v>0.8801198487555123</v>
      </c>
      <c r="K70" s="6">
        <f>verzamel!N70/838661</f>
        <v>2.6956978411191226E-3</v>
      </c>
      <c r="AN70" s="1"/>
      <c r="AO70" s="1">
        <f>Oversterfte!D332</f>
        <v>101.76023277081867</v>
      </c>
      <c r="AP70" s="1">
        <f t="shared" si="8"/>
        <v>121.76107888801528</v>
      </c>
    </row>
    <row r="71" spans="1:42" x14ac:dyDescent="0.2">
      <c r="A71">
        <f t="shared" si="6"/>
        <v>18</v>
      </c>
      <c r="B71" s="2">
        <f t="shared" si="7"/>
        <v>44683</v>
      </c>
      <c r="C71">
        <f>'311 cov wlz'!D71-'311 cov wlz'!E71+'312 cov nwlz'!D71-'312 cov nwlz'!E71</f>
        <v>3</v>
      </c>
      <c r="D71">
        <f>'311 cov wlz'!D71+'312 cov nwlz'!D71</f>
        <v>62</v>
      </c>
      <c r="E71">
        <v>71</v>
      </c>
      <c r="I71" s="6">
        <f t="shared" si="5"/>
        <v>0.87619307720879813</v>
      </c>
      <c r="K71" s="6">
        <f>verzamel!N71/838661</f>
        <v>1.6185680654199998E-3</v>
      </c>
      <c r="AN71" s="1"/>
      <c r="AO71" s="1">
        <f>Oversterfte!D333</f>
        <v>117.903268135281</v>
      </c>
      <c r="AP71" s="1">
        <f t="shared" si="8"/>
        <v>120.79722555506044</v>
      </c>
    </row>
    <row r="72" spans="1:42" x14ac:dyDescent="0.2">
      <c r="A72">
        <f t="shared" si="6"/>
        <v>19</v>
      </c>
      <c r="B72" s="2">
        <f t="shared" si="7"/>
        <v>44690</v>
      </c>
      <c r="C72">
        <f>'311 cov wlz'!D72-'311 cov wlz'!E72+'312 cov nwlz'!D72-'312 cov nwlz'!E72</f>
        <v>2</v>
      </c>
      <c r="D72">
        <f>'311 cov wlz'!D72+'312 cov nwlz'!D72</f>
        <v>45</v>
      </c>
      <c r="E72">
        <v>61</v>
      </c>
      <c r="I72" s="6">
        <f t="shared" ref="I72:I104" si="9">1.07*(0.5*D72/E72+0.25*(D71/E71+D73/E73))</f>
        <v>0.84529198233010816</v>
      </c>
      <c r="K72" s="6">
        <f>verzamel!N72/838661</f>
        <v>1.6920255353441206E-3</v>
      </c>
      <c r="AN72" s="1"/>
      <c r="AO72" s="1">
        <f>Oversterfte!D334</f>
        <v>145.62213317886108</v>
      </c>
      <c r="AP72" s="1">
        <f t="shared" si="8"/>
        <v>128.16073599249648</v>
      </c>
    </row>
    <row r="73" spans="1:42" x14ac:dyDescent="0.2">
      <c r="A73">
        <f t="shared" si="6"/>
        <v>20</v>
      </c>
      <c r="B73" s="2">
        <f t="shared" si="7"/>
        <v>44697</v>
      </c>
      <c r="C73">
        <f>'311 cov wlz'!D73-'311 cov wlz'!E73+'312 cov nwlz'!D73-'312 cov nwlz'!E73</f>
        <v>0</v>
      </c>
      <c r="D73">
        <f>'311 cov wlz'!D73+'312 cov nwlz'!D73</f>
        <v>43</v>
      </c>
      <c r="E73">
        <v>53</v>
      </c>
      <c r="I73" s="6">
        <f t="shared" si="9"/>
        <v>0.83520219315687927</v>
      </c>
      <c r="K73" s="6">
        <f>verzamel!N73/838661</f>
        <v>1.3909694879124313E-3</v>
      </c>
      <c r="AN73" s="1"/>
      <c r="AO73" s="1">
        <f>Oversterfte!D335</f>
        <v>103.49540947698279</v>
      </c>
      <c r="AP73" s="1">
        <f t="shared" si="8"/>
        <v>86.931728351710603</v>
      </c>
    </row>
    <row r="74" spans="1:42" x14ac:dyDescent="0.2">
      <c r="A74">
        <f t="shared" si="6"/>
        <v>21</v>
      </c>
      <c r="B74" s="2">
        <f t="shared" si="7"/>
        <v>44704</v>
      </c>
      <c r="C74">
        <f>'311 cov wlz'!D74-'311 cov wlz'!E74+'312 cov nwlz'!D74-'312 cov nwlz'!E74</f>
        <v>0</v>
      </c>
      <c r="D74">
        <f>'311 cov wlz'!D74+'312 cov nwlz'!D74</f>
        <v>32</v>
      </c>
      <c r="E74">
        <v>42</v>
      </c>
      <c r="I74" s="6">
        <f t="shared" si="9"/>
        <v>0.8644749357127367</v>
      </c>
      <c r="K74" s="6">
        <f>verzamel!N74/838661</f>
        <v>9.6014470565724565E-4</v>
      </c>
      <c r="AN74" s="1"/>
      <c r="AO74" s="1">
        <f>Oversterfte!D336</f>
        <v>-4.8860387259842355</v>
      </c>
      <c r="AP74" s="1">
        <f t="shared" si="8"/>
        <v>39.20255885048573</v>
      </c>
    </row>
    <row r="75" spans="1:42" x14ac:dyDescent="0.2">
      <c r="A75">
        <f t="shared" si="6"/>
        <v>22</v>
      </c>
      <c r="B75" s="2">
        <f t="shared" si="7"/>
        <v>44711</v>
      </c>
      <c r="C75">
        <f>'311 cov wlz'!D75-'311 cov wlz'!E75+'312 cov nwlz'!D75-'312 cov nwlz'!E75</f>
        <v>0</v>
      </c>
      <c r="D75">
        <f>'311 cov wlz'!D75+'312 cov nwlz'!D75</f>
        <v>26</v>
      </c>
      <c r="E75">
        <v>29</v>
      </c>
      <c r="I75" s="6">
        <f t="shared" si="9"/>
        <v>0.88639573070607558</v>
      </c>
      <c r="K75" s="6">
        <f>verzamel!N75/838661</f>
        <v>9.4345694415380241E-4</v>
      </c>
      <c r="AN75" s="1"/>
      <c r="AO75" s="1">
        <f>Oversterfte!D337</f>
        <v>63.086903376928603</v>
      </c>
      <c r="AP75" s="1">
        <f t="shared" si="8"/>
        <v>46.083767903856483</v>
      </c>
    </row>
    <row r="76" spans="1:42" x14ac:dyDescent="0.2">
      <c r="A76">
        <f t="shared" si="6"/>
        <v>23</v>
      </c>
      <c r="B76" s="2">
        <f t="shared" si="7"/>
        <v>44718</v>
      </c>
      <c r="C76">
        <f>'311 cov wlz'!D76-'311 cov wlz'!E76+'312 cov nwlz'!D76-'312 cov nwlz'!E76</f>
        <v>0</v>
      </c>
      <c r="D76">
        <f>'311 cov wlz'!D76+'312 cov nwlz'!D76</f>
        <v>22</v>
      </c>
      <c r="E76">
        <v>29</v>
      </c>
      <c r="I76" s="6">
        <f t="shared" si="9"/>
        <v>0.87288143599433154</v>
      </c>
      <c r="K76" s="6">
        <f>verzamel!N76/838661</f>
        <v>5.9185065682325203E-4</v>
      </c>
      <c r="AN76" s="1"/>
      <c r="AO76" s="1">
        <f>Oversterfte!D338</f>
        <v>63.04730358755296</v>
      </c>
      <c r="AP76" s="1">
        <f t="shared" si="8"/>
        <v>85.959761758881541</v>
      </c>
    </row>
    <row r="77" spans="1:42" x14ac:dyDescent="0.2">
      <c r="A77">
        <f t="shared" si="6"/>
        <v>24</v>
      </c>
      <c r="B77" s="2">
        <f t="shared" si="7"/>
        <v>44725</v>
      </c>
      <c r="C77">
        <f>'311 cov wlz'!D77-'311 cov wlz'!E77+'312 cov nwlz'!D77-'312 cov nwlz'!E77</f>
        <v>0</v>
      </c>
      <c r="D77">
        <f>'311 cov wlz'!D77+'312 cov nwlz'!D77</f>
        <v>62</v>
      </c>
      <c r="E77">
        <v>73</v>
      </c>
      <c r="I77" s="6">
        <f t="shared" si="9"/>
        <v>0.89380010337297111</v>
      </c>
      <c r="K77" s="6">
        <f>verzamel!N77/838661</f>
        <v>1.2097215360396731E-3</v>
      </c>
      <c r="AN77" s="1"/>
      <c r="AO77" s="1">
        <f>Oversterfte!D339</f>
        <v>154.65753648349164</v>
      </c>
      <c r="AP77" s="1">
        <f t="shared" si="8"/>
        <v>166.74414674676666</v>
      </c>
    </row>
    <row r="78" spans="1:42" x14ac:dyDescent="0.2">
      <c r="A78">
        <f t="shared" si="6"/>
        <v>25</v>
      </c>
      <c r="B78" s="2">
        <f t="shared" si="7"/>
        <v>44732</v>
      </c>
      <c r="C78">
        <f>'311 cov wlz'!D78-'311 cov wlz'!E78+'312 cov nwlz'!D78-'312 cov nwlz'!E78</f>
        <v>1</v>
      </c>
      <c r="D78">
        <f>'311 cov wlz'!D78+'312 cov nwlz'!D78</f>
        <v>61</v>
      </c>
      <c r="E78">
        <v>69</v>
      </c>
      <c r="I78" s="6">
        <f t="shared" si="9"/>
        <v>0.91662661110414523</v>
      </c>
      <c r="K78" s="6">
        <f>verzamel!N78/838661</f>
        <v>1.416657982511349E-3</v>
      </c>
      <c r="AN78" s="1"/>
      <c r="AO78" s="1">
        <f>Oversterfte!D340</f>
        <v>294.6142104325304</v>
      </c>
      <c r="AP78" s="1">
        <f t="shared" si="8"/>
        <v>255.13463832213381</v>
      </c>
    </row>
    <row r="79" spans="1:42" x14ac:dyDescent="0.2">
      <c r="A79">
        <f t="shared" si="6"/>
        <v>26</v>
      </c>
      <c r="B79" s="2">
        <f t="shared" si="7"/>
        <v>44739</v>
      </c>
      <c r="C79">
        <f>'311 cov wlz'!D79-'311 cov wlz'!E79+'312 cov nwlz'!D79-'312 cov nwlz'!E79</f>
        <v>2</v>
      </c>
      <c r="D79">
        <f>'311 cov wlz'!D79+'312 cov nwlz'!D79</f>
        <v>123</v>
      </c>
      <c r="E79">
        <v>152</v>
      </c>
      <c r="I79" s="6">
        <f t="shared" si="9"/>
        <v>0.88596075787294326</v>
      </c>
      <c r="K79" s="6">
        <f>verzamel!N79/838661</f>
        <v>1.3675093628318067E-3</v>
      </c>
      <c r="AN79" s="1"/>
      <c r="AO79" s="1">
        <f>Oversterfte!D341</f>
        <v>276.6525959399828</v>
      </c>
      <c r="AP79" s="1">
        <f t="shared" si="8"/>
        <v>252.36747325118836</v>
      </c>
    </row>
    <row r="80" spans="1:42" x14ac:dyDescent="0.2">
      <c r="A80">
        <f t="shared" si="6"/>
        <v>27</v>
      </c>
      <c r="B80" s="2">
        <f t="shared" si="7"/>
        <v>44746</v>
      </c>
      <c r="C80">
        <f>'311 cov wlz'!D80-'311 cov wlz'!E80+'312 cov nwlz'!D80-'312 cov nwlz'!E80</f>
        <v>1</v>
      </c>
      <c r="D80">
        <f>'311 cov wlz'!D80+'312 cov nwlz'!D80</f>
        <v>85</v>
      </c>
      <c r="E80">
        <v>105</v>
      </c>
      <c r="I80" s="6">
        <f t="shared" si="9"/>
        <v>0.87419046414112211</v>
      </c>
      <c r="K80" s="6">
        <f>verzamel!N80/838661</f>
        <v>1.2724045271484987E-3</v>
      </c>
      <c r="AN80" s="1"/>
      <c r="AO80" s="1">
        <f>Oversterfte!D342</f>
        <v>161.55049069225743</v>
      </c>
      <c r="AP80" s="1">
        <f t="shared" si="8"/>
        <v>220.97126054791852</v>
      </c>
    </row>
    <row r="81" spans="1:42" x14ac:dyDescent="0.2">
      <c r="A81">
        <f t="shared" si="6"/>
        <v>28</v>
      </c>
      <c r="B81" s="2">
        <f t="shared" si="7"/>
        <v>44753</v>
      </c>
      <c r="C81">
        <f>'311 cov wlz'!D81-'311 cov wlz'!E81+'312 cov nwlz'!D81-'312 cov nwlz'!E81</f>
        <v>1</v>
      </c>
      <c r="D81">
        <f>'311 cov wlz'!D81+'312 cov nwlz'!D81</f>
        <v>131</v>
      </c>
      <c r="E81">
        <v>156</v>
      </c>
      <c r="I81" s="6">
        <f t="shared" si="9"/>
        <v>0.88097348303870049</v>
      </c>
      <c r="K81" s="6">
        <f>verzamel!N81/838661</f>
        <v>3.3990915418406218E-3</v>
      </c>
      <c r="AN81" s="1"/>
      <c r="AO81" s="1">
        <f>Oversterfte!D343</f>
        <v>284.13146486717642</v>
      </c>
      <c r="AP81" s="1">
        <f t="shared" si="8"/>
        <v>279.7702149348421</v>
      </c>
    </row>
    <row r="82" spans="1:42" x14ac:dyDescent="0.2">
      <c r="A82">
        <f t="shared" si="6"/>
        <v>29</v>
      </c>
      <c r="B82" s="2">
        <f t="shared" si="7"/>
        <v>44760</v>
      </c>
      <c r="C82">
        <f>'311 cov wlz'!D82-'311 cov wlz'!E82+'312 cov nwlz'!D82-'312 cov nwlz'!E82</f>
        <v>1</v>
      </c>
      <c r="D82">
        <f>'311 cov wlz'!D82+'312 cov nwlz'!D82</f>
        <v>148</v>
      </c>
      <c r="E82">
        <v>184</v>
      </c>
      <c r="I82" s="6">
        <f t="shared" si="9"/>
        <v>0.8727580436610195</v>
      </c>
      <c r="K82" s="6">
        <f>verzamel!N82/838661</f>
        <v>1.7144302918458666E-3</v>
      </c>
      <c r="AN82" s="1"/>
      <c r="AO82" s="1">
        <f>Oversterfte!D344</f>
        <v>389.26743931275814</v>
      </c>
      <c r="AP82" s="1">
        <f t="shared" si="8"/>
        <v>349.63672560306054</v>
      </c>
    </row>
    <row r="83" spans="1:42" x14ac:dyDescent="0.2">
      <c r="A83">
        <f t="shared" si="6"/>
        <v>30</v>
      </c>
      <c r="B83" s="2">
        <f t="shared" si="7"/>
        <v>44767</v>
      </c>
      <c r="C83">
        <f>'311 cov wlz'!D83-'311 cov wlz'!E83+'312 cov nwlz'!D83-'312 cov nwlz'!E83</f>
        <v>1</v>
      </c>
      <c r="D83">
        <f>'311 cov wlz'!D83+'312 cov nwlz'!D83</f>
        <v>149</v>
      </c>
      <c r="E83">
        <v>183</v>
      </c>
      <c r="I83" s="6">
        <f t="shared" si="9"/>
        <v>0.87978810897717552</v>
      </c>
      <c r="K83" s="6">
        <f>verzamel!N83/838661</f>
        <v>1.879286585695123E-3</v>
      </c>
      <c r="AN83" s="1"/>
      <c r="AO83" s="1">
        <f>Oversterfte!D345</f>
        <v>335.88055891954946</v>
      </c>
      <c r="AP83" s="1">
        <f t="shared" si="8"/>
        <v>305.74322273435394</v>
      </c>
    </row>
    <row r="84" spans="1:42" x14ac:dyDescent="0.2">
      <c r="A84">
        <f t="shared" si="6"/>
        <v>31</v>
      </c>
      <c r="B84" s="2">
        <f t="shared" si="7"/>
        <v>44774</v>
      </c>
      <c r="C84">
        <f>'311 cov wlz'!D84-'311 cov wlz'!E84+'312 cov nwlz'!D84-'312 cov nwlz'!E84</f>
        <v>0</v>
      </c>
      <c r="D84">
        <f>'311 cov wlz'!D84+'312 cov nwlz'!D84</f>
        <v>125</v>
      </c>
      <c r="E84">
        <v>146</v>
      </c>
      <c r="I84" s="6">
        <f t="shared" si="9"/>
        <v>0.89842482753142949</v>
      </c>
      <c r="K84" s="6">
        <f>verzamel!N84/838661</f>
        <v>1.4188761709609001E-3</v>
      </c>
      <c r="AN84" s="1"/>
      <c r="AO84" s="1">
        <f>Oversterfte!D346</f>
        <v>161.94433378555868</v>
      </c>
      <c r="AP84" s="1">
        <f t="shared" si="8"/>
        <v>210.06331448455194</v>
      </c>
    </row>
    <row r="85" spans="1:42" x14ac:dyDescent="0.2">
      <c r="A85">
        <f t="shared" si="6"/>
        <v>32</v>
      </c>
      <c r="B85" s="2">
        <f t="shared" si="7"/>
        <v>44781</v>
      </c>
      <c r="C85">
        <f>'311 cov wlz'!D85-'311 cov wlz'!E85+'312 cov nwlz'!D85-'312 cov nwlz'!E85</f>
        <v>0</v>
      </c>
      <c r="D85">
        <f>'311 cov wlz'!D85+'312 cov nwlz'!D85</f>
        <v>109</v>
      </c>
      <c r="E85">
        <v>131</v>
      </c>
      <c r="I85" s="6">
        <f t="shared" si="9"/>
        <v>0.89665189188321748</v>
      </c>
      <c r="K85" s="6">
        <f>verzamel!N85/838661</f>
        <v>7.0398347283245997E-4</v>
      </c>
      <c r="AN85" s="1"/>
      <c r="AO85" s="1">
        <f>Oversterfte!D347</f>
        <v>180.48403144754093</v>
      </c>
      <c r="AP85" s="1">
        <f t="shared" si="8"/>
        <v>196.62217776323121</v>
      </c>
    </row>
    <row r="86" spans="1:42" x14ac:dyDescent="0.2">
      <c r="A86">
        <f t="shared" si="6"/>
        <v>33</v>
      </c>
      <c r="B86" s="2">
        <f t="shared" si="7"/>
        <v>44788</v>
      </c>
      <c r="C86">
        <f>'311 cov wlz'!D86-'311 cov wlz'!E86+'312 cov nwlz'!D86-'312 cov nwlz'!E86</f>
        <v>2</v>
      </c>
      <c r="D86">
        <f>'311 cov wlz'!D86+'312 cov nwlz'!D86</f>
        <v>84</v>
      </c>
      <c r="E86">
        <v>101</v>
      </c>
      <c r="I86" s="6">
        <f t="shared" si="9"/>
        <v>0.89044349759403418</v>
      </c>
      <c r="K86" s="6">
        <f>verzamel!N86/838661</f>
        <v>4.7161262664748732E-4</v>
      </c>
      <c r="AN86" s="1"/>
      <c r="AO86" s="1">
        <f>Oversterfte!D348</f>
        <v>263.57631437228429</v>
      </c>
      <c r="AP86" s="1">
        <f t="shared" si="8"/>
        <v>230.99619702486223</v>
      </c>
    </row>
    <row r="87" spans="1:42" x14ac:dyDescent="0.2">
      <c r="A87">
        <f t="shared" si="6"/>
        <v>34</v>
      </c>
      <c r="B87" s="2">
        <f t="shared" si="7"/>
        <v>44795</v>
      </c>
      <c r="C87">
        <f>'311 cov wlz'!D87-'311 cov wlz'!E87+'312 cov nwlz'!D87-'312 cov nwlz'!E87</f>
        <v>0</v>
      </c>
      <c r="D87">
        <f>'311 cov wlz'!D87+'312 cov nwlz'!D87</f>
        <v>70</v>
      </c>
      <c r="E87">
        <v>84</v>
      </c>
      <c r="I87" s="6">
        <f t="shared" si="9"/>
        <v>0.90608635863586351</v>
      </c>
      <c r="K87" s="6">
        <f>verzamel!N87/838661</f>
        <v>2.2987743010879826E-4</v>
      </c>
      <c r="AN87" s="1"/>
      <c r="AO87" s="1">
        <f>Oversterfte!D349</f>
        <v>216.3481279073394</v>
      </c>
      <c r="AP87" s="1">
        <f t="shared" si="8"/>
        <v>205.31185625221065</v>
      </c>
    </row>
    <row r="88" spans="1:42" x14ac:dyDescent="0.2">
      <c r="A88">
        <f t="shared" si="6"/>
        <v>35</v>
      </c>
      <c r="B88" s="2">
        <f t="shared" si="7"/>
        <v>44802</v>
      </c>
      <c r="C88">
        <f>'311 cov wlz'!D88-'311 cov wlz'!E88+'312 cov nwlz'!D88-'312 cov nwlz'!E88</f>
        <v>0</v>
      </c>
      <c r="D88">
        <f>'311 cov wlz'!D88+'312 cov nwlz'!D88</f>
        <v>56</v>
      </c>
      <c r="E88">
        <v>63</v>
      </c>
      <c r="I88" s="6">
        <f t="shared" si="9"/>
        <v>0.92138888888888903</v>
      </c>
      <c r="K88" s="6">
        <f>verzamel!N88/838661</f>
        <v>1.4770508456590385E-4</v>
      </c>
      <c r="AN88" s="1"/>
      <c r="AO88" s="1">
        <f>Oversterfte!D350</f>
        <v>124.97485482187949</v>
      </c>
      <c r="AP88" s="1">
        <f t="shared" si="8"/>
        <v>136.49390020419617</v>
      </c>
    </row>
    <row r="89" spans="1:42" x14ac:dyDescent="0.2">
      <c r="A89">
        <f t="shared" si="6"/>
        <v>36</v>
      </c>
      <c r="B89" s="2">
        <f t="shared" si="7"/>
        <v>44809</v>
      </c>
      <c r="C89">
        <f>'311 cov wlz'!D89-'311 cov wlz'!E89+'312 cov nwlz'!D89-'312 cov nwlz'!E89</f>
        <v>2</v>
      </c>
      <c r="D89">
        <f>'311 cov wlz'!D89+'312 cov nwlz'!D89</f>
        <v>60</v>
      </c>
      <c r="E89">
        <v>72</v>
      </c>
      <c r="I89" s="6">
        <f t="shared" si="9"/>
        <v>0.90334325396825399</v>
      </c>
      <c r="K89" s="6">
        <f>verzamel!N89/838661</f>
        <v>0</v>
      </c>
      <c r="AN89" s="1"/>
      <c r="AO89" s="1">
        <f>Oversterfte!D351</f>
        <v>79.677763265686281</v>
      </c>
      <c r="AP89" s="1">
        <f t="shared" si="8"/>
        <v>56.012791658691413</v>
      </c>
    </row>
    <row r="90" spans="1:42" x14ac:dyDescent="0.2">
      <c r="A90">
        <f t="shared" si="6"/>
        <v>37</v>
      </c>
      <c r="B90" s="2">
        <f t="shared" si="7"/>
        <v>44816</v>
      </c>
      <c r="C90">
        <f>'311 cov wlz'!D90-'311 cov wlz'!E90+'312 cov nwlz'!D90-'312 cov nwlz'!E90</f>
        <v>0</v>
      </c>
      <c r="D90">
        <f>'311 cov wlz'!D90+'312 cov nwlz'!D90</f>
        <v>46</v>
      </c>
      <c r="E90">
        <v>56</v>
      </c>
      <c r="I90" s="6">
        <f t="shared" si="9"/>
        <v>0.87453612479474552</v>
      </c>
      <c r="K90" s="6">
        <f>verzamel!N90/838661</f>
        <v>0</v>
      </c>
      <c r="AN90" s="1"/>
      <c r="AO90" s="1">
        <f>Oversterfte!D352</f>
        <v>-60.279214718486401</v>
      </c>
      <c r="AP90" s="1">
        <f t="shared" si="8"/>
        <v>17.88150165042407</v>
      </c>
    </row>
    <row r="91" spans="1:42" x14ac:dyDescent="0.2">
      <c r="A91">
        <f t="shared" si="6"/>
        <v>38</v>
      </c>
      <c r="B91" s="2">
        <f t="shared" si="7"/>
        <v>44823</v>
      </c>
      <c r="C91">
        <f>'311 cov wlz'!D91-'311 cov wlz'!E91+'312 cov nwlz'!D91-'312 cov nwlz'!E91</f>
        <v>0</v>
      </c>
      <c r="D91">
        <f>'311 cov wlz'!D91+'312 cov nwlz'!D91</f>
        <v>46</v>
      </c>
      <c r="E91">
        <v>58</v>
      </c>
      <c r="I91" s="6">
        <f t="shared" si="9"/>
        <v>0.87553287230011378</v>
      </c>
      <c r="K91" s="6">
        <f>verzamel!N91/838661</f>
        <v>0.17581685567827762</v>
      </c>
      <c r="AN91" s="1"/>
      <c r="AO91" s="1">
        <f>Oversterfte!D353</f>
        <v>112.4066727729828</v>
      </c>
      <c r="AP91" s="1">
        <f t="shared" si="8"/>
        <v>110.15167943543804</v>
      </c>
    </row>
    <row r="92" spans="1:42" x14ac:dyDescent="0.2">
      <c r="A92">
        <f t="shared" si="6"/>
        <v>39</v>
      </c>
      <c r="B92" s="2">
        <f t="shared" si="7"/>
        <v>44830</v>
      </c>
      <c r="C92">
        <f>'311 cov wlz'!D92-'311 cov wlz'!E92+'312 cov nwlz'!D92-'312 cov nwlz'!E92</f>
        <v>1</v>
      </c>
      <c r="D92">
        <f>'311 cov wlz'!D92+'312 cov nwlz'!D92</f>
        <v>90</v>
      </c>
      <c r="E92">
        <v>104</v>
      </c>
      <c r="I92" s="6">
        <f t="shared" si="9"/>
        <v>0.89857711811515073</v>
      </c>
      <c r="K92" s="6">
        <f>verzamel!N92/838661</f>
        <v>0.14382884145083652</v>
      </c>
      <c r="AN92" s="1"/>
      <c r="AO92" s="1">
        <f>Oversterfte!D354</f>
        <v>276.07258691427296</v>
      </c>
      <c r="AP92" s="1">
        <f t="shared" si="8"/>
        <v>254.40925796449631</v>
      </c>
    </row>
    <row r="93" spans="1:42" x14ac:dyDescent="0.2">
      <c r="A93">
        <f t="shared" si="6"/>
        <v>40</v>
      </c>
      <c r="B93" s="2">
        <f t="shared" si="7"/>
        <v>44837</v>
      </c>
      <c r="C93">
        <f>'311 cov wlz'!D93-'311 cov wlz'!E93+'312 cov nwlz'!D93-'312 cov nwlz'!E93</f>
        <v>1</v>
      </c>
      <c r="D93">
        <f>'311 cov wlz'!D93+'312 cov nwlz'!D93</f>
        <v>142</v>
      </c>
      <c r="E93">
        <v>170</v>
      </c>
      <c r="I93" s="6">
        <f t="shared" si="9"/>
        <v>0.90902324776064281</v>
      </c>
      <c r="K93" s="6">
        <f>verzamel!N93/838661</f>
        <v>0.10172250766400251</v>
      </c>
      <c r="AN93" s="1"/>
      <c r="AO93" s="1">
        <f>Oversterfte!D355</f>
        <v>353.0851852564565</v>
      </c>
      <c r="AP93" s="1">
        <f t="shared" si="8"/>
        <v>326.51955888628822</v>
      </c>
    </row>
    <row r="94" spans="1:42" x14ac:dyDescent="0.2">
      <c r="A94">
        <f t="shared" si="6"/>
        <v>41</v>
      </c>
      <c r="B94" s="2">
        <f t="shared" si="7"/>
        <v>44844</v>
      </c>
      <c r="C94">
        <f>'311 cov wlz'!D94-'311 cov wlz'!E94+'312 cov nwlz'!D94-'312 cov nwlz'!E94</f>
        <v>3</v>
      </c>
      <c r="D94">
        <f>'311 cov wlz'!D94+'312 cov nwlz'!D94</f>
        <v>169</v>
      </c>
      <c r="E94">
        <v>196</v>
      </c>
      <c r="I94" s="6">
        <f t="shared" si="9"/>
        <v>0.90489706413538873</v>
      </c>
      <c r="K94" s="6">
        <f>verzamel!N94/838661</f>
        <v>7.7514812301990865E-2</v>
      </c>
      <c r="AN94" s="1"/>
      <c r="AO94" s="1">
        <f>Oversterfte!D356</f>
        <v>323.83527811796694</v>
      </c>
      <c r="AP94" s="1">
        <f t="shared" si="8"/>
        <v>338.62196840711852</v>
      </c>
    </row>
    <row r="95" spans="1:42" x14ac:dyDescent="0.2">
      <c r="A95">
        <f t="shared" si="6"/>
        <v>42</v>
      </c>
      <c r="B95" s="2">
        <f t="shared" si="7"/>
        <v>44851</v>
      </c>
      <c r="C95">
        <f>'311 cov wlz'!D95-'311 cov wlz'!E95+'312 cov nwlz'!D95-'312 cov nwlz'!E95</f>
        <v>2</v>
      </c>
      <c r="D95">
        <f>'311 cov wlz'!D95+'312 cov nwlz'!D95</f>
        <v>186</v>
      </c>
      <c r="E95">
        <v>226</v>
      </c>
      <c r="I95" s="6">
        <f t="shared" si="9"/>
        <v>0.88103086618628246</v>
      </c>
      <c r="K95" s="6">
        <f>verzamel!N95/838661</f>
        <v>6.2625912019278321E-2</v>
      </c>
      <c r="AN95" s="1"/>
      <c r="AO95" s="1">
        <f>Oversterfte!D357</f>
        <v>353.73213213608369</v>
      </c>
      <c r="AP95" s="1">
        <f t="shared" si="8"/>
        <v>324.12426160023631</v>
      </c>
    </row>
    <row r="96" spans="1:42" x14ac:dyDescent="0.2">
      <c r="A96">
        <f t="shared" si="6"/>
        <v>43</v>
      </c>
      <c r="B96" s="2">
        <f t="shared" si="7"/>
        <v>44858</v>
      </c>
      <c r="C96">
        <f>'311 cov wlz'!D96-'311 cov wlz'!E96+'312 cov nwlz'!D96-'312 cov nwlz'!E96</f>
        <v>0</v>
      </c>
      <c r="D96">
        <f>'311 cov wlz'!D96+'312 cov nwlz'!D96</f>
        <v>139</v>
      </c>
      <c r="E96">
        <v>177</v>
      </c>
      <c r="I96" s="6">
        <f t="shared" si="9"/>
        <v>0.85236818226656241</v>
      </c>
      <c r="K96" s="6">
        <f>verzamel!N96/838661</f>
        <v>4.228141048647787E-2</v>
      </c>
      <c r="AN96" s="1"/>
      <c r="AO96" s="1">
        <f>Oversterfte!D358</f>
        <v>265.19750401081092</v>
      </c>
      <c r="AP96" s="1">
        <f t="shared" si="8"/>
        <v>260.94665789361477</v>
      </c>
    </row>
    <row r="97" spans="1:42" x14ac:dyDescent="0.2">
      <c r="A97">
        <f t="shared" si="6"/>
        <v>44</v>
      </c>
      <c r="B97" s="2">
        <f t="shared" si="7"/>
        <v>44865</v>
      </c>
      <c r="C97">
        <f>'311 cov wlz'!D97-'311 cov wlz'!E97+'312 cov nwlz'!D97-'312 cov nwlz'!E97</f>
        <v>1</v>
      </c>
      <c r="D97">
        <f>'311 cov wlz'!D97+'312 cov nwlz'!D97</f>
        <v>88</v>
      </c>
      <c r="E97">
        <v>111</v>
      </c>
      <c r="I97" s="6">
        <f t="shared" si="9"/>
        <v>0.84985252071511164</v>
      </c>
      <c r="K97" s="6">
        <f>verzamel!N97/838661</f>
        <v>2.6653558469989649E-2</v>
      </c>
      <c r="AN97" s="1"/>
      <c r="AO97" s="1">
        <f>Oversterfte!D359</f>
        <v>159.65949141675355</v>
      </c>
      <c r="AP97" s="1">
        <f t="shared" si="8"/>
        <v>163.01569439479624</v>
      </c>
    </row>
    <row r="98" spans="1:42" x14ac:dyDescent="0.2">
      <c r="A98">
        <f t="shared" si="6"/>
        <v>45</v>
      </c>
      <c r="B98" s="2">
        <f t="shared" si="7"/>
        <v>44872</v>
      </c>
      <c r="C98">
        <f>'311 cov wlz'!D98-'311 cov wlz'!E98+'312 cov nwlz'!D98-'312 cov nwlz'!E98</f>
        <v>0</v>
      </c>
      <c r="D98">
        <f>'311 cov wlz'!D98+'312 cov nwlz'!D98</f>
        <v>79</v>
      </c>
      <c r="E98">
        <v>98</v>
      </c>
      <c r="I98" s="6">
        <f t="shared" si="9"/>
        <v>0.86915927058784193</v>
      </c>
      <c r="K98" s="6">
        <f>verzamel!N98/838661</f>
        <v>2.0344501532800655E-2</v>
      </c>
      <c r="AN98" s="1"/>
      <c r="AO98" s="1">
        <f>Oversterfte!D360</f>
        <v>67.546290734866943</v>
      </c>
      <c r="AP98" s="1">
        <f t="shared" si="8"/>
        <v>96.258006377914057</v>
      </c>
    </row>
    <row r="99" spans="1:42" x14ac:dyDescent="0.2">
      <c r="A99">
        <f t="shared" si="6"/>
        <v>46</v>
      </c>
      <c r="B99" s="2">
        <f t="shared" si="7"/>
        <v>44879</v>
      </c>
      <c r="C99">
        <f>'311 cov wlz'!D99-'311 cov wlz'!E99+'312 cov nwlz'!D99-'312 cov nwlz'!E99</f>
        <v>4</v>
      </c>
      <c r="D99">
        <f>'311 cov wlz'!D99+'312 cov nwlz'!D99</f>
        <v>65</v>
      </c>
      <c r="E99">
        <v>77</v>
      </c>
      <c r="I99" s="6">
        <f t="shared" si="9"/>
        <v>0.89828385899814478</v>
      </c>
      <c r="K99" s="6">
        <f>verzamel!N99/838661</f>
        <v>1.0172250766400189E-2</v>
      </c>
      <c r="AN99" s="1"/>
      <c r="AO99" s="1">
        <f>Oversterfte!D361</f>
        <v>90.279952625168789</v>
      </c>
      <c r="AP99" s="1">
        <f t="shared" si="8"/>
        <v>124.59410562216908</v>
      </c>
    </row>
    <row r="100" spans="1:42" x14ac:dyDescent="0.2">
      <c r="A100">
        <f t="shared" si="6"/>
        <v>47</v>
      </c>
      <c r="B100" s="2">
        <f t="shared" si="7"/>
        <v>44886</v>
      </c>
      <c r="C100">
        <f>'311 cov wlz'!D100-'311 cov wlz'!E100+'312 cov nwlz'!D100-'312 cov nwlz'!E100</f>
        <v>1</v>
      </c>
      <c r="D100">
        <f>'311 cov wlz'!D100+'312 cov nwlz'!D100</f>
        <v>57</v>
      </c>
      <c r="E100">
        <v>66</v>
      </c>
      <c r="I100" s="6">
        <f t="shared" si="9"/>
        <v>0.92312822719449228</v>
      </c>
      <c r="K100" s="6">
        <f>verzamel!N100/838661</f>
        <v>1.0172250766400189E-2</v>
      </c>
      <c r="AN100" s="1"/>
      <c r="AO100" s="1">
        <f>Oversterfte!D362</f>
        <v>250.2702265034718</v>
      </c>
      <c r="AP100" s="1">
        <f t="shared" si="8"/>
        <v>209.18224733282295</v>
      </c>
    </row>
    <row r="101" spans="1:42" x14ac:dyDescent="0.2">
      <c r="A101">
        <f t="shared" si="6"/>
        <v>48</v>
      </c>
      <c r="B101" s="2">
        <f t="shared" si="7"/>
        <v>44893</v>
      </c>
      <c r="C101">
        <f>'311 cov wlz'!D101-'311 cov wlz'!E101+'312 cov nwlz'!D101-'312 cov nwlz'!E101</f>
        <v>1</v>
      </c>
      <c r="D101">
        <f>'311 cov wlz'!D101+'312 cov nwlz'!D101</f>
        <v>73</v>
      </c>
      <c r="E101">
        <v>83</v>
      </c>
      <c r="I101" s="6">
        <f t="shared" si="9"/>
        <v>0.91615280803533827</v>
      </c>
      <c r="K101" s="6">
        <f>verzamel!N101/838661</f>
        <v>7.0480086709648043E-3</v>
      </c>
      <c r="AN101" s="1"/>
      <c r="AO101" s="1">
        <f>Oversterfte!D363</f>
        <v>245.90858369917942</v>
      </c>
      <c r="AP101" s="1">
        <f t="shared" si="8"/>
        <v>287.66247509441587</v>
      </c>
    </row>
    <row r="102" spans="1:42" x14ac:dyDescent="0.2">
      <c r="A102">
        <f t="shared" si="6"/>
        <v>49</v>
      </c>
      <c r="B102" s="2">
        <f t="shared" si="7"/>
        <v>44900</v>
      </c>
      <c r="C102">
        <f>'311 cov wlz'!D102-'311 cov wlz'!E102+'312 cov nwlz'!D102-'312 cov nwlz'!E102</f>
        <v>0</v>
      </c>
      <c r="D102">
        <f>'311 cov wlz'!D102+'312 cov nwlz'!D102</f>
        <v>73</v>
      </c>
      <c r="E102">
        <v>91</v>
      </c>
      <c r="I102" s="6">
        <f t="shared" si="9"/>
        <v>0.89079306235932743</v>
      </c>
      <c r="K102" s="6">
        <f>verzamel!N102/838661</f>
        <v>3.1242420954353842E-3</v>
      </c>
      <c r="AN102" s="1"/>
      <c r="AO102" s="1">
        <f>Oversterfte!D364</f>
        <v>408.56250647583283</v>
      </c>
      <c r="AP102" s="1">
        <f t="shared" si="8"/>
        <v>457.65093071996478</v>
      </c>
    </row>
    <row r="103" spans="1:42" x14ac:dyDescent="0.2">
      <c r="A103">
        <f t="shared" si="6"/>
        <v>50</v>
      </c>
      <c r="B103" s="2">
        <f t="shared" si="7"/>
        <v>44907</v>
      </c>
      <c r="C103">
        <f>'311 cov wlz'!D103-'311 cov wlz'!E103+'312 cov nwlz'!D103-'312 cov nwlz'!E103</f>
        <v>0</v>
      </c>
      <c r="D103">
        <f>'311 cov wlz'!D103+'312 cov nwlz'!D103</f>
        <v>99</v>
      </c>
      <c r="E103">
        <v>117</v>
      </c>
      <c r="I103" s="6">
        <f t="shared" si="9"/>
        <v>0.88306355311355311</v>
      </c>
      <c r="K103" s="6">
        <f>verzamel!N103/838661</f>
        <v>7.0480086709648043E-3</v>
      </c>
      <c r="AN103" s="1"/>
      <c r="AO103" s="1">
        <f>Oversterfte!D365</f>
        <v>767.57012622901402</v>
      </c>
      <c r="AP103" s="1">
        <f t="shared" si="8"/>
        <v>724.73451200689101</v>
      </c>
    </row>
    <row r="104" spans="1:42" x14ac:dyDescent="0.2">
      <c r="A104">
        <f t="shared" si="6"/>
        <v>51</v>
      </c>
      <c r="B104" s="2">
        <f t="shared" si="7"/>
        <v>44914</v>
      </c>
      <c r="C104">
        <f>'311 cov wlz'!D104-'311 cov wlz'!E104+'312 cov nwlz'!D104-'312 cov nwlz'!E104</f>
        <v>2</v>
      </c>
      <c r="D104">
        <f>'311 cov wlz'!D104+'312 cov nwlz'!D104</f>
        <v>121</v>
      </c>
      <c r="E104">
        <v>150</v>
      </c>
      <c r="I104" s="6">
        <f t="shared" si="9"/>
        <v>0.87494112239961308</v>
      </c>
      <c r="K104" s="6">
        <f>verzamel!N104/838661</f>
        <v>0</v>
      </c>
      <c r="AN104" s="1"/>
      <c r="AO104" s="1">
        <f>Oversterfte!D366</f>
        <v>955.23528909370316</v>
      </c>
      <c r="AP104" s="1">
        <f t="shared" si="8"/>
        <v>887.46595634642097</v>
      </c>
    </row>
    <row r="105" spans="1:42" x14ac:dyDescent="0.2">
      <c r="A105">
        <f t="shared" si="6"/>
        <v>52</v>
      </c>
      <c r="B105" s="2">
        <f t="shared" si="7"/>
        <v>44921</v>
      </c>
      <c r="C105">
        <f>'311 cov wlz'!D105-'311 cov wlz'!E105+'312 cov nwlz'!D105-'312 cov nwlz'!E105</f>
        <v>1</v>
      </c>
      <c r="D105">
        <f>'311 cov wlz'!D105+'312 cov nwlz'!D105</f>
        <v>129</v>
      </c>
      <c r="E105">
        <v>159</v>
      </c>
      <c r="I105" s="6">
        <f t="shared" ref="I105" si="10">1.07*D105/E105</f>
        <v>0.86811320754716981</v>
      </c>
      <c r="K105" s="6">
        <f>verzamel!N105/838661</f>
        <v>3.1242420954355229E-3</v>
      </c>
      <c r="AN105" s="1"/>
      <c r="AO105" s="1">
        <f>Oversterfte!D367</f>
        <v>871.82312096926353</v>
      </c>
      <c r="AP105" s="1">
        <f>AO105</f>
        <v>871.82312096926353</v>
      </c>
    </row>
    <row r="106" spans="1:42" x14ac:dyDescent="0.2">
      <c r="A106">
        <f t="shared" si="6"/>
        <v>53</v>
      </c>
      <c r="B106" s="2">
        <f t="shared" si="7"/>
        <v>44928</v>
      </c>
      <c r="C106">
        <f>'311 cov wlz'!D106-'311 cov wlz'!E106+'312 cov nwlz'!D106-'312 cov nwlz'!E106</f>
        <v>0</v>
      </c>
      <c r="D106">
        <f>'311 cov wlz'!D106+'312 cov nwlz'!D106</f>
        <v>0</v>
      </c>
      <c r="E106">
        <v>150</v>
      </c>
      <c r="I106" s="6"/>
    </row>
    <row r="112" spans="1:42" x14ac:dyDescent="0.2">
      <c r="D112" s="1"/>
      <c r="E112" s="1"/>
      <c r="F112" s="6"/>
    </row>
    <row r="124" spans="5:5" x14ac:dyDescent="0.2">
      <c r="E124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5F3-C612-FD42-A9E4-535B93D402B8}">
  <dimension ref="A1:AG124"/>
  <sheetViews>
    <sheetView zoomScale="90" zoomScaleNormal="9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N51" sqref="N51"/>
    </sheetView>
  </sheetViews>
  <sheetFormatPr baseColWidth="10" defaultRowHeight="16" x14ac:dyDescent="0.2"/>
  <sheetData>
    <row r="1" spans="1:33" x14ac:dyDescent="0.2">
      <c r="A1" s="14" t="s">
        <v>59</v>
      </c>
      <c r="B1" s="14" t="s">
        <v>63</v>
      </c>
      <c r="C1" t="s">
        <v>120</v>
      </c>
      <c r="D1" t="s">
        <v>121</v>
      </c>
      <c r="E1" t="s">
        <v>61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>
        <v>0.05</v>
      </c>
      <c r="M1" t="s">
        <v>136</v>
      </c>
      <c r="N1" t="s">
        <v>137</v>
      </c>
      <c r="O1" t="s">
        <v>91</v>
      </c>
      <c r="P1" t="s">
        <v>65</v>
      </c>
      <c r="AE1" t="s">
        <v>133</v>
      </c>
      <c r="AF1" t="s">
        <v>134</v>
      </c>
      <c r="AG1" t="s">
        <v>135</v>
      </c>
    </row>
    <row r="2" spans="1:33" x14ac:dyDescent="0.2">
      <c r="A2" s="14">
        <v>1</v>
      </c>
      <c r="B2" s="15">
        <v>44200</v>
      </c>
      <c r="C2">
        <f>Corona!D2</f>
        <v>0</v>
      </c>
      <c r="D2">
        <f>Corona!E2-Corona!D2</f>
        <v>1145</v>
      </c>
      <c r="E2" s="6">
        <f>VE!I2</f>
        <v>0</v>
      </c>
    </row>
    <row r="3" spans="1:33" x14ac:dyDescent="0.2">
      <c r="A3" s="14">
        <v>2</v>
      </c>
      <c r="B3" s="16">
        <v>44207</v>
      </c>
      <c r="C3">
        <f>Corona!D3</f>
        <v>0</v>
      </c>
      <c r="D3">
        <f>Corona!E3-Corona!D3</f>
        <v>1026</v>
      </c>
      <c r="E3" s="6">
        <f>VE!I3</f>
        <v>0</v>
      </c>
    </row>
    <row r="4" spans="1:33" x14ac:dyDescent="0.2">
      <c r="A4" s="14">
        <v>3</v>
      </c>
      <c r="B4" s="16">
        <v>44214</v>
      </c>
      <c r="C4">
        <f>Corona!D4</f>
        <v>0</v>
      </c>
      <c r="D4">
        <f>Corona!E4-Corona!D4</f>
        <v>984</v>
      </c>
      <c r="E4" s="6">
        <f>VE!I4</f>
        <v>0</v>
      </c>
    </row>
    <row r="5" spans="1:33" x14ac:dyDescent="0.2">
      <c r="A5" s="14">
        <v>4</v>
      </c>
      <c r="B5" s="16">
        <v>44221</v>
      </c>
      <c r="C5">
        <f>Corona!D5</f>
        <v>8</v>
      </c>
      <c r="D5">
        <f>Corona!E5-Corona!D5</f>
        <v>814</v>
      </c>
      <c r="E5" s="6">
        <f>VE!I5-L$1</f>
        <v>-4.1926803013993541E-2</v>
      </c>
    </row>
    <row r="6" spans="1:33" x14ac:dyDescent="0.2">
      <c r="A6" s="14">
        <v>5</v>
      </c>
      <c r="B6" s="16">
        <v>44228</v>
      </c>
      <c r="C6">
        <f>Corona!D6</f>
        <v>33</v>
      </c>
      <c r="D6">
        <f>Corona!E6-Corona!D6</f>
        <v>702</v>
      </c>
      <c r="E6" s="6">
        <f>VE!I6-L$1</f>
        <v>2.3617952928297756E-2</v>
      </c>
      <c r="F6" s="10">
        <f>C6/E6/178</f>
        <v>7.8496751598161625</v>
      </c>
      <c r="G6" s="10">
        <f>D6/(1-E6)/178</f>
        <v>4.0392182922116753</v>
      </c>
      <c r="H6" s="8">
        <f>POWER(F7/F6,4/7)</f>
        <v>0.8953984835717328</v>
      </c>
      <c r="I6" s="8">
        <f>POWER(G7/G6,4/7)</f>
        <v>0.93056806042191387</v>
      </c>
      <c r="J6" s="8">
        <f>AVERAGE(VE!E5:'VE'!E7)/178</f>
        <v>2.3765472205563398</v>
      </c>
      <c r="M6" s="1">
        <v>405</v>
      </c>
      <c r="N6">
        <f>Corona!E6</f>
        <v>735</v>
      </c>
      <c r="O6">
        <v>209</v>
      </c>
      <c r="P6" s="1">
        <f>N6*(1-C6/N6/VE!I6)/0.4</f>
        <v>716.84944237918228</v>
      </c>
      <c r="Q6" s="8"/>
    </row>
    <row r="7" spans="1:33" x14ac:dyDescent="0.2">
      <c r="A7" s="14">
        <v>6</v>
      </c>
      <c r="B7" s="16">
        <v>44235</v>
      </c>
      <c r="C7">
        <f>Corona!D7</f>
        <v>127</v>
      </c>
      <c r="D7">
        <f>Corona!E7-Corona!D7</f>
        <v>564</v>
      </c>
      <c r="E7" s="6">
        <f>VE!I7-L$1</f>
        <v>0.11028169014084506</v>
      </c>
      <c r="F7" s="10">
        <f t="shared" ref="F7:F13" si="0">C7/E7/178</f>
        <v>6.4696428315180752</v>
      </c>
      <c r="G7" s="10">
        <f t="shared" ref="G7:G13" si="1">D7/(1-E7)/178</f>
        <v>3.5612837127565529</v>
      </c>
      <c r="H7" s="8">
        <f t="shared" ref="H7:H13" si="2">POWER(F8/F7,4/7)</f>
        <v>0.93985404826145247</v>
      </c>
      <c r="I7" s="8">
        <f t="shared" ref="I7:I13" si="3">POWER(G8/G7,4/7)</f>
        <v>0.94510918784166809</v>
      </c>
      <c r="J7" s="8">
        <f>AVERAGE(VE!E6:'VE'!E8)/178</f>
        <v>2.0524704566094023</v>
      </c>
      <c r="M7" s="1">
        <v>413</v>
      </c>
      <c r="N7">
        <f>Corona!E7</f>
        <v>691</v>
      </c>
      <c r="O7">
        <v>112</v>
      </c>
      <c r="P7" s="1">
        <f>N7*(1-C7/N7/VE!I7)/0.4</f>
        <v>-253.38752196836546</v>
      </c>
      <c r="Q7" s="8"/>
    </row>
    <row r="8" spans="1:33" x14ac:dyDescent="0.2">
      <c r="A8" s="14">
        <v>7</v>
      </c>
      <c r="B8" s="16">
        <v>44242</v>
      </c>
      <c r="C8">
        <f>Corona!D8</f>
        <v>175</v>
      </c>
      <c r="D8">
        <f>Corona!E8-Corona!D8</f>
        <v>477</v>
      </c>
      <c r="E8" s="6">
        <f>VE!I8-L$1</f>
        <v>0.16938775510204079</v>
      </c>
      <c r="F8" s="10">
        <f t="shared" si="0"/>
        <v>5.8041153377555164</v>
      </c>
      <c r="G8" s="10">
        <f t="shared" si="1"/>
        <v>3.2262650801976647</v>
      </c>
      <c r="H8" s="8">
        <f t="shared" si="2"/>
        <v>0.8206870956276946</v>
      </c>
      <c r="I8" s="8">
        <f t="shared" si="3"/>
        <v>0.87212086747649364</v>
      </c>
      <c r="J8" s="8">
        <f>AVERAGE(VE!E7:'VE'!E9)/178</f>
        <v>1.2622597613263911</v>
      </c>
      <c r="M8" s="1">
        <v>401</v>
      </c>
      <c r="N8">
        <f>Corona!E8</f>
        <v>652</v>
      </c>
      <c r="O8">
        <v>83</v>
      </c>
      <c r="P8" s="1">
        <f>N8*(1-C8/N8/VE!I8)/0.4</f>
        <v>-364.18604651162809</v>
      </c>
      <c r="Q8" s="8"/>
    </row>
    <row r="9" spans="1:33" x14ac:dyDescent="0.2">
      <c r="A9" s="14">
        <v>8</v>
      </c>
      <c r="B9" s="16">
        <v>44249</v>
      </c>
      <c r="C9">
        <f>Corona!D9</f>
        <v>131</v>
      </c>
      <c r="D9">
        <f>Corona!E9-Corona!D9</f>
        <v>371</v>
      </c>
      <c r="E9" s="6">
        <f>VE!I9-L$1</f>
        <v>0.1791861552853134</v>
      </c>
      <c r="F9" s="10">
        <f t="shared" si="0"/>
        <v>4.1072093712147204</v>
      </c>
      <c r="G9" s="10">
        <f t="shared" si="1"/>
        <v>2.5392720607019448</v>
      </c>
      <c r="H9" s="8">
        <f t="shared" si="2"/>
        <v>0.83600193397451439</v>
      </c>
      <c r="I9" s="8">
        <f t="shared" si="3"/>
        <v>0.92603628428743545</v>
      </c>
      <c r="J9" s="8">
        <f>AVERAGE(VE!E8:'VE'!E10)/178</f>
        <v>0.49398377206563987</v>
      </c>
      <c r="M9" s="1">
        <v>346</v>
      </c>
      <c r="N9">
        <f>Corona!E9</f>
        <v>502</v>
      </c>
      <c r="O9">
        <v>-216</v>
      </c>
      <c r="P9" s="1">
        <f>N9*(1-C9/N9/VE!I9)/0.4</f>
        <v>-173.96938775510182</v>
      </c>
      <c r="Q9" s="8"/>
    </row>
    <row r="10" spans="1:33" x14ac:dyDescent="0.2">
      <c r="A10" s="14">
        <v>9</v>
      </c>
      <c r="B10" s="16">
        <v>44256</v>
      </c>
      <c r="C10">
        <f>Corona!D10</f>
        <v>107</v>
      </c>
      <c r="D10">
        <f>Corona!E10-Corona!D10</f>
        <v>316</v>
      </c>
      <c r="E10" s="6">
        <f>VE!I10-L$1</f>
        <v>0.20024154589371984</v>
      </c>
      <c r="F10" s="10">
        <f t="shared" si="0"/>
        <v>3.0019923828627957</v>
      </c>
      <c r="G10" s="10">
        <f t="shared" si="1"/>
        <v>2.2197713444120555</v>
      </c>
      <c r="H10" s="8">
        <f t="shared" si="2"/>
        <v>0.8389103660980749</v>
      </c>
      <c r="I10" s="8">
        <f t="shared" si="3"/>
        <v>0.98172727015376482</v>
      </c>
      <c r="J10" s="8">
        <f>AVERAGE(VE!E9:'VE'!E11)/178</f>
        <v>4.6307211162163152E-2</v>
      </c>
      <c r="M10" s="1">
        <v>270</v>
      </c>
      <c r="N10">
        <f>Corona!E10</f>
        <v>423</v>
      </c>
      <c r="O10">
        <v>-282</v>
      </c>
      <c r="P10" s="1">
        <f>N10*(1-C10/N10/VE!I10)/0.4</f>
        <v>-11.467181467181224</v>
      </c>
      <c r="Q10" s="8"/>
    </row>
    <row r="11" spans="1:33" x14ac:dyDescent="0.2">
      <c r="A11" s="14">
        <v>10</v>
      </c>
      <c r="B11" s="16">
        <v>44263</v>
      </c>
      <c r="C11">
        <f>Corona!D11</f>
        <v>92</v>
      </c>
      <c r="D11">
        <f>Corona!E11-Corona!D11</f>
        <v>293</v>
      </c>
      <c r="E11" s="6">
        <f>VE!I11-L$1</f>
        <v>0.23412942989214175</v>
      </c>
      <c r="F11" s="10">
        <f t="shared" si="0"/>
        <v>2.2075564478261995</v>
      </c>
      <c r="G11" s="10">
        <f t="shared" si="1"/>
        <v>2.149276235406878</v>
      </c>
      <c r="H11" s="8">
        <f t="shared" si="2"/>
        <v>0.80347887702114662</v>
      </c>
      <c r="I11" s="8">
        <f t="shared" si="3"/>
        <v>0.99372453097312019</v>
      </c>
      <c r="J11" s="8">
        <f>AVERAGE(VE!E10:'VE'!E12)/178</f>
        <v>-0.16250637000551538</v>
      </c>
      <c r="M11" s="1">
        <v>236</v>
      </c>
      <c r="N11">
        <f>Corona!E11</f>
        <v>385</v>
      </c>
      <c r="O11">
        <v>-106</v>
      </c>
      <c r="P11" s="1">
        <f>N11*(1-C11/N11/VE!I11)/0.4</f>
        <v>153.00976138828631</v>
      </c>
      <c r="Q11" s="8"/>
    </row>
    <row r="12" spans="1:33" x14ac:dyDescent="0.2">
      <c r="A12" s="14">
        <v>11</v>
      </c>
      <c r="B12" s="16">
        <v>44270</v>
      </c>
      <c r="C12">
        <f>Corona!D12</f>
        <v>64</v>
      </c>
      <c r="D12">
        <f>Corona!E12-Corona!D12</f>
        <v>288</v>
      </c>
      <c r="E12" s="6">
        <f>VE!I12-L$1</f>
        <v>0.23885967794939206</v>
      </c>
      <c r="F12" s="10">
        <f t="shared" si="0"/>
        <v>1.505279438055392</v>
      </c>
      <c r="G12" s="10">
        <f t="shared" si="1"/>
        <v>2.1257283068788846</v>
      </c>
      <c r="H12" s="8">
        <f t="shared" si="2"/>
        <v>1.0333433581987113</v>
      </c>
      <c r="I12" s="8">
        <f t="shared" si="3"/>
        <v>0.96121542108320468</v>
      </c>
      <c r="J12" s="8">
        <f>AVERAGE(VE!E11:'VE'!E13)/178</f>
        <v>-0.16386533330282207</v>
      </c>
      <c r="M12" s="1">
        <v>206</v>
      </c>
      <c r="N12">
        <f>Corona!E12</f>
        <v>352</v>
      </c>
      <c r="O12">
        <v>-244</v>
      </c>
      <c r="P12" s="1">
        <f>N12*(1-C12/N12/VE!I12)/0.4</f>
        <v>326.09783845278719</v>
      </c>
      <c r="Q12" s="8"/>
    </row>
    <row r="13" spans="1:33" x14ac:dyDescent="0.2">
      <c r="A13" s="14">
        <v>12</v>
      </c>
      <c r="B13" s="16">
        <v>44277</v>
      </c>
      <c r="C13">
        <f>Corona!D13</f>
        <v>74</v>
      </c>
      <c r="D13">
        <f>Corona!E13-Corona!D13</f>
        <v>261</v>
      </c>
      <c r="E13" s="6">
        <f>VE!I13-L$1</f>
        <v>0.26077529566360053</v>
      </c>
      <c r="F13" s="10">
        <f t="shared" si="0"/>
        <v>1.5942090527430282</v>
      </c>
      <c r="G13" s="10">
        <f t="shared" si="1"/>
        <v>1.983554021165659</v>
      </c>
      <c r="H13" s="8">
        <f t="shared" si="2"/>
        <v>0.90547514965473519</v>
      </c>
      <c r="I13" s="8">
        <f t="shared" si="3"/>
        <v>1.0948740845532434</v>
      </c>
      <c r="J13" s="8">
        <f>AVERAGE(VE!E12:'VE'!E14)/178</f>
        <v>-0.16354799746158591</v>
      </c>
      <c r="M13" s="1">
        <v>190</v>
      </c>
      <c r="N13">
        <f>Corona!E13</f>
        <v>335</v>
      </c>
      <c r="O13">
        <v>-162</v>
      </c>
      <c r="P13" s="1">
        <f>N13*(1-C13/N13/VE!I13)/0.4</f>
        <v>242.21458773784352</v>
      </c>
      <c r="Q13" s="8"/>
    </row>
    <row r="14" spans="1:33" x14ac:dyDescent="0.2">
      <c r="A14" s="14">
        <v>13</v>
      </c>
      <c r="B14" s="16">
        <v>44284</v>
      </c>
      <c r="C14">
        <f>Corona!D14</f>
        <v>65</v>
      </c>
      <c r="D14">
        <f>Corona!E14-Corona!D14</f>
        <v>301</v>
      </c>
      <c r="E14" s="6">
        <f>VE!I14-L$1</f>
        <v>0.2725298930144745</v>
      </c>
      <c r="F14" s="10">
        <f t="shared" ref="F14:F77" si="4">C14/E14/178</f>
        <v>1.3399210460426374</v>
      </c>
      <c r="G14" s="10">
        <f t="shared" ref="G14:G77" si="5">D14/(1-E14)/178</f>
        <v>2.3245095842662606</v>
      </c>
      <c r="H14" s="8">
        <f t="shared" ref="H14:H77" si="6">POWER(F15/F14,4/7)</f>
        <v>0.94529286391848</v>
      </c>
      <c r="I14" s="8">
        <f t="shared" ref="I14:I77" si="7">POWER(G15/G14,4/7)</f>
        <v>0.95104017581534395</v>
      </c>
      <c r="J14" s="8">
        <f>AVERAGE(VE!E13:'VE'!E15)/178</f>
        <v>0.19614923836193088</v>
      </c>
      <c r="M14" s="1">
        <v>157</v>
      </c>
      <c r="N14">
        <f>Corona!E14</f>
        <v>366</v>
      </c>
      <c r="O14">
        <v>44</v>
      </c>
      <c r="P14" s="1">
        <f>N14*(1-C14/N14/VE!I14)/0.4</f>
        <v>411.17073170731697</v>
      </c>
      <c r="Q14" s="8"/>
    </row>
    <row r="15" spans="1:33" x14ac:dyDescent="0.2">
      <c r="A15" s="14">
        <v>14</v>
      </c>
      <c r="B15" s="16">
        <v>44291</v>
      </c>
      <c r="C15">
        <f>Corona!D15</f>
        <v>65</v>
      </c>
      <c r="D15">
        <f>Corona!E15-Corona!D15</f>
        <v>265</v>
      </c>
      <c r="E15" s="6">
        <f>VE!I15-L$1</f>
        <v>0.30072738772928526</v>
      </c>
      <c r="F15" s="10">
        <f t="shared" si="4"/>
        <v>1.2142842794703066</v>
      </c>
      <c r="G15" s="10">
        <f t="shared" si="5"/>
        <v>2.1290180951166207</v>
      </c>
      <c r="H15" s="8">
        <f t="shared" si="6"/>
        <v>1.0035178433466772</v>
      </c>
      <c r="I15" s="8">
        <f t="shared" si="7"/>
        <v>1.0413538342874862</v>
      </c>
      <c r="J15" s="8">
        <f>AVERAGE(VE!E14:'VE'!E16)/178</f>
        <v>0.51621408817121694</v>
      </c>
      <c r="M15" s="1">
        <v>149</v>
      </c>
      <c r="N15">
        <f>Corona!E15</f>
        <v>330</v>
      </c>
      <c r="O15">
        <v>108</v>
      </c>
      <c r="P15" s="1">
        <f>N15*(1-C15/N15/VE!I15)/0.4</f>
        <v>361.67718665464383</v>
      </c>
      <c r="Q15" s="8"/>
    </row>
    <row r="16" spans="1:33" x14ac:dyDescent="0.2">
      <c r="A16" s="14">
        <v>15</v>
      </c>
      <c r="B16" s="16">
        <v>44298</v>
      </c>
      <c r="C16">
        <f>Corona!D16</f>
        <v>71</v>
      </c>
      <c r="D16">
        <f>Corona!E16-Corona!D16</f>
        <v>274</v>
      </c>
      <c r="E16" s="6">
        <f>VE!I16-L$1</f>
        <v>0.3264743385400064</v>
      </c>
      <c r="F16" s="10">
        <f t="shared" si="4"/>
        <v>1.2217695463544171</v>
      </c>
      <c r="G16" s="10">
        <f t="shared" si="5"/>
        <v>2.2854746756936488</v>
      </c>
      <c r="H16" s="8">
        <f t="shared" si="6"/>
        <v>0.88150482047767564</v>
      </c>
      <c r="I16" s="8">
        <f t="shared" si="7"/>
        <v>0.95900304401232228</v>
      </c>
      <c r="J16" s="8">
        <f>AVERAGE(VE!E15:'VE'!E17)/178</f>
        <v>0.60536712691584504</v>
      </c>
      <c r="M16" s="1">
        <v>145</v>
      </c>
      <c r="N16">
        <f>Corona!E16</f>
        <v>345</v>
      </c>
      <c r="O16">
        <v>150</v>
      </c>
      <c r="P16" s="1">
        <f>N16*(1-C16/N16/VE!I16)/0.4</f>
        <v>391.02032176121935</v>
      </c>
      <c r="Q16" s="8"/>
    </row>
    <row r="17" spans="1:17" x14ac:dyDescent="0.2">
      <c r="A17" s="14">
        <v>16</v>
      </c>
      <c r="B17" s="16">
        <v>44305</v>
      </c>
      <c r="C17">
        <f>Corona!D17</f>
        <v>66</v>
      </c>
      <c r="D17">
        <f>Corona!E17-Corona!D17</f>
        <v>235</v>
      </c>
      <c r="E17" s="6">
        <f>VE!I17-L$1</f>
        <v>0.37843511450381678</v>
      </c>
      <c r="F17" s="10">
        <f t="shared" si="4"/>
        <v>0.97978887963419414</v>
      </c>
      <c r="G17" s="10">
        <f t="shared" si="5"/>
        <v>2.1240336285200758</v>
      </c>
      <c r="H17" s="8">
        <f t="shared" si="6"/>
        <v>1.0585149126903892</v>
      </c>
      <c r="I17" s="8">
        <f t="shared" si="7"/>
        <v>1.0430460612016856</v>
      </c>
      <c r="J17" s="8">
        <f>AVERAGE(VE!E16:'VE'!E18)/178</f>
        <v>0.68983082317643318</v>
      </c>
      <c r="M17" s="1">
        <v>133</v>
      </c>
      <c r="N17">
        <f>Corona!E17</f>
        <v>301</v>
      </c>
      <c r="O17">
        <v>199</v>
      </c>
      <c r="P17" s="1">
        <f>N17*(1-C17/N17/VE!I17)/0.4</f>
        <v>367.37750556792872</v>
      </c>
      <c r="Q17" s="8"/>
    </row>
    <row r="18" spans="1:17" x14ac:dyDescent="0.2">
      <c r="A18" s="14">
        <v>17</v>
      </c>
      <c r="B18" s="16">
        <v>44312</v>
      </c>
      <c r="C18">
        <f>Corona!D18</f>
        <v>80</v>
      </c>
      <c r="D18">
        <f>Corona!E18-Corona!D18</f>
        <v>238</v>
      </c>
      <c r="E18" s="6">
        <f>VE!I18-L$1</f>
        <v>0.41525776496958056</v>
      </c>
      <c r="F18" s="10">
        <f t="shared" si="4"/>
        <v>1.0823113741897501</v>
      </c>
      <c r="G18" s="10">
        <f t="shared" si="5"/>
        <v>2.2866120686764413</v>
      </c>
      <c r="H18" s="8">
        <f t="shared" si="6"/>
        <v>0.98381466833381592</v>
      </c>
      <c r="I18" s="8">
        <f t="shared" si="7"/>
        <v>0.93597690525177613</v>
      </c>
      <c r="J18" s="8">
        <f>AVERAGE(VE!E17:'VE'!E19)/178</f>
        <v>0.59313750302876356</v>
      </c>
      <c r="M18" s="1">
        <v>123.00000000000001</v>
      </c>
      <c r="N18">
        <f>Corona!E18</f>
        <v>318</v>
      </c>
      <c r="O18">
        <v>225</v>
      </c>
      <c r="P18" s="1">
        <f>N18*(1-C18/N18/VE!I18)/0.4</f>
        <v>365.13076393668268</v>
      </c>
      <c r="Q18" s="8"/>
    </row>
    <row r="19" spans="1:17" x14ac:dyDescent="0.2">
      <c r="A19" s="14">
        <v>18</v>
      </c>
      <c r="B19" s="16">
        <v>44319</v>
      </c>
      <c r="C19">
        <f>Corona!D19</f>
        <v>86</v>
      </c>
      <c r="D19">
        <f>Corona!E19-Corona!D19</f>
        <v>196</v>
      </c>
      <c r="E19" s="6">
        <f>VE!I19-L$1</f>
        <v>0.45933333333333332</v>
      </c>
      <c r="F19" s="10">
        <f t="shared" si="4"/>
        <v>1.0518419464783679</v>
      </c>
      <c r="G19" s="10">
        <f t="shared" si="5"/>
        <v>2.0366034442150767</v>
      </c>
      <c r="H19" s="8">
        <f t="shared" si="6"/>
        <v>0.98647712060740045</v>
      </c>
      <c r="I19" s="8">
        <f t="shared" si="7"/>
        <v>0.89979114729523746</v>
      </c>
      <c r="J19" s="8">
        <f>AVERAGE(VE!E18:'VE'!E20)/178</f>
        <v>0.51144393343168826</v>
      </c>
      <c r="M19" s="1">
        <v>151</v>
      </c>
      <c r="N19">
        <f>Corona!E19</f>
        <v>282</v>
      </c>
      <c r="O19">
        <v>131</v>
      </c>
      <c r="P19" s="1">
        <f>N19*(1-C19/N19/VE!I19)/0.4</f>
        <v>282.87958115183244</v>
      </c>
      <c r="Q19" s="8"/>
    </row>
    <row r="20" spans="1:17" x14ac:dyDescent="0.2">
      <c r="A20" s="14">
        <v>19</v>
      </c>
      <c r="B20" s="16">
        <v>44326</v>
      </c>
      <c r="C20">
        <f>Corona!D20</f>
        <v>90</v>
      </c>
      <c r="D20">
        <f>Corona!E20-Corona!D20</f>
        <v>153</v>
      </c>
      <c r="E20" s="6">
        <f>VE!I20-L$1</f>
        <v>0.49228855721393033</v>
      </c>
      <c r="F20" s="10">
        <f t="shared" si="4"/>
        <v>1.0270764374244172</v>
      </c>
      <c r="G20" s="10">
        <f t="shared" si="5"/>
        <v>1.6929903274997387</v>
      </c>
      <c r="H20" s="8">
        <f t="shared" si="6"/>
        <v>0.85143419707108103</v>
      </c>
      <c r="I20" s="8">
        <f t="shared" si="7"/>
        <v>0.89912948559963668</v>
      </c>
      <c r="J20" s="8">
        <f>AVERAGE(VE!E19:'VE'!E21)/178</f>
        <v>0.41618724002124979</v>
      </c>
      <c r="M20" s="1">
        <v>126</v>
      </c>
      <c r="N20">
        <f>Corona!E20</f>
        <v>243</v>
      </c>
      <c r="O20">
        <v>166</v>
      </c>
      <c r="P20" s="1">
        <f>N20*(1-C20/N20/VE!I20)/0.4</f>
        <v>192.59174311926606</v>
      </c>
      <c r="Q20" s="8"/>
    </row>
    <row r="21" spans="1:17" x14ac:dyDescent="0.2">
      <c r="A21" s="14">
        <v>20</v>
      </c>
      <c r="B21" s="16">
        <v>44333</v>
      </c>
      <c r="C21">
        <f>Corona!D21</f>
        <v>74</v>
      </c>
      <c r="D21">
        <f>Corona!E21-Corona!D21</f>
        <v>116</v>
      </c>
      <c r="E21" s="6">
        <f>VE!I21-L$1</f>
        <v>0.53634538152610434</v>
      </c>
      <c r="F21" s="10">
        <f t="shared" si="4"/>
        <v>0.77511683962998346</v>
      </c>
      <c r="G21" s="10">
        <f t="shared" si="5"/>
        <v>1.4055406056418216</v>
      </c>
      <c r="H21" s="8">
        <f t="shared" si="6"/>
        <v>0.61768684440321497</v>
      </c>
      <c r="I21" s="8">
        <f t="shared" si="7"/>
        <v>0.85324767961094705</v>
      </c>
      <c r="J21" s="8">
        <f>AVERAGE(VE!E20:'VE'!E22)/178</f>
        <v>0.20580450714240636</v>
      </c>
      <c r="M21" s="1">
        <v>95</v>
      </c>
      <c r="N21">
        <f>Corona!E21</f>
        <v>190</v>
      </c>
      <c r="O21">
        <v>168</v>
      </c>
      <c r="P21" s="1">
        <f>N21*(1-C21/N21/VE!I21)/0.4</f>
        <v>159.48630136986301</v>
      </c>
      <c r="Q21" s="8"/>
    </row>
    <row r="22" spans="1:17" x14ac:dyDescent="0.2">
      <c r="A22" s="14">
        <v>21</v>
      </c>
      <c r="B22" s="16">
        <v>44340</v>
      </c>
      <c r="C22">
        <f>Corona!D22</f>
        <v>34</v>
      </c>
      <c r="D22">
        <f>Corona!E22-Corona!D22</f>
        <v>81</v>
      </c>
      <c r="E22" s="6">
        <f>VE!I22-L$1</f>
        <v>0.57259444048467567</v>
      </c>
      <c r="F22" s="10">
        <f t="shared" si="4"/>
        <v>0.33358905090551294</v>
      </c>
      <c r="G22" s="10">
        <f t="shared" si="5"/>
        <v>1.0646941052692722</v>
      </c>
      <c r="H22" s="8">
        <f t="shared" si="6"/>
        <v>1.2329128129868168</v>
      </c>
      <c r="I22" s="8">
        <f t="shared" si="7"/>
        <v>0.90990077180921825</v>
      </c>
      <c r="J22" s="8">
        <f>AVERAGE(VE!E21:'VE'!E23)/178</f>
        <v>0.34059795828155293</v>
      </c>
      <c r="M22" s="1">
        <v>77</v>
      </c>
      <c r="N22">
        <f>Corona!E22</f>
        <v>115</v>
      </c>
      <c r="O22">
        <v>9</v>
      </c>
      <c r="P22" s="1">
        <f>N22*(1-C22/N22/VE!I22)/0.4</f>
        <v>150.97452776187751</v>
      </c>
      <c r="Q22" s="8"/>
    </row>
    <row r="23" spans="1:17" x14ac:dyDescent="0.2">
      <c r="A23" s="14">
        <v>22</v>
      </c>
      <c r="B23" s="16">
        <v>44347</v>
      </c>
      <c r="C23">
        <f>Corona!D23</f>
        <v>51</v>
      </c>
      <c r="D23">
        <f>Corona!E23-Corona!D23</f>
        <v>65</v>
      </c>
      <c r="E23" s="6">
        <f>VE!I23-L$1</f>
        <v>0.59539714190761051</v>
      </c>
      <c r="F23" s="10">
        <f t="shared" si="4"/>
        <v>0.48121973346160929</v>
      </c>
      <c r="G23" s="10">
        <f t="shared" si="5"/>
        <v>0.90253573849559376</v>
      </c>
      <c r="H23" s="8">
        <f t="shared" si="6"/>
        <v>0.67014221699807919</v>
      </c>
      <c r="I23" s="8">
        <f t="shared" si="7"/>
        <v>0.76870986622735105</v>
      </c>
      <c r="J23" s="8">
        <f>AVERAGE(VE!E22:'VE'!E24)/178</f>
        <v>0.28096994420498511</v>
      </c>
      <c r="M23" s="1">
        <v>57</v>
      </c>
      <c r="N23">
        <f>Corona!E23</f>
        <v>116</v>
      </c>
      <c r="O23">
        <v>230</v>
      </c>
      <c r="P23" s="1">
        <f>N23*(1-C23/N23/VE!I23)/0.4</f>
        <v>92.447219361483036</v>
      </c>
      <c r="Q23" s="8"/>
    </row>
    <row r="24" spans="1:17" x14ac:dyDescent="0.2">
      <c r="A24" s="14">
        <v>23</v>
      </c>
      <c r="B24" s="16">
        <v>44354</v>
      </c>
      <c r="C24">
        <f>Corona!D24</f>
        <v>27</v>
      </c>
      <c r="D24">
        <f>Corona!E24-Corona!D24</f>
        <v>37</v>
      </c>
      <c r="E24" s="6">
        <f>VE!I24-L$1</f>
        <v>0.63505029483177244</v>
      </c>
      <c r="F24" s="10">
        <f t="shared" si="4"/>
        <v>0.23885571661471172</v>
      </c>
      <c r="G24" s="10">
        <f t="shared" si="5"/>
        <v>0.56957209608789283</v>
      </c>
      <c r="H24" s="8">
        <f t="shared" si="6"/>
        <v>0.55707736500457672</v>
      </c>
      <c r="I24" s="8">
        <f t="shared" si="7"/>
        <v>1.0946232096788184</v>
      </c>
      <c r="J24" s="8">
        <f>AVERAGE(VE!E23:'VE'!E25)/178</f>
        <v>0.52490741103748684</v>
      </c>
      <c r="M24" s="1">
        <v>33</v>
      </c>
      <c r="N24">
        <f>Corona!E24</f>
        <v>64</v>
      </c>
      <c r="O24">
        <v>122</v>
      </c>
      <c r="P24" s="1">
        <f>N24*(1-C24/N24/VE!I24)/0.4</f>
        <v>61.467088607594938</v>
      </c>
      <c r="Q24" s="8"/>
    </row>
    <row r="25" spans="1:17" x14ac:dyDescent="0.2">
      <c r="A25" s="14">
        <v>24</v>
      </c>
      <c r="B25" s="16">
        <v>44361</v>
      </c>
      <c r="C25">
        <f>Corona!D25</f>
        <v>10</v>
      </c>
      <c r="D25">
        <f>Corona!E25-Corona!D25</f>
        <v>41</v>
      </c>
      <c r="E25" s="6">
        <f>VE!I25-L$1</f>
        <v>0.65477518299058901</v>
      </c>
      <c r="F25" s="10">
        <f t="shared" si="4"/>
        <v>8.5800098629740432E-2</v>
      </c>
      <c r="G25" s="10">
        <f t="shared" si="5"/>
        <v>0.66720892387468855</v>
      </c>
      <c r="H25" s="8">
        <f t="shared" si="6"/>
        <v>1.0098829999090233</v>
      </c>
      <c r="I25" s="8">
        <f t="shared" si="7"/>
        <v>0.5937705625154569</v>
      </c>
      <c r="J25" s="8">
        <f>AVERAGE(VE!E24:'VE'!E26)/178</f>
        <v>8.7603357062553764E-3</v>
      </c>
      <c r="M25" s="1">
        <v>15</v>
      </c>
      <c r="N25">
        <f>Corona!E25</f>
        <v>51</v>
      </c>
      <c r="O25">
        <v>107</v>
      </c>
      <c r="P25" s="1">
        <f>N25*(1-C25/N25/VE!I25)/0.4</f>
        <v>92.027695351137481</v>
      </c>
      <c r="Q25" s="8"/>
    </row>
    <row r="26" spans="1:17" x14ac:dyDescent="0.2">
      <c r="A26" s="14">
        <v>25</v>
      </c>
      <c r="B26" s="16">
        <v>44368</v>
      </c>
      <c r="C26">
        <f>Corona!D26</f>
        <v>10</v>
      </c>
      <c r="D26">
        <f>Corona!E26-Corona!D26</f>
        <v>17</v>
      </c>
      <c r="E26" s="6">
        <f>VE!I26-L$1</f>
        <v>0.64360269360269351</v>
      </c>
      <c r="F26" s="10">
        <f t="shared" si="4"/>
        <v>8.728952790178901E-2</v>
      </c>
      <c r="G26" s="10">
        <f t="shared" si="5"/>
        <v>0.26797513971965836</v>
      </c>
      <c r="H26" s="8">
        <f t="shared" si="6"/>
        <v>1.1362937795911288</v>
      </c>
      <c r="I26" s="8">
        <f t="shared" si="7"/>
        <v>0.77035697736422404</v>
      </c>
      <c r="J26" s="8">
        <f>AVERAGE(VE!E25:'VE'!E27)/178</f>
        <v>-5.9397910289957959E-2</v>
      </c>
      <c r="M26" s="1">
        <v>15</v>
      </c>
      <c r="N26">
        <f>Corona!E26</f>
        <v>27</v>
      </c>
      <c r="O26">
        <v>-76</v>
      </c>
      <c r="P26" s="1">
        <f>N26*(1-C26/N26/VE!I26)/0.4</f>
        <v>31.456310679611647</v>
      </c>
      <c r="Q26" s="8"/>
    </row>
    <row r="27" spans="1:17" x14ac:dyDescent="0.2">
      <c r="A27" s="14">
        <v>26</v>
      </c>
      <c r="B27" s="16">
        <v>44375</v>
      </c>
      <c r="C27">
        <f>Corona!D27</f>
        <v>13</v>
      </c>
      <c r="D27">
        <f>Corona!E27-Corona!D27</f>
        <v>10</v>
      </c>
      <c r="E27" s="6">
        <f>VE!I27-L$1</f>
        <v>0.66904080171796698</v>
      </c>
      <c r="F27" s="10">
        <f t="shared" si="4"/>
        <v>0.10916181446278336</v>
      </c>
      <c r="G27" s="10">
        <f t="shared" si="5"/>
        <v>0.16974834231083749</v>
      </c>
      <c r="H27" s="8">
        <f t="shared" si="6"/>
        <v>0.74440036217193073</v>
      </c>
      <c r="I27" s="8">
        <f t="shared" si="7"/>
        <v>1.2063105587115797</v>
      </c>
      <c r="J27" s="8">
        <f>AVERAGE(VE!E26:'VE'!E28)/178</f>
        <v>-3.1206940398734305E-2</v>
      </c>
      <c r="M27" s="1">
        <v>15</v>
      </c>
      <c r="N27">
        <f>Corona!E27</f>
        <v>23</v>
      </c>
      <c r="O27">
        <v>52</v>
      </c>
      <c r="P27" s="1">
        <f>N27*(1-C27/N27/VE!I27)/0.4</f>
        <v>12.300895968143355</v>
      </c>
      <c r="Q27" s="8"/>
    </row>
    <row r="28" spans="1:17" x14ac:dyDescent="0.2">
      <c r="A28" s="14">
        <v>27</v>
      </c>
      <c r="B28" s="16">
        <v>44382</v>
      </c>
      <c r="C28">
        <f>Corona!D28</f>
        <v>8</v>
      </c>
      <c r="D28">
        <f>Corona!E28-Corona!D28</f>
        <v>13</v>
      </c>
      <c r="E28" s="6">
        <f>VE!I28-L$1</f>
        <v>0.6901408450704225</v>
      </c>
      <c r="F28" s="10">
        <f t="shared" si="4"/>
        <v>6.5122678284797064E-2</v>
      </c>
      <c r="G28" s="10">
        <f t="shared" si="5"/>
        <v>0.23569969356486209</v>
      </c>
      <c r="H28" s="8">
        <f t="shared" si="6"/>
        <v>1.0525629146678905</v>
      </c>
      <c r="I28" s="8">
        <f t="shared" si="7"/>
        <v>0.89368503670864152</v>
      </c>
      <c r="J28" s="8">
        <f>AVERAGE(VE!E27:'VE'!E29)/178</f>
        <v>0.40859361152099344</v>
      </c>
      <c r="M28" s="1">
        <v>9</v>
      </c>
      <c r="N28">
        <f>Corona!E28</f>
        <v>21</v>
      </c>
      <c r="O28">
        <v>92</v>
      </c>
      <c r="P28" s="1">
        <f>N28*(1-C28/N28/VE!I28)/0.4</f>
        <v>25.478116079923883</v>
      </c>
      <c r="Q28" s="8"/>
    </row>
    <row r="29" spans="1:17" x14ac:dyDescent="0.2">
      <c r="A29" s="14">
        <v>28</v>
      </c>
      <c r="B29" s="16">
        <v>44389</v>
      </c>
      <c r="C29">
        <f>Corona!D29</f>
        <v>9</v>
      </c>
      <c r="D29">
        <f>Corona!E29-Corona!D29</f>
        <v>10</v>
      </c>
      <c r="E29" s="6">
        <f>VE!I29-L$1</f>
        <v>0.7098329272537417</v>
      </c>
      <c r="F29" s="10">
        <f t="shared" si="4"/>
        <v>7.1230561180680232E-2</v>
      </c>
      <c r="G29" s="10">
        <f t="shared" si="5"/>
        <v>0.19361182076653566</v>
      </c>
      <c r="H29" s="8">
        <f t="shared" si="6"/>
        <v>2.2258508149187026</v>
      </c>
      <c r="I29" s="8">
        <f t="shared" si="7"/>
        <v>1.9071584331414797</v>
      </c>
      <c r="J29" s="8">
        <f>AVERAGE(VE!E28:'VE'!E30)/178</f>
        <v>0.42195717634827967</v>
      </c>
      <c r="M29" s="1">
        <v>11</v>
      </c>
      <c r="N29">
        <f>Corona!E29</f>
        <v>19</v>
      </c>
      <c r="O29">
        <v>130</v>
      </c>
      <c r="P29" s="1">
        <f>N29*(1-C29/N29/VE!I29)/0.4</f>
        <v>17.88822721026111</v>
      </c>
      <c r="Q29" s="8"/>
    </row>
    <row r="30" spans="1:17" x14ac:dyDescent="0.2">
      <c r="A30" s="14">
        <v>29</v>
      </c>
      <c r="B30" s="16">
        <v>44396</v>
      </c>
      <c r="C30">
        <f>Corona!D30</f>
        <v>36</v>
      </c>
      <c r="D30">
        <f>Corona!E30-Corona!D30</f>
        <v>32</v>
      </c>
      <c r="E30" s="6">
        <f>VE!I30-L$1</f>
        <v>0.7</v>
      </c>
      <c r="F30" s="10">
        <f t="shared" si="4"/>
        <v>0.28892455858747995</v>
      </c>
      <c r="G30" s="10">
        <f t="shared" si="5"/>
        <v>0.59925093632958792</v>
      </c>
      <c r="H30" s="8">
        <f t="shared" si="6"/>
        <v>1.0482621541078485</v>
      </c>
      <c r="I30" s="8">
        <f t="shared" si="7"/>
        <v>1.0505371723749446</v>
      </c>
      <c r="J30" s="8">
        <f>AVERAGE(VE!E29:'VE'!E31)/178</f>
        <v>0.5943234201488905</v>
      </c>
      <c r="M30" s="1">
        <v>24</v>
      </c>
      <c r="N30">
        <f>Corona!E30</f>
        <v>68</v>
      </c>
      <c r="O30">
        <v>30</v>
      </c>
      <c r="P30" s="1">
        <f>N30*(1-C30/N30/VE!I30)/0.4</f>
        <v>49.999999999999986</v>
      </c>
      <c r="Q30" s="8"/>
    </row>
    <row r="31" spans="1:17" x14ac:dyDescent="0.2">
      <c r="A31" s="14">
        <v>30</v>
      </c>
      <c r="B31" s="16">
        <v>44403</v>
      </c>
      <c r="C31">
        <f>Corona!D31</f>
        <v>40</v>
      </c>
      <c r="D31">
        <f>Corona!E31-Corona!D31</f>
        <v>33</v>
      </c>
      <c r="E31" s="6">
        <f>VE!I31-L$1</f>
        <v>0.71619814878299615</v>
      </c>
      <c r="F31" s="10">
        <f t="shared" si="4"/>
        <v>0.31376666011417476</v>
      </c>
      <c r="G31" s="10">
        <f t="shared" si="5"/>
        <v>0.65324893982177989</v>
      </c>
      <c r="H31" s="8">
        <f t="shared" si="6"/>
        <v>1.2417586583755429</v>
      </c>
      <c r="I31" s="8">
        <f t="shared" si="7"/>
        <v>1.2862334520018106</v>
      </c>
      <c r="J31" s="8">
        <f>AVERAGE(VE!E30:'VE'!E32)/178</f>
        <v>0.77170717338369332</v>
      </c>
      <c r="M31" s="1">
        <v>29.000000000000004</v>
      </c>
      <c r="N31">
        <f>Corona!E31</f>
        <v>73</v>
      </c>
      <c r="O31">
        <v>185</v>
      </c>
      <c r="P31" s="1">
        <f>N31*(1-C31/N31/VE!I31)/0.4</f>
        <v>51.985458612975378</v>
      </c>
      <c r="Q31" s="8"/>
    </row>
    <row r="32" spans="1:17" x14ac:dyDescent="0.2">
      <c r="A32" s="17">
        <v>31</v>
      </c>
      <c r="B32" s="18">
        <v>44410</v>
      </c>
      <c r="C32">
        <f>Corona!D32</f>
        <v>59</v>
      </c>
      <c r="D32">
        <f>Corona!E32-Corona!D32</f>
        <v>50</v>
      </c>
      <c r="E32" s="6">
        <f>VE!I32-L$1</f>
        <v>0.72320283496456295</v>
      </c>
      <c r="F32" s="10">
        <f t="shared" si="4"/>
        <v>0.45832325059061058</v>
      </c>
      <c r="G32" s="10">
        <f t="shared" si="5"/>
        <v>1.014818473189681</v>
      </c>
      <c r="H32" s="8">
        <f t="shared" si="6"/>
        <v>0.96556061054127984</v>
      </c>
      <c r="I32" s="8">
        <f t="shared" si="7"/>
        <v>0.93981020940883508</v>
      </c>
      <c r="J32" s="8">
        <f>AVERAGE(VE!E31:'VE'!E33)/178</f>
        <v>0.88654738802774136</v>
      </c>
      <c r="M32" s="1">
        <v>40</v>
      </c>
      <c r="N32">
        <f>Corona!E32</f>
        <v>109</v>
      </c>
      <c r="O32">
        <v>252</v>
      </c>
      <c r="P32" s="1">
        <f>N32*(1-C32/N32/VE!I32)/0.4</f>
        <v>81.735050196420801</v>
      </c>
      <c r="Q32" s="8"/>
    </row>
    <row r="33" spans="1:33" x14ac:dyDescent="0.2">
      <c r="A33" s="14">
        <v>32</v>
      </c>
      <c r="B33" s="16">
        <v>44417</v>
      </c>
      <c r="C33">
        <f>Corona!D33</f>
        <v>54</v>
      </c>
      <c r="D33">
        <f>Corona!E33-Corona!D33</f>
        <v>48</v>
      </c>
      <c r="E33" s="6">
        <f>VE!I33-L$1</f>
        <v>0.7037812170242701</v>
      </c>
      <c r="F33" s="10">
        <f t="shared" si="4"/>
        <v>0.43105837322508728</v>
      </c>
      <c r="G33" s="10">
        <f t="shared" si="5"/>
        <v>0.91035051403343625</v>
      </c>
      <c r="H33" s="8">
        <f t="shared" si="6"/>
        <v>0.93639901739978193</v>
      </c>
      <c r="I33" s="8">
        <f t="shared" si="7"/>
        <v>0.9923922902457929</v>
      </c>
      <c r="J33" s="8">
        <f>AVERAGE(VE!E32:'VE'!E34)/178</f>
        <v>0.83411378364802113</v>
      </c>
      <c r="M33" s="1">
        <v>40</v>
      </c>
      <c r="N33">
        <f>Corona!E33</f>
        <v>102</v>
      </c>
      <c r="O33">
        <v>137</v>
      </c>
      <c r="P33" s="1">
        <f>N33*(1-C33/N33/VE!I33)/0.4</f>
        <v>75.902939804013059</v>
      </c>
      <c r="Q33" s="8"/>
    </row>
    <row r="34" spans="1:33" x14ac:dyDescent="0.2">
      <c r="A34" s="14">
        <v>33</v>
      </c>
      <c r="B34" s="16">
        <v>44424</v>
      </c>
      <c r="C34">
        <f>Corona!D34</f>
        <v>50</v>
      </c>
      <c r="D34">
        <f>Corona!E34-Corona!D34</f>
        <v>43</v>
      </c>
      <c r="E34" s="6">
        <f>VE!I34-L$1</f>
        <v>0.73106712564543885</v>
      </c>
      <c r="F34" s="10">
        <f t="shared" si="4"/>
        <v>0.3842313059235109</v>
      </c>
      <c r="G34" s="10">
        <f t="shared" si="5"/>
        <v>0.8982651685393257</v>
      </c>
      <c r="H34" s="8">
        <f t="shared" si="6"/>
        <v>1.0061875267518812</v>
      </c>
      <c r="I34" s="8">
        <f t="shared" si="7"/>
        <v>1.1026885906307604</v>
      </c>
      <c r="J34" s="8">
        <f>AVERAGE(VE!E33:'VE'!E35)/178</f>
        <v>0.72905916556867911</v>
      </c>
      <c r="M34" s="1">
        <v>44</v>
      </c>
      <c r="N34">
        <f>Corona!E34</f>
        <v>93</v>
      </c>
      <c r="O34">
        <v>212</v>
      </c>
      <c r="P34" s="1">
        <f>N34*(1-C34/N34/VE!I34)/0.4</f>
        <v>72.462538563243726</v>
      </c>
      <c r="Q34" s="8"/>
    </row>
    <row r="35" spans="1:33" x14ac:dyDescent="0.2">
      <c r="A35" s="14">
        <v>34</v>
      </c>
      <c r="B35" s="16">
        <v>44431</v>
      </c>
      <c r="C35">
        <f>Corona!D35</f>
        <v>48</v>
      </c>
      <c r="D35">
        <f>Corona!E35-Corona!D35</f>
        <v>58</v>
      </c>
      <c r="E35" s="6">
        <f>VE!I35-L$1</f>
        <v>0.69428912376406404</v>
      </c>
      <c r="F35" s="10">
        <f t="shared" si="4"/>
        <v>0.38840147730724428</v>
      </c>
      <c r="G35" s="10">
        <f t="shared" si="5"/>
        <v>1.0658524833697463</v>
      </c>
      <c r="H35" s="8">
        <f t="shared" si="6"/>
        <v>0.9524576477490545</v>
      </c>
      <c r="I35" s="8">
        <f t="shared" si="7"/>
        <v>0.87055889518888618</v>
      </c>
      <c r="J35" s="8">
        <f>AVERAGE(VE!E34:'VE'!E36)/178</f>
        <v>0.71252942866988134</v>
      </c>
      <c r="M35" s="1">
        <v>43</v>
      </c>
      <c r="N35">
        <f>Corona!E35</f>
        <v>106</v>
      </c>
      <c r="O35">
        <v>246</v>
      </c>
      <c r="P35" s="1">
        <f>N35*(1-C35/N35/VE!I35)/0.4</f>
        <v>103.77233165368757</v>
      </c>
      <c r="Q35" s="8"/>
      <c r="AE35" s="8">
        <v>0.59580131115204904</v>
      </c>
      <c r="AF35" s="8">
        <f t="shared" ref="AF35:AF48" si="8">AE35-F35</f>
        <v>0.20739983384480476</v>
      </c>
      <c r="AG35" s="8">
        <f t="shared" ref="AG35:AG48" si="9">AE35-G35</f>
        <v>-0.47005117221769721</v>
      </c>
    </row>
    <row r="36" spans="1:33" x14ac:dyDescent="0.2">
      <c r="A36" s="14">
        <v>35</v>
      </c>
      <c r="B36" s="16">
        <v>44438</v>
      </c>
      <c r="C36">
        <f>Corona!D36</f>
        <v>46</v>
      </c>
      <c r="D36">
        <f>Corona!E36-Corona!D36</f>
        <v>41</v>
      </c>
      <c r="E36" s="6">
        <f>VE!I36-L$1</f>
        <v>0.7245644599303136</v>
      </c>
      <c r="F36" s="10">
        <f t="shared" si="4"/>
        <v>0.35666525282925077</v>
      </c>
      <c r="G36" s="10">
        <f t="shared" si="5"/>
        <v>0.83626491553489835</v>
      </c>
      <c r="H36" s="8">
        <f t="shared" si="6"/>
        <v>1.0494695583465115</v>
      </c>
      <c r="I36" s="8">
        <f t="shared" si="7"/>
        <v>1.0258694665346362</v>
      </c>
      <c r="J36" s="8">
        <f>AVERAGE(VE!E35:'VE'!E37)/178</f>
        <v>0.98211597951346064</v>
      </c>
      <c r="M36" s="1">
        <v>41</v>
      </c>
      <c r="N36">
        <f>Corona!E36</f>
        <v>87</v>
      </c>
      <c r="O36">
        <v>179</v>
      </c>
      <c r="P36" s="1">
        <f>N36*(1-C36/N36/VE!I36)/0.4</f>
        <v>69.029464687359422</v>
      </c>
      <c r="Q36" s="8"/>
      <c r="AE36" s="8">
        <v>0.68744920209636939</v>
      </c>
      <c r="AF36" s="8">
        <f t="shared" si="8"/>
        <v>0.33078394926711863</v>
      </c>
      <c r="AG36" s="8">
        <f t="shared" si="9"/>
        <v>-0.14881571343852895</v>
      </c>
    </row>
    <row r="37" spans="1:33" x14ac:dyDescent="0.2">
      <c r="A37" s="14">
        <v>36</v>
      </c>
      <c r="B37" s="16">
        <v>44445</v>
      </c>
      <c r="C37">
        <f>Corona!D37</f>
        <v>50</v>
      </c>
      <c r="D37">
        <f>Corona!E37-Corona!D37</f>
        <v>43</v>
      </c>
      <c r="E37" s="6">
        <f>VE!I37-L$1</f>
        <v>0.72375565610859727</v>
      </c>
      <c r="F37" s="10">
        <f t="shared" si="4"/>
        <v>0.38811285830192721</v>
      </c>
      <c r="G37" s="10">
        <f t="shared" si="5"/>
        <v>0.87449042505222274</v>
      </c>
      <c r="H37" s="8">
        <f t="shared" si="6"/>
        <v>1.0615637564412652</v>
      </c>
      <c r="I37" s="8">
        <f t="shared" si="7"/>
        <v>0.95844952329498589</v>
      </c>
      <c r="J37" s="8">
        <f>AVERAGE(VE!E36:'VE'!E38)/178</f>
        <v>0.85738480637792414</v>
      </c>
      <c r="M37" s="1">
        <v>32</v>
      </c>
      <c r="N37">
        <f>Corona!E37</f>
        <v>93</v>
      </c>
      <c r="O37">
        <v>395</v>
      </c>
      <c r="P37" s="1">
        <f>N37*(1-C37/N37/VE!I37)/0.4</f>
        <v>70.950292397660832</v>
      </c>
      <c r="Q37" s="8"/>
      <c r="AE37" s="8">
        <v>0.882253353228721</v>
      </c>
      <c r="AF37" s="8">
        <f t="shared" si="8"/>
        <v>0.49414049492679379</v>
      </c>
      <c r="AG37" s="8">
        <f t="shared" si="9"/>
        <v>7.7629281764982627E-3</v>
      </c>
    </row>
    <row r="38" spans="1:33" x14ac:dyDescent="0.2">
      <c r="A38" s="14">
        <v>37</v>
      </c>
      <c r="B38" s="16">
        <v>44452</v>
      </c>
      <c r="C38">
        <f>Corona!D38</f>
        <v>56</v>
      </c>
      <c r="D38">
        <f>Corona!E38-Corona!D38</f>
        <v>39</v>
      </c>
      <c r="E38" s="6">
        <f>VE!I38-L$1</f>
        <v>0.73013698630136981</v>
      </c>
      <c r="F38" s="10">
        <f t="shared" si="4"/>
        <v>0.43088728207938948</v>
      </c>
      <c r="G38" s="10">
        <f t="shared" si="5"/>
        <v>0.81189756459248263</v>
      </c>
      <c r="H38" s="8">
        <f t="shared" si="6"/>
        <v>0.77922091957727913</v>
      </c>
      <c r="I38" s="8">
        <f t="shared" si="7"/>
        <v>0.78524551111560104</v>
      </c>
      <c r="J38" s="8">
        <f>AVERAGE(VE!E37:'VE'!E39)/178</f>
        <v>0.77798614625436113</v>
      </c>
      <c r="M38" s="1">
        <v>45</v>
      </c>
      <c r="N38">
        <f>Corona!E38</f>
        <v>95</v>
      </c>
      <c r="O38">
        <v>198</v>
      </c>
      <c r="P38" s="1">
        <f>N38*(1-C38/N38/VE!I38)/0.4</f>
        <v>58.044337137840202</v>
      </c>
      <c r="Q38" s="8"/>
      <c r="AE38" s="8">
        <v>0.54825150204460515</v>
      </c>
      <c r="AF38" s="8">
        <f t="shared" si="8"/>
        <v>0.11736421996521568</v>
      </c>
      <c r="AG38" s="8">
        <f t="shared" si="9"/>
        <v>-0.26364606254787748</v>
      </c>
    </row>
    <row r="39" spans="1:33" x14ac:dyDescent="0.2">
      <c r="A39" s="14">
        <v>38</v>
      </c>
      <c r="B39" s="16">
        <v>44459</v>
      </c>
      <c r="C39">
        <f>Corona!D39</f>
        <v>37</v>
      </c>
      <c r="D39">
        <f>Corona!E39-Corona!D39</f>
        <v>24</v>
      </c>
      <c r="E39" s="6">
        <f>VE!I39-L$1</f>
        <v>0.74646936656282448</v>
      </c>
      <c r="F39" s="10">
        <f t="shared" si="4"/>
        <v>0.27846443250103747</v>
      </c>
      <c r="G39" s="10">
        <f t="shared" si="5"/>
        <v>0.53181526368713283</v>
      </c>
      <c r="H39" s="8">
        <f t="shared" si="6"/>
        <v>0.87534989077491798</v>
      </c>
      <c r="I39" s="8">
        <f t="shared" si="7"/>
        <v>1.1373603959499574</v>
      </c>
      <c r="J39" s="8">
        <f>AVERAGE(VE!E38:'VE'!E40)/178</f>
        <v>0.62198545555763007</v>
      </c>
      <c r="M39" s="1">
        <v>36</v>
      </c>
      <c r="N39">
        <f>Corona!E39</f>
        <v>61</v>
      </c>
      <c r="O39">
        <v>136</v>
      </c>
      <c r="P39" s="1">
        <f>N39*(1-C39/N39/VE!I39)/0.4</f>
        <v>36.362451108213811</v>
      </c>
      <c r="Q39" s="8"/>
      <c r="AE39" s="8">
        <v>0.35425861488465421</v>
      </c>
      <c r="AF39" s="8">
        <f t="shared" si="8"/>
        <v>7.5794182383616737E-2</v>
      </c>
      <c r="AG39" s="8">
        <f t="shared" si="9"/>
        <v>-0.17755664880247862</v>
      </c>
    </row>
    <row r="40" spans="1:33" x14ac:dyDescent="0.2">
      <c r="A40" s="14">
        <v>39</v>
      </c>
      <c r="B40" s="16">
        <v>44466</v>
      </c>
      <c r="C40">
        <f>Corona!D40</f>
        <v>29</v>
      </c>
      <c r="D40">
        <f>Corona!E40-Corona!D40</f>
        <v>31</v>
      </c>
      <c r="E40" s="6">
        <f>VE!I40-L$1</f>
        <v>0.73856771679116595</v>
      </c>
      <c r="F40" s="10">
        <f t="shared" si="4"/>
        <v>0.2205909419145024</v>
      </c>
      <c r="G40" s="10">
        <f t="shared" si="5"/>
        <v>0.66616601910510176</v>
      </c>
      <c r="H40" s="8">
        <f t="shared" si="6"/>
        <v>1.1374639804941422</v>
      </c>
      <c r="I40" s="8">
        <f t="shared" si="7"/>
        <v>1.175468501193107</v>
      </c>
      <c r="J40" s="8">
        <f>AVERAGE(VE!E39:'VE'!E41)/178</f>
        <v>0.769509624664521</v>
      </c>
      <c r="M40" s="1">
        <v>32</v>
      </c>
      <c r="N40">
        <f>Corona!E40</f>
        <v>60</v>
      </c>
      <c r="O40">
        <v>303</v>
      </c>
      <c r="P40" s="1">
        <f>N40*(1-C40/N40/VE!I40)/0.4</f>
        <v>58.061161449752888</v>
      </c>
      <c r="Q40" s="8"/>
      <c r="AE40" s="8">
        <v>0.69540420792422153</v>
      </c>
      <c r="AF40" s="8">
        <f t="shared" si="8"/>
        <v>0.47481326600971913</v>
      </c>
      <c r="AG40" s="8">
        <f t="shared" si="9"/>
        <v>2.923818881911977E-2</v>
      </c>
    </row>
    <row r="41" spans="1:33" x14ac:dyDescent="0.2">
      <c r="A41" s="14">
        <v>40</v>
      </c>
      <c r="B41" s="16">
        <v>44473</v>
      </c>
      <c r="C41">
        <f>Corona!D41</f>
        <v>37</v>
      </c>
      <c r="D41">
        <f>Corona!E41-Corona!D41</f>
        <v>39</v>
      </c>
      <c r="E41" s="6">
        <f>VE!I41-L$1</f>
        <v>0.75214773836641713</v>
      </c>
      <c r="F41" s="10">
        <f t="shared" si="4"/>
        <v>0.27636215325301161</v>
      </c>
      <c r="G41" s="10">
        <f t="shared" si="5"/>
        <v>0.88399888768986878</v>
      </c>
      <c r="H41" s="8">
        <f t="shared" si="6"/>
        <v>1.3450299800164771</v>
      </c>
      <c r="I41" s="8">
        <f t="shared" si="7"/>
        <v>1.0245394444864795</v>
      </c>
      <c r="J41" s="8">
        <f>AVERAGE(VE!E40:'VE'!E42)/178</f>
        <v>0.95852526819580119</v>
      </c>
      <c r="M41" s="1">
        <v>22</v>
      </c>
      <c r="N41">
        <f>Corona!E41</f>
        <v>76</v>
      </c>
      <c r="O41">
        <v>263</v>
      </c>
      <c r="P41" s="1">
        <f>N41*(1-C41/N41/VE!I41)/0.4</f>
        <v>74.684584178498966</v>
      </c>
      <c r="Q41" s="8"/>
      <c r="AE41" s="8">
        <v>0.79001519523612118</v>
      </c>
      <c r="AF41" s="8">
        <f t="shared" si="8"/>
        <v>0.51365304198310957</v>
      </c>
      <c r="AG41" s="8">
        <f t="shared" si="9"/>
        <v>-9.3983692453747603E-2</v>
      </c>
    </row>
    <row r="42" spans="1:33" x14ac:dyDescent="0.2">
      <c r="A42" s="14">
        <v>41</v>
      </c>
      <c r="B42" s="16">
        <v>44480</v>
      </c>
      <c r="C42">
        <f>Corona!D42</f>
        <v>62</v>
      </c>
      <c r="D42">
        <f>Corona!E42-Corona!D42</f>
        <v>41</v>
      </c>
      <c r="E42" s="6">
        <f>VE!I42-L$1</f>
        <v>0.75026067122841311</v>
      </c>
      <c r="F42" s="10">
        <f t="shared" si="4"/>
        <v>0.46425811734376571</v>
      </c>
      <c r="G42" s="10">
        <f t="shared" si="5"/>
        <v>0.92230999332248986</v>
      </c>
      <c r="H42" s="8">
        <f t="shared" si="6"/>
        <v>1.4797748355889551</v>
      </c>
      <c r="I42" s="8">
        <f t="shared" si="7"/>
        <v>1.0906895429713326</v>
      </c>
      <c r="J42" s="8">
        <f>AVERAGE(VE!E41:'VE'!E43)/178</f>
        <v>1.1799404950218437</v>
      </c>
      <c r="M42" s="1">
        <v>44</v>
      </c>
      <c r="N42">
        <f>Corona!E42</f>
        <v>103</v>
      </c>
      <c r="O42">
        <v>237</v>
      </c>
      <c r="P42" s="1">
        <f>N42*(1-C42/N42/VE!I42)/0.4</f>
        <v>63.813110749185675</v>
      </c>
      <c r="Q42" s="8"/>
      <c r="AE42" s="8">
        <v>0.90992331288934047</v>
      </c>
      <c r="AF42" s="8">
        <f t="shared" si="8"/>
        <v>0.44566519554557477</v>
      </c>
      <c r="AG42" s="8">
        <f t="shared" si="9"/>
        <v>-1.2386680433149388E-2</v>
      </c>
    </row>
    <row r="43" spans="1:33" x14ac:dyDescent="0.2">
      <c r="A43" s="14">
        <v>42</v>
      </c>
      <c r="B43" s="16">
        <v>44487</v>
      </c>
      <c r="C43">
        <f>Corona!D43</f>
        <v>122</v>
      </c>
      <c r="D43">
        <f>Corona!E43-Corona!D43</f>
        <v>49</v>
      </c>
      <c r="E43" s="6">
        <f>VE!I43-L$1</f>
        <v>0.74359756097560969</v>
      </c>
      <c r="F43" s="10">
        <f t="shared" si="4"/>
        <v>0.9217260711932963</v>
      </c>
      <c r="G43" s="10">
        <f t="shared" si="5"/>
        <v>1.0736282381862148</v>
      </c>
      <c r="H43" s="8">
        <f t="shared" si="6"/>
        <v>1.3255406009488355</v>
      </c>
      <c r="I43" s="8">
        <f t="shared" si="7"/>
        <v>1.5178865755314619</v>
      </c>
      <c r="J43" s="8">
        <f>AVERAGE(VE!E42:'VE'!E44)/178</f>
        <v>1.6157759035925501</v>
      </c>
      <c r="M43" s="1">
        <v>66</v>
      </c>
      <c r="N43">
        <f>Corona!E43</f>
        <v>171</v>
      </c>
      <c r="O43">
        <v>416</v>
      </c>
      <c r="P43" s="1">
        <f>N43*(1-C43/N43/VE!I43)/0.4</f>
        <v>43.174222051479077</v>
      </c>
      <c r="Q43" s="8"/>
      <c r="AE43" s="8">
        <v>1.4913885625003331</v>
      </c>
      <c r="AF43" s="8">
        <f t="shared" si="8"/>
        <v>0.56966249130703683</v>
      </c>
      <c r="AG43" s="8">
        <f t="shared" si="9"/>
        <v>0.41776032431411836</v>
      </c>
    </row>
    <row r="44" spans="1:33" x14ac:dyDescent="0.2">
      <c r="A44" s="14">
        <v>43</v>
      </c>
      <c r="B44" s="16">
        <v>44494</v>
      </c>
      <c r="C44">
        <f>Corona!D44</f>
        <v>205</v>
      </c>
      <c r="D44">
        <f>Corona!E44-Corona!D44</f>
        <v>94</v>
      </c>
      <c r="E44" s="6">
        <f>VE!I44-L$1</f>
        <v>0.76303450309643173</v>
      </c>
      <c r="F44" s="10">
        <f t="shared" si="4"/>
        <v>1.5093490380642434</v>
      </c>
      <c r="G44" s="10">
        <f t="shared" si="5"/>
        <v>2.228551812567686</v>
      </c>
      <c r="H44" s="8">
        <f t="shared" si="6"/>
        <v>1.2109735066637373</v>
      </c>
      <c r="I44" s="8">
        <f t="shared" si="7"/>
        <v>1.1540634407559658</v>
      </c>
      <c r="J44" s="8">
        <f>AVERAGE(VE!E43:'VE'!E45)/178</f>
        <v>2.3076711757213784</v>
      </c>
      <c r="M44" s="1">
        <v>97</v>
      </c>
      <c r="N44">
        <f>Corona!E44</f>
        <v>299</v>
      </c>
      <c r="O44">
        <v>504</v>
      </c>
      <c r="P44" s="1">
        <f>N44*(1-C44/N44/VE!I44)/0.4</f>
        <v>117.14544795067107</v>
      </c>
      <c r="Q44" s="8"/>
      <c r="R44" s="1"/>
      <c r="AE44" s="8">
        <v>2.1238301462581939</v>
      </c>
      <c r="AF44" s="8">
        <f t="shared" si="8"/>
        <v>0.61448110819395052</v>
      </c>
      <c r="AG44" s="8">
        <f t="shared" si="9"/>
        <v>-0.10472166630949209</v>
      </c>
    </row>
    <row r="45" spans="1:33" x14ac:dyDescent="0.2">
      <c r="A45" s="14">
        <v>44</v>
      </c>
      <c r="B45" s="16">
        <v>44501</v>
      </c>
      <c r="C45">
        <f>Corona!D45</f>
        <v>282</v>
      </c>
      <c r="D45">
        <f>Corona!E45-Corona!D45</f>
        <v>127</v>
      </c>
      <c r="E45" s="6">
        <f>VE!I45-L$1</f>
        <v>0.75085106382978717</v>
      </c>
      <c r="F45" s="10">
        <f t="shared" si="4"/>
        <v>2.1099652637376987</v>
      </c>
      <c r="G45" s="10">
        <f t="shared" si="5"/>
        <v>2.863681286521651</v>
      </c>
      <c r="H45" s="8">
        <f t="shared" si="6"/>
        <v>1.1938555295219941</v>
      </c>
      <c r="I45" s="8">
        <f t="shared" si="7"/>
        <v>1.1900554340451286</v>
      </c>
      <c r="J45" s="8">
        <f>AVERAGE(VE!E44:'VE'!E46)/178</f>
        <v>3.100671566213471</v>
      </c>
      <c r="M45" s="1">
        <v>150</v>
      </c>
      <c r="N45">
        <f>Corona!E45</f>
        <v>409</v>
      </c>
      <c r="O45">
        <v>610</v>
      </c>
      <c r="P45" s="1">
        <f>N45*(1-C45/N45/VE!I45)/0.4</f>
        <v>142.18650371944736</v>
      </c>
      <c r="Q45" s="8"/>
      <c r="AE45" s="8">
        <v>2.8643990839625921</v>
      </c>
      <c r="AF45" s="8">
        <f t="shared" si="8"/>
        <v>0.75443382022489347</v>
      </c>
      <c r="AG45" s="8">
        <f t="shared" si="9"/>
        <v>7.1779744094113695E-4</v>
      </c>
    </row>
    <row r="46" spans="1:33" x14ac:dyDescent="0.2">
      <c r="A46" s="14">
        <v>45</v>
      </c>
      <c r="B46" s="16">
        <v>44508</v>
      </c>
      <c r="C46">
        <f>Corona!D46</f>
        <v>378</v>
      </c>
      <c r="D46">
        <f>Corona!E46-Corona!D46</f>
        <v>181</v>
      </c>
      <c r="E46" s="6">
        <f>VE!I46-L$1</f>
        <v>0.73812664907651715</v>
      </c>
      <c r="F46" s="10">
        <f t="shared" si="4"/>
        <v>2.8770069584601021</v>
      </c>
      <c r="G46" s="10">
        <f t="shared" si="5"/>
        <v>3.8829988962160025</v>
      </c>
      <c r="H46" s="8">
        <f t="shared" si="6"/>
        <v>1.2695566792962187</v>
      </c>
      <c r="I46" s="8">
        <f t="shared" si="7"/>
        <v>1.2172721827803674</v>
      </c>
      <c r="J46" s="8">
        <f>AVERAGE(VE!E45:'VE'!E47)/178</f>
        <v>4.0813959037810505</v>
      </c>
      <c r="M46" s="1">
        <v>173</v>
      </c>
      <c r="N46">
        <f>Corona!E46</f>
        <v>559</v>
      </c>
      <c r="O46">
        <v>862</v>
      </c>
      <c r="P46" s="1">
        <f>N46*(1-C46/N46/VE!I46)/0.4</f>
        <v>198.45413458319385</v>
      </c>
      <c r="Q46" s="8"/>
      <c r="AE46" s="8">
        <v>3.9303593017349208</v>
      </c>
      <c r="AF46" s="8">
        <f t="shared" si="8"/>
        <v>1.0533523432748186</v>
      </c>
      <c r="AG46" s="8">
        <f t="shared" si="9"/>
        <v>4.7360405518918292E-2</v>
      </c>
    </row>
    <row r="47" spans="1:33" x14ac:dyDescent="0.2">
      <c r="A47" s="14">
        <v>46</v>
      </c>
      <c r="B47" s="16">
        <v>44515</v>
      </c>
      <c r="C47">
        <f>Corona!D47</f>
        <v>583</v>
      </c>
      <c r="D47">
        <f>Corona!E47-Corona!D47</f>
        <v>244</v>
      </c>
      <c r="E47" s="6">
        <f>VE!I47-L$1</f>
        <v>0.74974999999999992</v>
      </c>
      <c r="F47" s="10">
        <f t="shared" si="4"/>
        <v>4.3684973642899703</v>
      </c>
      <c r="G47" s="10">
        <f t="shared" si="5"/>
        <v>5.4776683990167117</v>
      </c>
      <c r="H47" s="8">
        <f t="shared" si="6"/>
        <v>1.1381400976018459</v>
      </c>
      <c r="I47" s="8">
        <f t="shared" si="7"/>
        <v>1.1164400900304663</v>
      </c>
      <c r="J47" s="8">
        <f>AVERAGE(VE!E46:'VE'!E48)/178</f>
        <v>5.1884892243279417</v>
      </c>
      <c r="M47" s="1">
        <v>232.00000000000003</v>
      </c>
      <c r="N47">
        <f>Corona!E47</f>
        <v>827</v>
      </c>
      <c r="O47">
        <v>1040</v>
      </c>
      <c r="P47" s="1">
        <f>N47*(1-C47/N47/VE!I47)/0.4</f>
        <v>245.05548608940282</v>
      </c>
      <c r="Q47" s="8"/>
      <c r="AE47" s="8">
        <v>5.0150642143803905</v>
      </c>
      <c r="AF47" s="8">
        <f t="shared" si="8"/>
        <v>0.64656685009042025</v>
      </c>
      <c r="AG47" s="8">
        <f t="shared" si="9"/>
        <v>-0.46260418463632114</v>
      </c>
    </row>
    <row r="48" spans="1:33" x14ac:dyDescent="0.2">
      <c r="A48" s="14">
        <v>47</v>
      </c>
      <c r="B48" s="16">
        <v>44522</v>
      </c>
      <c r="C48">
        <f>Corona!D48</f>
        <v>736</v>
      </c>
      <c r="D48">
        <f>Corona!E48-Corona!D48</f>
        <v>290</v>
      </c>
      <c r="E48" s="6">
        <f>VE!I48-L$1</f>
        <v>0.75471540843057872</v>
      </c>
      <c r="F48" s="10">
        <f t="shared" si="4"/>
        <v>5.478663101992959</v>
      </c>
      <c r="G48" s="10">
        <f t="shared" si="5"/>
        <v>6.6421354587410439</v>
      </c>
      <c r="H48" s="8">
        <f t="shared" si="6"/>
        <v>1.0270285141224416</v>
      </c>
      <c r="I48" s="8">
        <f t="shared" si="7"/>
        <v>1.0339299214946278</v>
      </c>
      <c r="J48" s="8">
        <f>AVERAGE(VE!E47:'VE'!E49)/178</f>
        <v>6.1844991129713076</v>
      </c>
      <c r="M48" s="1">
        <v>351</v>
      </c>
      <c r="N48">
        <f>Corona!E48</f>
        <v>1026</v>
      </c>
      <c r="O48">
        <v>1199</v>
      </c>
      <c r="P48" s="1">
        <f>N48*(1-C48/N48/VE!I48)/0.4</f>
        <v>278.47736016572969</v>
      </c>
      <c r="Q48" s="8"/>
      <c r="AE48" s="8">
        <v>6.0028102056339954</v>
      </c>
      <c r="AF48" s="8">
        <f t="shared" si="8"/>
        <v>0.52414710364103634</v>
      </c>
      <c r="AG48" s="8">
        <f t="shared" si="9"/>
        <v>-0.63932525310704857</v>
      </c>
    </row>
    <row r="49" spans="1:33" x14ac:dyDescent="0.2">
      <c r="A49" s="19">
        <v>48</v>
      </c>
      <c r="B49" s="20">
        <v>44529</v>
      </c>
      <c r="C49">
        <f>Corona!D49</f>
        <v>765</v>
      </c>
      <c r="D49">
        <f>Corona!E49-Corona!D49</f>
        <v>315</v>
      </c>
      <c r="E49" s="6">
        <f>VE!I49-L$1</f>
        <v>0.74868211770052251</v>
      </c>
      <c r="F49" s="10">
        <f t="shared" si="4"/>
        <v>5.7404240162550426</v>
      </c>
      <c r="G49" s="10">
        <f t="shared" si="5"/>
        <v>7.0415320436272584</v>
      </c>
      <c r="H49" s="8">
        <f t="shared" si="6"/>
        <v>0.98131142404781591</v>
      </c>
      <c r="I49" s="8">
        <f t="shared" si="7"/>
        <v>1.0006167137449604</v>
      </c>
      <c r="J49" s="8">
        <f>AVERAGE(VE!E48:'VE'!E50)/178</f>
        <v>6.7700751237385814</v>
      </c>
      <c r="M49" s="1">
        <v>351</v>
      </c>
      <c r="N49">
        <f>Corona!E49</f>
        <v>1080</v>
      </c>
      <c r="O49">
        <v>1360</v>
      </c>
      <c r="P49" s="1">
        <f>N49*(1-C49/N49/VE!I49)/0.4</f>
        <v>305.430298719772</v>
      </c>
      <c r="Q49" s="8"/>
      <c r="R49" s="1"/>
      <c r="AE49" s="8">
        <v>6.6893090775436947</v>
      </c>
      <c r="AF49" s="8">
        <f>AE49-F49</f>
        <v>0.94888506128865213</v>
      </c>
      <c r="AG49" s="8">
        <f>AE49-G49</f>
        <v>-0.35222296608356363</v>
      </c>
    </row>
    <row r="50" spans="1:33" x14ac:dyDescent="0.2">
      <c r="A50" s="14">
        <v>49</v>
      </c>
      <c r="B50" s="16">
        <v>44536</v>
      </c>
      <c r="C50">
        <f>Corona!D50</f>
        <v>742</v>
      </c>
      <c r="D50">
        <f>Corona!E50-Corona!D50</f>
        <v>313</v>
      </c>
      <c r="E50" s="6">
        <f>VE!I50-L$1</f>
        <v>0.7505470708912696</v>
      </c>
      <c r="F50" s="10">
        <f t="shared" si="4"/>
        <v>5.5540011912811602</v>
      </c>
      <c r="G50" s="10">
        <f t="shared" si="5"/>
        <v>7.0491333678654851</v>
      </c>
      <c r="H50" s="8">
        <f t="shared" si="6"/>
        <v>0.81687398715147708</v>
      </c>
      <c r="I50" s="8">
        <f t="shared" si="7"/>
        <v>0.90713876201768928</v>
      </c>
      <c r="J50" s="8">
        <f>AVERAGE(VE!E49:'VE'!E51)/178</f>
        <v>6.3779449387547054</v>
      </c>
      <c r="M50" s="1">
        <v>444</v>
      </c>
      <c r="N50">
        <f>Corona!E50</f>
        <v>1055</v>
      </c>
      <c r="O50">
        <v>1321</v>
      </c>
      <c r="P50" s="1">
        <f>N50*(1-C50/N50/VE!I50)/0.4</f>
        <v>320.33456719817735</v>
      </c>
      <c r="Q50" s="8"/>
      <c r="R50" s="1"/>
      <c r="AE50" s="8">
        <v>6.3420496157284356</v>
      </c>
      <c r="AF50" s="8">
        <f t="shared" ref="AF50:AF81" si="10">AE50-F50</f>
        <v>0.78804842444727541</v>
      </c>
      <c r="AG50" s="8">
        <f t="shared" ref="AG50:AG81" si="11">AE50-G50</f>
        <v>-0.70708375213704944</v>
      </c>
    </row>
    <row r="51" spans="1:33" x14ac:dyDescent="0.2">
      <c r="A51" s="14">
        <v>50</v>
      </c>
      <c r="B51" s="16">
        <v>44543</v>
      </c>
      <c r="C51">
        <f>Corona!D51</f>
        <v>526</v>
      </c>
      <c r="D51">
        <f>Corona!E51-Corona!D51</f>
        <v>256</v>
      </c>
      <c r="E51" s="6">
        <f>VE!I51-L$1</f>
        <v>0.75803351404632824</v>
      </c>
      <c r="F51" s="10">
        <f t="shared" si="4"/>
        <v>3.8983186429336136</v>
      </c>
      <c r="G51" s="10">
        <f t="shared" si="5"/>
        <v>5.9438076373369224</v>
      </c>
      <c r="H51" s="8">
        <f t="shared" si="6"/>
        <v>0.83313636973315375</v>
      </c>
      <c r="I51" s="8">
        <f t="shared" si="7"/>
        <v>0.9133920099649997</v>
      </c>
      <c r="J51" s="8">
        <f>AVERAGE(VE!E50:'VE'!E52)/178</f>
        <v>5.0811246528373548</v>
      </c>
      <c r="M51" s="1">
        <v>356</v>
      </c>
      <c r="N51">
        <f>Corona!E51</f>
        <v>782</v>
      </c>
      <c r="O51">
        <v>928</v>
      </c>
      <c r="P51" s="1">
        <f>N51*(1-C51/N51/VE!I51)/0.4</f>
        <v>327.59225373589521</v>
      </c>
      <c r="Q51" s="8"/>
      <c r="R51" s="1"/>
      <c r="AE51" s="8">
        <v>4.8772341261251437</v>
      </c>
      <c r="AF51" s="8">
        <f t="shared" si="10"/>
        <v>0.9789154831915301</v>
      </c>
      <c r="AG51" s="8">
        <f t="shared" si="11"/>
        <v>-1.0665735112117787</v>
      </c>
    </row>
    <row r="52" spans="1:33" x14ac:dyDescent="0.2">
      <c r="A52" s="14">
        <v>51</v>
      </c>
      <c r="B52" s="16">
        <v>44550</v>
      </c>
      <c r="C52">
        <f>Corona!D52</f>
        <v>388</v>
      </c>
      <c r="D52">
        <f>Corona!E52-Corona!D52</f>
        <v>208</v>
      </c>
      <c r="E52" s="6">
        <f>VE!I52-L$1</f>
        <v>0.76962864721485402</v>
      </c>
      <c r="F52" s="10">
        <f t="shared" si="4"/>
        <v>2.8322429119382271</v>
      </c>
      <c r="G52" s="10">
        <f t="shared" si="5"/>
        <v>5.0724159567380127</v>
      </c>
      <c r="H52" s="8">
        <f t="shared" si="6"/>
        <v>0.80691955662173365</v>
      </c>
      <c r="I52" s="8">
        <f t="shared" si="7"/>
        <v>0.83118984696967058</v>
      </c>
      <c r="J52" s="8">
        <f>AVERAGE(VE!E51:'VE'!E53)/178</f>
        <v>3.6659254104479562</v>
      </c>
      <c r="M52" s="1">
        <v>248</v>
      </c>
      <c r="N52">
        <f>Corona!E52</f>
        <v>596</v>
      </c>
      <c r="O52">
        <v>573</v>
      </c>
      <c r="P52" s="1">
        <f>N52*(1-C52/N52/VE!I52)/0.4</f>
        <v>306.53721682847896</v>
      </c>
      <c r="Q52" s="8"/>
      <c r="R52" s="1"/>
      <c r="AE52" s="8">
        <v>3.3850319504084685</v>
      </c>
      <c r="AF52" s="8">
        <f t="shared" si="10"/>
        <v>0.55278903847024141</v>
      </c>
      <c r="AG52" s="8">
        <f t="shared" si="11"/>
        <v>-1.6873840063295442</v>
      </c>
    </row>
    <row r="53" spans="1:33" x14ac:dyDescent="0.2">
      <c r="A53" s="14">
        <v>52</v>
      </c>
      <c r="B53" s="16">
        <v>44557</v>
      </c>
      <c r="C53">
        <f>Corona!D53</f>
        <v>270</v>
      </c>
      <c r="D53">
        <f>Corona!E53-Corona!D53</f>
        <v>144</v>
      </c>
      <c r="E53" s="6">
        <f>VE!I53-L$1</f>
        <v>0.7795793758480325</v>
      </c>
      <c r="F53" s="10">
        <f t="shared" si="4"/>
        <v>1.9457337887296264</v>
      </c>
      <c r="G53" s="10">
        <f t="shared" si="5"/>
        <v>3.6702044881571152</v>
      </c>
      <c r="H53" s="8">
        <f t="shared" si="6"/>
        <v>0.75918982002882085</v>
      </c>
      <c r="I53" s="8">
        <f t="shared" si="7"/>
        <v>0.94232716078405332</v>
      </c>
      <c r="J53" s="8">
        <f>AVERAGE(VE!E52:'VE'!E54)/178</f>
        <v>2.3379293675908461</v>
      </c>
      <c r="M53" s="1">
        <v>241</v>
      </c>
      <c r="N53">
        <f>Corona!E53</f>
        <v>414</v>
      </c>
      <c r="O53">
        <v>430</v>
      </c>
      <c r="P53" s="1">
        <f>N53*(1-C53/N53/VE!I53)/0.4</f>
        <v>221.33464180569183</v>
      </c>
      <c r="Q53" s="8"/>
      <c r="R53" s="1"/>
      <c r="AE53" s="8">
        <v>2.2808818767176997</v>
      </c>
      <c r="AF53" s="8">
        <f t="shared" si="10"/>
        <v>0.33514808798807327</v>
      </c>
      <c r="AG53" s="8">
        <f t="shared" si="11"/>
        <v>-1.3893226114394155</v>
      </c>
    </row>
    <row r="54" spans="1:33" x14ac:dyDescent="0.2">
      <c r="A54" s="14">
        <v>1</v>
      </c>
      <c r="B54" s="16">
        <v>44564</v>
      </c>
      <c r="C54">
        <f>Corona!D54</f>
        <v>167</v>
      </c>
      <c r="D54">
        <f>Corona!E54-Corona!D54</f>
        <v>129</v>
      </c>
      <c r="E54" s="6">
        <f>VE!I54-L$1</f>
        <v>0.78090803259604191</v>
      </c>
      <c r="F54" s="10">
        <f t="shared" si="4"/>
        <v>1.2014247619813339</v>
      </c>
      <c r="G54" s="10">
        <f t="shared" si="5"/>
        <v>3.307830541260194</v>
      </c>
      <c r="H54" s="8">
        <f t="shared" si="6"/>
        <v>0.85564215709986946</v>
      </c>
      <c r="I54" s="8">
        <f t="shared" si="7"/>
        <v>0.86688832342127564</v>
      </c>
      <c r="J54" s="8">
        <f>AVERAGE(VE!E53:'VE'!E55)/178</f>
        <v>1.0456992469411266</v>
      </c>
      <c r="M54" s="1">
        <v>123.00000000000001</v>
      </c>
      <c r="N54">
        <f>Corona!E54</f>
        <v>296</v>
      </c>
      <c r="O54">
        <v>111</v>
      </c>
      <c r="P54" s="1">
        <f>N54*(1-C54/N54/VE!I54)/0.4</f>
        <v>237.53765323993002</v>
      </c>
      <c r="Q54" s="8"/>
      <c r="R54" s="1"/>
      <c r="AE54" s="8">
        <v>0.95218397896941454</v>
      </c>
      <c r="AF54" s="8">
        <f t="shared" si="10"/>
        <v>-0.24924078301191932</v>
      </c>
      <c r="AG54" s="8">
        <f t="shared" si="11"/>
        <v>-2.3556465622907794</v>
      </c>
    </row>
    <row r="55" spans="1:33" x14ac:dyDescent="0.2">
      <c r="A55" s="14">
        <v>2</v>
      </c>
      <c r="B55" s="16">
        <v>44571</v>
      </c>
      <c r="C55">
        <f>Corona!D55</f>
        <v>128</v>
      </c>
      <c r="D55">
        <f>Corona!E55-Corona!D55</f>
        <v>98</v>
      </c>
      <c r="E55" s="6">
        <f>VE!I55-L$1</f>
        <v>0.78628879037365418</v>
      </c>
      <c r="F55" s="10">
        <f t="shared" si="4"/>
        <v>0.91455090343305012</v>
      </c>
      <c r="G55" s="10">
        <f t="shared" si="5"/>
        <v>2.5761952249272047</v>
      </c>
      <c r="H55" s="8">
        <f t="shared" si="6"/>
        <v>0.86577969482196759</v>
      </c>
      <c r="I55" s="8">
        <f t="shared" si="7"/>
        <v>0.90751595919544159</v>
      </c>
      <c r="J55" s="8">
        <f>AVERAGE(VE!E54:'VE'!E56)/178</f>
        <v>-3.7202165215881218E-3</v>
      </c>
      <c r="M55" s="1">
        <v>75</v>
      </c>
      <c r="N55">
        <f>Corona!E55</f>
        <v>226</v>
      </c>
      <c r="O55">
        <v>-202</v>
      </c>
      <c r="P55" s="1">
        <f>N55*(1-C55/N55/VE!I55)/0.4</f>
        <v>182.35706171904582</v>
      </c>
      <c r="Q55" s="8"/>
      <c r="R55" s="1"/>
      <c r="AE55" s="8">
        <v>-0.20474534617759677</v>
      </c>
      <c r="AF55" s="8">
        <f t="shared" si="10"/>
        <v>-1.1192962496106469</v>
      </c>
      <c r="AG55" s="8">
        <f t="shared" si="11"/>
        <v>-2.7809405711048014</v>
      </c>
    </row>
    <row r="56" spans="1:33" x14ac:dyDescent="0.2">
      <c r="A56" s="14">
        <v>3</v>
      </c>
      <c r="B56" s="16">
        <v>44578</v>
      </c>
      <c r="C56">
        <f>Corona!D56</f>
        <v>101</v>
      </c>
      <c r="D56">
        <f>Corona!E56-Corona!D56</f>
        <v>78</v>
      </c>
      <c r="E56" s="6">
        <f>VE!I56-L$1</f>
        <v>0.79841841528343249</v>
      </c>
      <c r="F56" s="10">
        <f t="shared" si="4"/>
        <v>0.71067465313365841</v>
      </c>
      <c r="G56" s="10">
        <f t="shared" si="5"/>
        <v>2.1738208269725763</v>
      </c>
      <c r="H56" s="8">
        <f t="shared" si="6"/>
        <v>1.0863009396419041</v>
      </c>
      <c r="I56" s="8">
        <f t="shared" si="7"/>
        <v>0.94789228531654968</v>
      </c>
      <c r="J56" s="8">
        <f>AVERAGE(VE!E55:'VE'!E57)/178</f>
        <v>-0.47059705333933299</v>
      </c>
      <c r="M56" s="1">
        <v>56</v>
      </c>
      <c r="N56">
        <f>Corona!E56</f>
        <v>179</v>
      </c>
      <c r="O56">
        <v>-201</v>
      </c>
      <c r="P56" s="1">
        <f>N56*(1-C56/N56/VE!I56)/0.4</f>
        <v>149.88741232927276</v>
      </c>
      <c r="Q56" s="8"/>
      <c r="R56" s="1"/>
      <c r="AE56" s="8">
        <v>-0.51350699446369341</v>
      </c>
      <c r="AF56" s="8">
        <f t="shared" si="10"/>
        <v>-1.2241816475973519</v>
      </c>
      <c r="AG56" s="8">
        <f t="shared" si="11"/>
        <v>-2.6873278214362699</v>
      </c>
    </row>
    <row r="57" spans="1:33" x14ac:dyDescent="0.2">
      <c r="A57" s="14">
        <v>4</v>
      </c>
      <c r="B57" s="16">
        <v>44585</v>
      </c>
      <c r="C57">
        <f>Corona!D57</f>
        <v>118</v>
      </c>
      <c r="D57">
        <f>Corona!E57-Corona!D57</f>
        <v>68</v>
      </c>
      <c r="E57" s="6">
        <f>VE!I57-L$1</f>
        <v>0.80700905401186385</v>
      </c>
      <c r="F57" s="10">
        <f t="shared" si="4"/>
        <v>0.82145466029041747</v>
      </c>
      <c r="G57" s="10">
        <f t="shared" si="5"/>
        <v>1.9794839076730399</v>
      </c>
      <c r="H57" s="8">
        <f t="shared" si="6"/>
        <v>1.148620775764424</v>
      </c>
      <c r="I57" s="8">
        <f t="shared" si="7"/>
        <v>1.1386720025438244</v>
      </c>
      <c r="J57" s="8">
        <f>AVERAGE(VE!E56:'VE'!E58)/178</f>
        <v>-0.23996224412168171</v>
      </c>
      <c r="M57" s="1">
        <v>60.999999999999993</v>
      </c>
      <c r="N57">
        <f>Corona!E57</f>
        <v>186</v>
      </c>
      <c r="O57">
        <v>-239</v>
      </c>
      <c r="P57" s="1">
        <f>N57*(1-C57/N57/VE!I57)/0.4</f>
        <v>120.77959927140256</v>
      </c>
      <c r="Q57" s="8"/>
      <c r="AE57" s="8">
        <v>-0.3292644358938735</v>
      </c>
      <c r="AF57" s="8">
        <f t="shared" si="10"/>
        <v>-1.150719096184291</v>
      </c>
      <c r="AG57" s="8">
        <f t="shared" si="11"/>
        <v>-2.3087483435669136</v>
      </c>
    </row>
    <row r="58" spans="1:33" x14ac:dyDescent="0.2">
      <c r="A58" s="14">
        <v>5</v>
      </c>
      <c r="B58" s="16">
        <v>44592</v>
      </c>
      <c r="C58">
        <f>Corona!D58</f>
        <v>148</v>
      </c>
      <c r="D58">
        <f>Corona!E58-Corona!D58</f>
        <v>91</v>
      </c>
      <c r="E58" s="6">
        <f>VE!I58-L$1</f>
        <v>0.79423486461819282</v>
      </c>
      <c r="F58" s="10">
        <f t="shared" si="4"/>
        <v>1.0468700269875535</v>
      </c>
      <c r="G58" s="10">
        <f t="shared" si="5"/>
        <v>2.4845606332071593</v>
      </c>
      <c r="H58" s="8">
        <f t="shared" si="6"/>
        <v>1.0162130729904471</v>
      </c>
      <c r="I58" s="8">
        <f t="shared" si="7"/>
        <v>1.1902502938375488</v>
      </c>
      <c r="J58" s="8">
        <f>AVERAGE(VE!E57:'VE'!E59)/178</f>
        <v>-0.11316647333584039</v>
      </c>
      <c r="M58" s="1">
        <v>60</v>
      </c>
      <c r="N58">
        <f>Corona!E58</f>
        <v>239</v>
      </c>
      <c r="O58">
        <v>-171</v>
      </c>
      <c r="P58" s="1">
        <f>N58*(1-C58/N58/VE!I58)/0.4</f>
        <v>159.23333333333332</v>
      </c>
      <c r="Q58" s="8"/>
      <c r="AE58" s="8">
        <v>-0.11394827059999581</v>
      </c>
      <c r="AF58" s="8">
        <f t="shared" si="10"/>
        <v>-1.1608182975875494</v>
      </c>
      <c r="AG58" s="8">
        <f t="shared" si="11"/>
        <v>-2.5985089038071552</v>
      </c>
    </row>
    <row r="59" spans="1:33" x14ac:dyDescent="0.2">
      <c r="A59" s="14">
        <v>6</v>
      </c>
      <c r="B59" s="16">
        <v>44599</v>
      </c>
      <c r="C59">
        <f>Corona!D59</f>
        <v>153</v>
      </c>
      <c r="D59">
        <f>Corona!E59-Corona!D59</f>
        <v>121</v>
      </c>
      <c r="E59" s="6">
        <f>VE!I59-L$1</f>
        <v>0.79828009828009827</v>
      </c>
      <c r="F59" s="10">
        <f t="shared" si="4"/>
        <v>1.0767530891095274</v>
      </c>
      <c r="G59" s="10">
        <f t="shared" si="5"/>
        <v>3.3698969467215916</v>
      </c>
      <c r="H59" s="8">
        <f t="shared" si="6"/>
        <v>1.0969708694856255</v>
      </c>
      <c r="I59" s="8">
        <f t="shared" si="7"/>
        <v>0.93941955093449558</v>
      </c>
      <c r="J59" s="8">
        <f>AVERAGE(VE!E58:'VE'!E60)/178</f>
        <v>0.2429829414458721</v>
      </c>
      <c r="M59" s="1">
        <v>64</v>
      </c>
      <c r="N59">
        <f>Corona!E59</f>
        <v>274</v>
      </c>
      <c r="O59">
        <v>-196</v>
      </c>
      <c r="P59" s="1">
        <f>N59*(1-C59/N59/VE!I59)/0.4</f>
        <v>234.08761766835627</v>
      </c>
      <c r="Q59" s="8"/>
      <c r="AE59" s="8">
        <v>0.11685083713740341</v>
      </c>
      <c r="AF59" s="8">
        <f t="shared" si="10"/>
        <v>-0.95990225197212398</v>
      </c>
      <c r="AG59" s="8">
        <f t="shared" si="11"/>
        <v>-3.2530461095841883</v>
      </c>
    </row>
    <row r="60" spans="1:33" x14ac:dyDescent="0.2">
      <c r="A60" s="14">
        <v>7</v>
      </c>
      <c r="B60" s="16">
        <v>44606</v>
      </c>
      <c r="C60">
        <f>Corona!D60</f>
        <v>178</v>
      </c>
      <c r="D60">
        <f>Corona!E60-Corona!D60</f>
        <v>113</v>
      </c>
      <c r="E60" s="6">
        <f>VE!I60-L$1</f>
        <v>0.78984606275902902</v>
      </c>
      <c r="F60" s="10">
        <f t="shared" si="4"/>
        <v>1.266069487650388</v>
      </c>
      <c r="G60" s="10">
        <f t="shared" si="5"/>
        <v>3.0207926104483778</v>
      </c>
      <c r="H60" s="8">
        <f t="shared" si="6"/>
        <v>0.89225803224698286</v>
      </c>
      <c r="I60" s="8">
        <f t="shared" si="7"/>
        <v>0.99613989446393769</v>
      </c>
      <c r="J60" s="8">
        <f>AVERAGE(VE!E59:'VE'!E61)/178</f>
        <v>0.41420159548034996</v>
      </c>
      <c r="M60" s="1">
        <v>87</v>
      </c>
      <c r="N60">
        <f>Corona!E60</f>
        <v>291</v>
      </c>
      <c r="O60">
        <v>-81</v>
      </c>
      <c r="P60" s="1">
        <f>N60*(1-C60/N60/VE!I60)/0.4</f>
        <v>197.64099400775467</v>
      </c>
      <c r="Q60" s="8"/>
      <c r="AE60" s="8">
        <v>0.42871564565873949</v>
      </c>
      <c r="AF60" s="8">
        <f t="shared" si="10"/>
        <v>-0.83735384199164842</v>
      </c>
      <c r="AG60" s="8">
        <f t="shared" si="11"/>
        <v>-2.5920769647896384</v>
      </c>
    </row>
    <row r="61" spans="1:33" x14ac:dyDescent="0.2">
      <c r="A61" s="14">
        <v>8</v>
      </c>
      <c r="B61" s="16">
        <v>44613</v>
      </c>
      <c r="C61">
        <f>Corona!D61</f>
        <v>149</v>
      </c>
      <c r="D61">
        <f>Corona!E61-Corona!D61</f>
        <v>103</v>
      </c>
      <c r="E61" s="6">
        <f>VE!I61-L$1</f>
        <v>0.80714285714285705</v>
      </c>
      <c r="F61" s="10">
        <f t="shared" si="4"/>
        <v>1.0370885950084519</v>
      </c>
      <c r="G61" s="10">
        <f t="shared" si="5"/>
        <v>3.0004161464835608</v>
      </c>
      <c r="H61" s="8">
        <f t="shared" si="6"/>
        <v>1.0110135288622155</v>
      </c>
      <c r="I61" s="8">
        <f t="shared" si="7"/>
        <v>0.88556496261342876</v>
      </c>
      <c r="J61" s="8">
        <f>AVERAGE(VE!E60:'VE'!E62)/178</f>
        <v>0.43910871864822293</v>
      </c>
      <c r="M61" s="1">
        <v>65</v>
      </c>
      <c r="N61">
        <f>Corona!E61</f>
        <v>252</v>
      </c>
      <c r="O61">
        <v>-84</v>
      </c>
      <c r="P61" s="1">
        <f>N61*(1-C61/N61/VE!I61)/0.4</f>
        <v>195.41666666666663</v>
      </c>
      <c r="Q61" s="8"/>
      <c r="AE61" s="8">
        <v>0.42908270858401976</v>
      </c>
      <c r="AF61" s="8">
        <f t="shared" si="10"/>
        <v>-0.6080058864244321</v>
      </c>
      <c r="AG61" s="8">
        <f t="shared" si="11"/>
        <v>-2.5713334378995412</v>
      </c>
    </row>
    <row r="62" spans="1:33" x14ac:dyDescent="0.2">
      <c r="A62" s="14">
        <v>9</v>
      </c>
      <c r="B62" s="16">
        <v>44620</v>
      </c>
      <c r="C62">
        <f>Corona!D62</f>
        <v>152</v>
      </c>
      <c r="D62">
        <f>Corona!E62-Corona!D62</f>
        <v>83</v>
      </c>
      <c r="E62" s="6">
        <f>VE!I62-L$1</f>
        <v>0.80776128633271482</v>
      </c>
      <c r="F62" s="10">
        <f t="shared" si="4"/>
        <v>1.0571595825625273</v>
      </c>
      <c r="G62" s="10">
        <f t="shared" si="5"/>
        <v>2.4255891330946491</v>
      </c>
      <c r="H62" s="8">
        <f t="shared" si="6"/>
        <v>1.2575435363990484</v>
      </c>
      <c r="I62" s="8">
        <f t="shared" si="7"/>
        <v>1.0233048434371046</v>
      </c>
      <c r="J62" s="8">
        <f>AVERAGE(VE!E61:'VE'!E63)/178</f>
        <v>0.54331984474482387</v>
      </c>
      <c r="M62" s="1">
        <v>64</v>
      </c>
      <c r="N62">
        <f>Corona!E62</f>
        <v>235</v>
      </c>
      <c r="O62">
        <v>-167</v>
      </c>
      <c r="P62" s="1">
        <f>N62*(1-C62/N62/VE!I62)/0.4</f>
        <v>144.48630136986293</v>
      </c>
      <c r="Q62" s="8"/>
      <c r="AE62" s="8">
        <v>0.36135381286803214</v>
      </c>
      <c r="AF62" s="8">
        <f t="shared" si="10"/>
        <v>-0.69580576969449515</v>
      </c>
      <c r="AG62" s="8">
        <f t="shared" si="11"/>
        <v>-2.0642353202266168</v>
      </c>
    </row>
    <row r="63" spans="1:33" x14ac:dyDescent="0.2">
      <c r="A63" s="14">
        <v>10</v>
      </c>
      <c r="B63" s="16">
        <v>44627</v>
      </c>
      <c r="C63">
        <f>Corona!D63</f>
        <v>226</v>
      </c>
      <c r="D63">
        <f>Corona!E63-Corona!D63</f>
        <v>88</v>
      </c>
      <c r="E63" s="6">
        <f>VE!I63-L$1</f>
        <v>0.80423428740041303</v>
      </c>
      <c r="F63" s="10">
        <f t="shared" si="4"/>
        <v>1.5787226946669255</v>
      </c>
      <c r="G63" s="10">
        <f t="shared" si="5"/>
        <v>2.5253759501956479</v>
      </c>
      <c r="H63" s="8">
        <f t="shared" si="6"/>
        <v>1.1547679423707777</v>
      </c>
      <c r="I63" s="8">
        <f t="shared" si="7"/>
        <v>1.1948989862389185</v>
      </c>
      <c r="J63" s="8">
        <f>AVERAGE(VE!E62:'VE'!E64)/178</f>
        <v>1.1188617658284059</v>
      </c>
      <c r="M63" s="1">
        <v>95</v>
      </c>
      <c r="N63">
        <f>Corona!E63</f>
        <v>314</v>
      </c>
      <c r="O63">
        <v>25</v>
      </c>
      <c r="P63" s="1">
        <f>N63*(1-C63/N63/VE!I63)/0.4</f>
        <v>123.58894645941277</v>
      </c>
      <c r="Q63" s="8"/>
      <c r="AE63" s="8">
        <v>1.0360900177017498</v>
      </c>
      <c r="AF63" s="8">
        <f t="shared" si="10"/>
        <v>-0.5426326769651757</v>
      </c>
      <c r="AG63" s="8">
        <f t="shared" si="11"/>
        <v>-1.4892859324938981</v>
      </c>
    </row>
    <row r="64" spans="1:33" x14ac:dyDescent="0.2">
      <c r="A64" s="14">
        <v>11</v>
      </c>
      <c r="B64" s="16">
        <v>44634</v>
      </c>
      <c r="C64">
        <f>Corona!D64</f>
        <v>292</v>
      </c>
      <c r="D64">
        <f>Corona!E64-Corona!D64</f>
        <v>118</v>
      </c>
      <c r="E64" s="6">
        <f>VE!I64-L$1</f>
        <v>0.8077765456057665</v>
      </c>
      <c r="F64" s="10">
        <f t="shared" si="4"/>
        <v>2.0308208342098419</v>
      </c>
      <c r="G64" s="10">
        <f t="shared" si="5"/>
        <v>3.4487016706869342</v>
      </c>
      <c r="H64" s="8">
        <f t="shared" si="6"/>
        <v>0.99403611916098156</v>
      </c>
      <c r="I64" s="8">
        <f t="shared" si="7"/>
        <v>0.91006326934805326</v>
      </c>
      <c r="J64" s="8">
        <f>AVERAGE(VE!E63:'VE'!E65)/178</f>
        <v>1.9769994525628376</v>
      </c>
      <c r="M64" s="1">
        <v>86</v>
      </c>
      <c r="N64">
        <f>Corona!E64</f>
        <v>410</v>
      </c>
      <c r="O64">
        <v>307</v>
      </c>
      <c r="P64" s="1">
        <f>N64*(1-C64/N64/VE!I64)/0.4</f>
        <v>173.96250808015512</v>
      </c>
      <c r="Q64" s="8"/>
      <c r="AE64" s="8">
        <v>2.0150184237864637</v>
      </c>
      <c r="AF64" s="8">
        <f t="shared" si="10"/>
        <v>-1.5802410423378266E-2</v>
      </c>
      <c r="AG64" s="8">
        <f t="shared" si="11"/>
        <v>-1.4336832469004706</v>
      </c>
    </row>
    <row r="65" spans="1:33" x14ac:dyDescent="0.2">
      <c r="A65" s="14">
        <v>12</v>
      </c>
      <c r="B65" s="16">
        <v>44641</v>
      </c>
      <c r="C65">
        <f>Corona!D65</f>
        <v>289</v>
      </c>
      <c r="D65">
        <f>Corona!E65-Corona!D65</f>
        <v>100</v>
      </c>
      <c r="E65" s="6">
        <f>VE!I65-L$1</f>
        <v>0.80789038832277604</v>
      </c>
      <c r="F65" s="10">
        <f t="shared" si="4"/>
        <v>2.009673006493677</v>
      </c>
      <c r="G65" s="10">
        <f t="shared" si="5"/>
        <v>2.9243604622599633</v>
      </c>
      <c r="H65" s="8">
        <f t="shared" si="6"/>
        <v>0.94623400405802427</v>
      </c>
      <c r="I65" s="8">
        <f t="shared" si="7"/>
        <v>0.88549778386772382</v>
      </c>
      <c r="J65" s="8">
        <f>AVERAGE(VE!E64:'VE'!E66)/178</f>
        <v>2.4400177506476064</v>
      </c>
      <c r="M65" s="1">
        <v>105</v>
      </c>
      <c r="N65">
        <f>Corona!E65</f>
        <v>389</v>
      </c>
      <c r="O65">
        <v>412</v>
      </c>
      <c r="P65" s="1">
        <f>N65*(1-C65/N65/VE!I65)/0.4</f>
        <v>130.31781701444621</v>
      </c>
      <c r="Q65" s="8"/>
      <c r="AE65" s="8">
        <v>2.42846938836826</v>
      </c>
      <c r="AF65" s="8">
        <f t="shared" si="10"/>
        <v>0.41879638187458301</v>
      </c>
      <c r="AG65" s="8">
        <f t="shared" si="11"/>
        <v>-0.49589107389170328</v>
      </c>
    </row>
    <row r="66" spans="1:33" x14ac:dyDescent="0.2">
      <c r="A66" s="14">
        <v>13</v>
      </c>
      <c r="B66" s="16">
        <v>44648</v>
      </c>
      <c r="C66">
        <f>Corona!D66</f>
        <v>263</v>
      </c>
      <c r="D66">
        <f>Corona!E66-Corona!D66</f>
        <v>80</v>
      </c>
      <c r="E66" s="6">
        <f>VE!I66-L$1</f>
        <v>0.80986547085201788</v>
      </c>
      <c r="F66" s="10">
        <f t="shared" si="4"/>
        <v>1.8244117610462005</v>
      </c>
      <c r="G66" s="10">
        <f t="shared" si="5"/>
        <v>2.36379054483782</v>
      </c>
      <c r="H66" s="8">
        <f t="shared" si="6"/>
        <v>0.89637361016112338</v>
      </c>
      <c r="I66" s="8">
        <f t="shared" si="7"/>
        <v>0.97662973916720508</v>
      </c>
      <c r="J66" s="8">
        <f>AVERAGE(VE!E65:'VE'!E67)/178</f>
        <v>2.5191485529388631</v>
      </c>
      <c r="M66" s="1">
        <v>114.99999999999999</v>
      </c>
      <c r="N66">
        <f>Corona!E66</f>
        <v>343</v>
      </c>
      <c r="O66">
        <v>421</v>
      </c>
      <c r="P66" s="1">
        <f>N66*(1-C66/N66/VE!I66)/0.4</f>
        <v>92.845501955671381</v>
      </c>
      <c r="Q66" s="8"/>
      <c r="AE66" s="8">
        <v>2.434670839412671</v>
      </c>
      <c r="AF66" s="8">
        <f t="shared" si="10"/>
        <v>0.61025907836647053</v>
      </c>
      <c r="AG66" s="8">
        <f t="shared" si="11"/>
        <v>7.088029457485101E-2</v>
      </c>
    </row>
    <row r="67" spans="1:33" x14ac:dyDescent="0.2">
      <c r="A67" s="14">
        <v>14</v>
      </c>
      <c r="B67" s="16">
        <v>44655</v>
      </c>
      <c r="C67">
        <f>Corona!D67</f>
        <v>221</v>
      </c>
      <c r="D67">
        <f>Corona!E67-Corona!D67</f>
        <v>71</v>
      </c>
      <c r="E67" s="6">
        <f>VE!I67-L$1</f>
        <v>0.82412587412587412</v>
      </c>
      <c r="F67" s="10">
        <f t="shared" si="4"/>
        <v>1.5065332526111557</v>
      </c>
      <c r="G67" s="10">
        <f t="shared" si="5"/>
        <v>2.267965242254339</v>
      </c>
      <c r="H67" s="8">
        <f t="shared" si="6"/>
        <v>0.88785332993760524</v>
      </c>
      <c r="I67" s="8">
        <f t="shared" si="7"/>
        <v>0.79631954586170473</v>
      </c>
      <c r="J67" s="8">
        <f>AVERAGE(VE!E66:'VE'!E68)/178</f>
        <v>2.4520513293043846</v>
      </c>
      <c r="M67" s="1">
        <v>85</v>
      </c>
      <c r="N67">
        <f>Corona!E67</f>
        <v>292</v>
      </c>
      <c r="O67">
        <v>509</v>
      </c>
      <c r="P67" s="1">
        <f>N67*(1-C67/N67/VE!I67)/0.4</f>
        <v>97.94</v>
      </c>
      <c r="Q67" s="8"/>
      <c r="AE67" s="8">
        <v>2.4318543859724344</v>
      </c>
      <c r="AF67" s="8">
        <f t="shared" si="10"/>
        <v>0.92532113336127875</v>
      </c>
      <c r="AG67" s="8">
        <f t="shared" si="11"/>
        <v>0.16388914371809538</v>
      </c>
    </row>
    <row r="68" spans="1:33" x14ac:dyDescent="0.2">
      <c r="A68" s="14">
        <v>15</v>
      </c>
      <c r="B68" s="16">
        <v>44662</v>
      </c>
      <c r="C68">
        <f>Corona!D68</f>
        <v>180</v>
      </c>
      <c r="D68">
        <f>Corona!E68-Corona!D68</f>
        <v>47</v>
      </c>
      <c r="E68" s="6">
        <f>VE!I68-L$1</f>
        <v>0.82656427758816831</v>
      </c>
      <c r="F68" s="10">
        <f t="shared" si="4"/>
        <v>1.2234208306302141</v>
      </c>
      <c r="G68" s="10">
        <f t="shared" si="5"/>
        <v>1.5224369013970314</v>
      </c>
      <c r="H68" s="8">
        <f t="shared" si="6"/>
        <v>0.86582016646835114</v>
      </c>
      <c r="I68" s="8">
        <f t="shared" si="7"/>
        <v>0.76045670249065445</v>
      </c>
      <c r="J68" s="8">
        <f>AVERAGE(VE!E67:'VE'!E69)/178</f>
        <v>1.9837417468262057</v>
      </c>
      <c r="M68" s="1">
        <v>63</v>
      </c>
      <c r="N68">
        <f>Corona!E68</f>
        <v>227</v>
      </c>
      <c r="O68">
        <v>517</v>
      </c>
      <c r="P68" s="1">
        <f>N68*(1-C68/N68/VE!I68)/0.4</f>
        <v>54.132057105775516</v>
      </c>
      <c r="Q68" s="8"/>
      <c r="AE68" s="8">
        <v>2.0372177684591737</v>
      </c>
      <c r="AF68" s="8">
        <f t="shared" si="10"/>
        <v>0.81379693782895957</v>
      </c>
      <c r="AG68" s="8">
        <f t="shared" si="11"/>
        <v>0.51478086706214232</v>
      </c>
    </row>
    <row r="69" spans="1:33" x14ac:dyDescent="0.2">
      <c r="A69" s="14">
        <v>16</v>
      </c>
      <c r="B69" s="16">
        <v>44669</v>
      </c>
      <c r="C69">
        <f>Corona!D69</f>
        <v>141</v>
      </c>
      <c r="D69">
        <f>Corona!E69-Corona!D69</f>
        <v>28</v>
      </c>
      <c r="E69" s="6">
        <f>VE!I69-L$1</f>
        <v>0.83315301391035546</v>
      </c>
      <c r="F69" s="10">
        <f t="shared" si="4"/>
        <v>0.95076752797524577</v>
      </c>
      <c r="G69" s="10">
        <f t="shared" si="5"/>
        <v>0.94280019359774325</v>
      </c>
      <c r="H69" s="8">
        <f t="shared" si="6"/>
        <v>0.77606213572227389</v>
      </c>
      <c r="I69" s="8">
        <f t="shared" si="7"/>
        <v>0.9311380873943228</v>
      </c>
      <c r="J69" s="8">
        <f>AVERAGE(VE!E68:'VE'!E70)/178</f>
        <v>1.3329155124131087</v>
      </c>
      <c r="M69" s="1">
        <v>60</v>
      </c>
      <c r="N69">
        <f>Corona!E69</f>
        <v>169</v>
      </c>
      <c r="O69">
        <v>279</v>
      </c>
      <c r="P69" s="1">
        <f>N69*(1-C69/N69/VE!I69)/0.4</f>
        <v>23.361918095904784</v>
      </c>
      <c r="Q69" s="8"/>
      <c r="AE69" s="8">
        <v>1.1951027641189216</v>
      </c>
      <c r="AF69" s="8">
        <f t="shared" si="10"/>
        <v>0.2443352361436758</v>
      </c>
      <c r="AG69" s="8">
        <f t="shared" si="11"/>
        <v>0.25230257052117833</v>
      </c>
    </row>
    <row r="70" spans="1:33" x14ac:dyDescent="0.2">
      <c r="A70" s="14">
        <v>17</v>
      </c>
      <c r="B70" s="16">
        <v>44676</v>
      </c>
      <c r="C70">
        <f>Corona!D70</f>
        <v>91</v>
      </c>
      <c r="D70">
        <f>Corona!E70-Corona!D70</f>
        <v>24</v>
      </c>
      <c r="E70" s="6">
        <f>VE!I70-L$1</f>
        <v>0.83796944621260339</v>
      </c>
      <c r="F70" s="10">
        <f t="shared" si="4"/>
        <v>0.6100890162127377</v>
      </c>
      <c r="G70" s="10">
        <f t="shared" si="5"/>
        <v>0.83213602325319613</v>
      </c>
      <c r="H70" s="8">
        <f t="shared" si="6"/>
        <v>0.79815014333671264</v>
      </c>
      <c r="I70" s="8">
        <f t="shared" si="7"/>
        <v>0.590160069886841</v>
      </c>
      <c r="J70" s="8">
        <f>AVERAGE(VE!E69:'VE'!E71)/178</f>
        <v>0.77063326778575969</v>
      </c>
      <c r="M70" s="1">
        <v>32</v>
      </c>
      <c r="N70">
        <f>Corona!E70</f>
        <v>115</v>
      </c>
      <c r="O70">
        <v>234</v>
      </c>
      <c r="P70" s="1">
        <f>N70*(1-C70/N70/VE!I70)/0.4</f>
        <v>31.297491039426525</v>
      </c>
      <c r="Q70" s="8"/>
      <c r="AE70" s="8">
        <v>0.68405100498884985</v>
      </c>
      <c r="AF70" s="8">
        <f t="shared" si="10"/>
        <v>7.3961988776112153E-2</v>
      </c>
      <c r="AG70" s="8">
        <f t="shared" si="11"/>
        <v>-0.14808501826434628</v>
      </c>
    </row>
    <row r="71" spans="1:33" x14ac:dyDescent="0.2">
      <c r="A71" s="14">
        <v>18</v>
      </c>
      <c r="B71" s="16">
        <v>44683</v>
      </c>
      <c r="C71">
        <f>Corona!D71</f>
        <v>62</v>
      </c>
      <c r="D71">
        <f>Corona!E71-Corona!D71</f>
        <v>9</v>
      </c>
      <c r="E71" s="6">
        <f>VE!I71-L$1</f>
        <v>0.84709172259507826</v>
      </c>
      <c r="F71" s="10">
        <f t="shared" si="4"/>
        <v>0.41118877383727231</v>
      </c>
      <c r="G71" s="10">
        <f t="shared" si="5"/>
        <v>0.33066749956848007</v>
      </c>
      <c r="H71" s="8">
        <f t="shared" si="6"/>
        <v>0.84458364391933927</v>
      </c>
      <c r="I71" s="8">
        <f t="shared" si="7"/>
        <v>1.2915685874185701</v>
      </c>
      <c r="J71" s="8">
        <f>AVERAGE(VE!E70:'VE'!E72)/178</f>
        <v>0.73271436731475281</v>
      </c>
      <c r="M71" s="1">
        <v>23</v>
      </c>
      <c r="N71">
        <f>Corona!E71</f>
        <v>71</v>
      </c>
      <c r="O71">
        <v>248</v>
      </c>
      <c r="P71" s="1">
        <f>N71*(1-C71/N71/VE!I71)/0.4</f>
        <v>4.7194513715710773</v>
      </c>
      <c r="Q71" s="8"/>
      <c r="AE71" s="8">
        <v>0.67863609862393504</v>
      </c>
      <c r="AF71" s="8">
        <f t="shared" si="10"/>
        <v>0.26744732478666272</v>
      </c>
      <c r="AG71" s="8">
        <f t="shared" si="11"/>
        <v>0.34796859905545496</v>
      </c>
    </row>
    <row r="72" spans="1:33" x14ac:dyDescent="0.2">
      <c r="A72" s="14">
        <v>19</v>
      </c>
      <c r="B72" s="16">
        <v>44690</v>
      </c>
      <c r="C72">
        <f>Corona!D72</f>
        <v>45</v>
      </c>
      <c r="D72">
        <f>Corona!E72-Corona!D72</f>
        <v>16</v>
      </c>
      <c r="E72" s="6">
        <f>VE!I72-L$1</f>
        <v>0.82627877237851655</v>
      </c>
      <c r="F72" s="10">
        <f t="shared" si="4"/>
        <v>0.30596089021664191</v>
      </c>
      <c r="G72" s="10">
        <f t="shared" si="5"/>
        <v>0.51742462150504709</v>
      </c>
      <c r="H72" s="8">
        <f t="shared" si="6"/>
        <v>0.96838248656205628</v>
      </c>
      <c r="I72" s="8">
        <f t="shared" si="7"/>
        <v>0.78790166276886475</v>
      </c>
      <c r="J72" s="8">
        <f>AVERAGE(VE!E71:'VE'!E73)/178</f>
        <v>0.7355019610364254</v>
      </c>
      <c r="M72" s="1">
        <v>18</v>
      </c>
      <c r="N72">
        <f>Corona!E72</f>
        <v>61</v>
      </c>
      <c r="O72">
        <v>268</v>
      </c>
      <c r="P72" s="1">
        <f>N72*(1-C72/N72/VE!I72)/0.4</f>
        <v>24.116198467712493</v>
      </c>
      <c r="Q72" s="8"/>
      <c r="AE72" s="8">
        <v>0.72000413478930614</v>
      </c>
      <c r="AF72" s="8">
        <f t="shared" si="10"/>
        <v>0.41404324457266423</v>
      </c>
      <c r="AG72" s="8">
        <f t="shared" si="11"/>
        <v>0.20257951328425905</v>
      </c>
    </row>
    <row r="73" spans="1:33" x14ac:dyDescent="0.2">
      <c r="A73" s="14">
        <v>20</v>
      </c>
      <c r="B73" s="16">
        <v>44697</v>
      </c>
      <c r="C73">
        <f>Corona!D73</f>
        <v>43</v>
      </c>
      <c r="D73">
        <f>Corona!E73-Corona!D73</f>
        <v>10</v>
      </c>
      <c r="E73" s="6">
        <f>VE!I73-L$1</f>
        <v>0.83521909744931322</v>
      </c>
      <c r="F73" s="10">
        <f t="shared" si="4"/>
        <v>0.28923312990041572</v>
      </c>
      <c r="G73" s="10">
        <f t="shared" si="5"/>
        <v>0.34093620323276186</v>
      </c>
      <c r="H73" s="8">
        <f t="shared" si="6"/>
        <v>0.8425770631531464</v>
      </c>
      <c r="I73" s="8">
        <f t="shared" si="7"/>
        <v>1.0126801193217669</v>
      </c>
      <c r="J73" s="8">
        <f>AVERAGE(VE!E72:'VE'!E74)/178</f>
        <v>0.50511123575226557</v>
      </c>
      <c r="M73" s="1">
        <v>13</v>
      </c>
      <c r="N73">
        <f>Corona!E73</f>
        <v>53</v>
      </c>
      <c r="O73">
        <v>226</v>
      </c>
      <c r="P73" s="1">
        <f>N73*(1-C73/N73/VE!I73)/0.4</f>
        <v>11.06113779091244</v>
      </c>
      <c r="Q73" s="8"/>
      <c r="AE73" s="8">
        <v>0.48838049635792474</v>
      </c>
      <c r="AF73" s="8">
        <f t="shared" si="10"/>
        <v>0.19914736645750902</v>
      </c>
      <c r="AG73" s="8">
        <f t="shared" si="11"/>
        <v>0.14744429312516288</v>
      </c>
    </row>
    <row r="74" spans="1:33" x14ac:dyDescent="0.2">
      <c r="A74" s="14">
        <v>21</v>
      </c>
      <c r="B74" s="16">
        <v>44704</v>
      </c>
      <c r="C74">
        <f>Corona!D74</f>
        <v>32</v>
      </c>
      <c r="D74">
        <f>Corona!E74-Corona!D74</f>
        <v>10</v>
      </c>
      <c r="E74" s="6">
        <f>VE!I74-L$1</f>
        <v>0.83881286349640771</v>
      </c>
      <c r="F74" s="10">
        <f t="shared" si="4"/>
        <v>0.21432108247544335</v>
      </c>
      <c r="G74" s="10">
        <f t="shared" si="5"/>
        <v>0.34853758494336695</v>
      </c>
      <c r="H74" s="8">
        <f t="shared" si="6"/>
        <v>0.88673737139743036</v>
      </c>
      <c r="I74" s="8">
        <f t="shared" si="7"/>
        <v>0.50670750655819341</v>
      </c>
      <c r="J74" s="8">
        <f>AVERAGE(VE!E73:'VE'!E75)/178</f>
        <v>0.35012285414991345</v>
      </c>
      <c r="M74" s="1">
        <v>6</v>
      </c>
      <c r="N74">
        <f>Corona!E74</f>
        <v>42</v>
      </c>
      <c r="O74">
        <v>116</v>
      </c>
      <c r="P74" s="1">
        <f>N74*(1-C74/N74/VE!I74)/0.4</f>
        <v>14.992301770592759</v>
      </c>
      <c r="Q74" s="8"/>
      <c r="AE74" s="8">
        <v>0.22023909466565017</v>
      </c>
      <c r="AF74" s="8">
        <f t="shared" si="10"/>
        <v>5.9180121902068228E-3</v>
      </c>
      <c r="AG74" s="8">
        <f t="shared" si="11"/>
        <v>-0.12829849027771678</v>
      </c>
    </row>
    <row r="75" spans="1:33" x14ac:dyDescent="0.2">
      <c r="A75" s="14">
        <v>22</v>
      </c>
      <c r="B75" s="16">
        <v>44711</v>
      </c>
      <c r="C75">
        <f>Corona!D75</f>
        <v>26</v>
      </c>
      <c r="D75">
        <f>Corona!E75-Corona!D75</f>
        <v>3</v>
      </c>
      <c r="E75" s="6">
        <f>VE!I75-L$1</f>
        <v>0.84109912339851645</v>
      </c>
      <c r="F75" s="10">
        <f t="shared" si="4"/>
        <v>0.17366254662130909</v>
      </c>
      <c r="G75" s="10">
        <f t="shared" si="5"/>
        <v>0.10606569922542711</v>
      </c>
      <c r="H75" s="8">
        <f t="shared" si="6"/>
        <v>0.9092710804223153</v>
      </c>
      <c r="I75" s="8">
        <f t="shared" si="7"/>
        <v>1.6198515332842089</v>
      </c>
      <c r="J75" s="8">
        <f>AVERAGE(VE!E74:'VE'!E76)/178</f>
        <v>0.27397577387332928</v>
      </c>
      <c r="M75" s="1">
        <v>8</v>
      </c>
      <c r="N75">
        <f>Corona!E75</f>
        <v>29</v>
      </c>
      <c r="O75">
        <v>176</v>
      </c>
      <c r="P75" s="1">
        <f>N75*(1-C75/N75/VE!I75)/0.4</f>
        <v>-0.4436246689368234</v>
      </c>
      <c r="Q75" s="8"/>
      <c r="AE75" s="8">
        <v>0.25889757249357576</v>
      </c>
      <c r="AF75" s="8">
        <f t="shared" si="10"/>
        <v>8.5235025872266668E-2</v>
      </c>
      <c r="AG75" s="8">
        <f t="shared" si="11"/>
        <v>0.15283187326814865</v>
      </c>
    </row>
    <row r="76" spans="1:33" x14ac:dyDescent="0.2">
      <c r="A76" s="14">
        <v>23</v>
      </c>
      <c r="B76" s="16">
        <v>44718</v>
      </c>
      <c r="C76">
        <f>Corona!D76</f>
        <v>22</v>
      </c>
      <c r="D76">
        <f>Corona!E76-Corona!D76</f>
        <v>7</v>
      </c>
      <c r="E76" s="6">
        <f>VE!I76-L$1</f>
        <v>0.84058783554196392</v>
      </c>
      <c r="F76" s="10">
        <f t="shared" si="4"/>
        <v>0.14703461124712813</v>
      </c>
      <c r="G76" s="10">
        <f t="shared" si="5"/>
        <v>0.24669285954637052</v>
      </c>
      <c r="H76" s="8">
        <f t="shared" si="6"/>
        <v>1.8081973566475746</v>
      </c>
      <c r="I76" s="8">
        <f t="shared" si="7"/>
        <v>1.2928048553394373</v>
      </c>
      <c r="J76" s="8">
        <f>AVERAGE(VE!E75:'VE'!E77)/178</f>
        <v>0.57237731332818498</v>
      </c>
      <c r="M76" s="1">
        <v>10</v>
      </c>
      <c r="N76">
        <f>Corona!E76</f>
        <v>29</v>
      </c>
      <c r="O76">
        <v>171</v>
      </c>
      <c r="P76" s="1">
        <f>N76*(1-C76/N76/VE!I76)/0.4</f>
        <v>10.743037008775275</v>
      </c>
      <c r="Q76" s="8"/>
      <c r="AE76" s="8">
        <v>0.48292000988135697</v>
      </c>
      <c r="AF76" s="8">
        <f t="shared" si="10"/>
        <v>0.33588539863422884</v>
      </c>
      <c r="AG76" s="8">
        <f t="shared" si="11"/>
        <v>0.23622715033498645</v>
      </c>
    </row>
    <row r="77" spans="1:33" x14ac:dyDescent="0.2">
      <c r="A77" s="14">
        <v>24</v>
      </c>
      <c r="B77" s="16">
        <v>44725</v>
      </c>
      <c r="C77">
        <f>Corona!D77</f>
        <v>62</v>
      </c>
      <c r="D77">
        <f>Corona!E77-Corona!D77</f>
        <v>11</v>
      </c>
      <c r="E77" s="6">
        <f>VE!I77-L$1</f>
        <v>0.84017916390179159</v>
      </c>
      <c r="F77" s="10">
        <f t="shared" si="4"/>
        <v>0.41457182194807141</v>
      </c>
      <c r="G77" s="10">
        <f t="shared" si="5"/>
        <v>0.38666893702780175</v>
      </c>
      <c r="H77" s="8">
        <f t="shared" si="6"/>
        <v>0.98916515785903159</v>
      </c>
      <c r="I77" s="8">
        <f t="shared" si="7"/>
        <v>0.84073742849063526</v>
      </c>
      <c r="J77" s="8">
        <f>AVERAGE(VE!E76:'VE'!E78)/178</f>
        <v>1.0056176409229314</v>
      </c>
      <c r="M77" s="1">
        <v>9</v>
      </c>
      <c r="N77">
        <f>Corona!E77</f>
        <v>73</v>
      </c>
      <c r="O77">
        <v>241</v>
      </c>
      <c r="P77" s="1">
        <f>N77*(1-C77/N77/VE!I77)/0.4</f>
        <v>8.3777487886694022</v>
      </c>
      <c r="Q77" s="8"/>
      <c r="AE77" s="8">
        <v>0.9367648693638575</v>
      </c>
      <c r="AF77" s="8">
        <f t="shared" si="10"/>
        <v>0.52219304741578609</v>
      </c>
      <c r="AG77" s="8">
        <f t="shared" si="11"/>
        <v>0.55009593233605569</v>
      </c>
    </row>
    <row r="78" spans="1:33" x14ac:dyDescent="0.2">
      <c r="A78" s="14">
        <v>25</v>
      </c>
      <c r="B78" s="16">
        <v>44732</v>
      </c>
      <c r="C78">
        <f>Corona!D78</f>
        <v>61</v>
      </c>
      <c r="D78">
        <f>Corona!E78-Corona!D78</f>
        <v>8</v>
      </c>
      <c r="E78" s="6">
        <f>VE!I78-L$1</f>
        <v>0.84253826530612241</v>
      </c>
      <c r="F78" s="10">
        <f t="shared" ref="F78:F105" si="12">C78/E78/178</f>
        <v>0.40674310393364743</v>
      </c>
      <c r="G78" s="10">
        <f t="shared" ref="G78:G105" si="13">D78/(1-E78)/178</f>
        <v>0.28542693443645012</v>
      </c>
      <c r="H78" s="8">
        <f t="shared" ref="H78:H104" si="14">POWER(F79/F78,4/7)</f>
        <v>1.5000189272215851</v>
      </c>
      <c r="I78" s="8">
        <f t="shared" ref="I78:I104" si="15">POWER(G79/G78,4/7)</f>
        <v>2.0365514529835451</v>
      </c>
      <c r="J78" s="8">
        <f>AVERAGE(VE!E77:'VE'!E79)/178</f>
        <v>1.4053388140847043</v>
      </c>
      <c r="M78" s="1">
        <v>13</v>
      </c>
      <c r="N78">
        <f>Corona!E78</f>
        <v>69</v>
      </c>
      <c r="O78">
        <v>376</v>
      </c>
      <c r="P78" s="1">
        <f>N78*(1-C78/N78/VE!I78)/0.4</f>
        <v>1.6389782065023111</v>
      </c>
      <c r="Q78" s="8"/>
      <c r="AE78" s="8">
        <v>1.4333406647310889</v>
      </c>
      <c r="AF78" s="8">
        <f t="shared" si="10"/>
        <v>1.0265975607974416</v>
      </c>
      <c r="AG78" s="8">
        <f t="shared" si="11"/>
        <v>1.1479137302946387</v>
      </c>
    </row>
    <row r="79" spans="1:33" x14ac:dyDescent="0.2">
      <c r="A79" s="14">
        <v>26</v>
      </c>
      <c r="B79" s="16">
        <v>44739</v>
      </c>
      <c r="C79">
        <f>Corona!D79</f>
        <v>123</v>
      </c>
      <c r="D79">
        <f>Corona!E79-Corona!D79</f>
        <v>29</v>
      </c>
      <c r="E79" s="6">
        <f>VE!I79-L$1</f>
        <v>0.83559458588462776</v>
      </c>
      <c r="F79" s="10">
        <f t="shared" si="12"/>
        <v>0.82696949887904792</v>
      </c>
      <c r="G79" s="10">
        <f t="shared" si="13"/>
        <v>0.99097313303974244</v>
      </c>
      <c r="H79" s="8">
        <f t="shared" si="14"/>
        <v>0.80677880316709705</v>
      </c>
      <c r="I79" s="8">
        <f t="shared" si="15"/>
        <v>0.82368929021861892</v>
      </c>
      <c r="J79" s="8">
        <f>AVERAGE(VE!E78:'VE'!E80)/178</f>
        <v>1.4180051582466329</v>
      </c>
      <c r="M79" s="1">
        <v>25</v>
      </c>
      <c r="N79">
        <f>Corona!E79</f>
        <v>152</v>
      </c>
      <c r="O79">
        <v>351</v>
      </c>
      <c r="P79" s="1">
        <f>N79*(1-C79/N79/VE!I79)/0.4</f>
        <v>32.775655021834048</v>
      </c>
      <c r="Q79" s="8"/>
      <c r="AE79" s="8">
        <v>1.417794793546002</v>
      </c>
      <c r="AF79" s="8">
        <f t="shared" si="10"/>
        <v>0.5908252946669541</v>
      </c>
      <c r="AG79" s="8">
        <f t="shared" si="11"/>
        <v>0.42682166050625958</v>
      </c>
    </row>
    <row r="80" spans="1:33" x14ac:dyDescent="0.2">
      <c r="A80" s="14">
        <v>27</v>
      </c>
      <c r="B80" s="16">
        <v>44746</v>
      </c>
      <c r="C80">
        <f>Corona!D80</f>
        <v>85</v>
      </c>
      <c r="D80">
        <f>Corona!E80-Corona!D80</f>
        <v>20</v>
      </c>
      <c r="E80" s="6">
        <f>VE!I80-L$1</f>
        <v>0.84079301075268809</v>
      </c>
      <c r="F80" s="10">
        <f t="shared" si="12"/>
        <v>0.56794964251683244</v>
      </c>
      <c r="G80" s="10">
        <f t="shared" si="13"/>
        <v>0.70574508753041354</v>
      </c>
      <c r="H80" s="8">
        <f t="shared" si="14"/>
        <v>1.2785829333496619</v>
      </c>
      <c r="I80" s="8">
        <f t="shared" si="15"/>
        <v>1.1445959939127734</v>
      </c>
      <c r="J80" s="8">
        <f>AVERAGE(VE!E79:'VE'!E81)/178</f>
        <v>1.3981832397172398</v>
      </c>
      <c r="M80" s="1">
        <v>23</v>
      </c>
      <c r="N80">
        <f>Corona!E80</f>
        <v>105</v>
      </c>
      <c r="O80">
        <v>217</v>
      </c>
      <c r="P80" s="1">
        <f>N80*(1-C80/N80/VE!I80)/0.4</f>
        <v>23.948509996227827</v>
      </c>
      <c r="Q80" s="8"/>
      <c r="AE80" s="8">
        <v>1.2414115761119018</v>
      </c>
      <c r="AF80" s="8">
        <f t="shared" si="10"/>
        <v>0.67346193359506934</v>
      </c>
      <c r="AG80" s="8">
        <f t="shared" si="11"/>
        <v>0.53566648858148824</v>
      </c>
    </row>
    <row r="81" spans="1:33" x14ac:dyDescent="0.2">
      <c r="A81" s="14">
        <v>28</v>
      </c>
      <c r="B81" s="16">
        <v>44753</v>
      </c>
      <c r="C81">
        <f>Corona!D81</f>
        <v>131</v>
      </c>
      <c r="D81">
        <f>Corona!E81-Corona!D81</f>
        <v>25</v>
      </c>
      <c r="E81" s="6">
        <f>VE!I81-L$1</f>
        <v>0.84288025889967633</v>
      </c>
      <c r="F81" s="10">
        <f t="shared" si="12"/>
        <v>0.87314306914782325</v>
      </c>
      <c r="G81" s="10">
        <f t="shared" si="13"/>
        <v>0.89390064684849369</v>
      </c>
      <c r="H81" s="8">
        <f t="shared" si="14"/>
        <v>1.0766310269466806</v>
      </c>
      <c r="I81" s="8">
        <f t="shared" si="15"/>
        <v>1.2053740191121276</v>
      </c>
      <c r="J81" s="8">
        <f>AVERAGE(VE!E80:'VE'!E82)/178</f>
        <v>1.6089344886492787</v>
      </c>
      <c r="M81" s="1">
        <v>26</v>
      </c>
      <c r="N81">
        <f>Corona!E81</f>
        <v>156</v>
      </c>
      <c r="O81">
        <v>337</v>
      </c>
      <c r="P81" s="1">
        <f>N81*(1-C81/N81/VE!I81)/0.4</f>
        <v>23.209496194273278</v>
      </c>
      <c r="Q81" s="8"/>
      <c r="AE81" s="8">
        <v>1.5717427805328208</v>
      </c>
      <c r="AF81" s="8">
        <f t="shared" si="10"/>
        <v>0.69859971138499755</v>
      </c>
      <c r="AG81" s="8">
        <f t="shared" si="11"/>
        <v>0.67784213368432711</v>
      </c>
    </row>
    <row r="82" spans="1:33" x14ac:dyDescent="0.2">
      <c r="A82" s="14">
        <v>29</v>
      </c>
      <c r="B82" s="16">
        <v>44760</v>
      </c>
      <c r="C82">
        <f>Corona!D82</f>
        <v>148</v>
      </c>
      <c r="D82">
        <f>Corona!E82-Corona!D82</f>
        <v>36</v>
      </c>
      <c r="E82" s="6">
        <f>VE!I82-L$1</f>
        <v>0.83683385579937297</v>
      </c>
      <c r="F82" s="10">
        <f t="shared" si="12"/>
        <v>0.99357915360996363</v>
      </c>
      <c r="G82" s="10">
        <f t="shared" si="13"/>
        <v>1.2395168863128576</v>
      </c>
      <c r="H82" s="8">
        <f t="shared" si="14"/>
        <v>1.0021591619139141</v>
      </c>
      <c r="I82" s="8">
        <f t="shared" si="15"/>
        <v>0.97637476125276701</v>
      </c>
      <c r="J82" s="8">
        <f>AVERAGE(VE!E81:'VE'!E83)/178</f>
        <v>1.9353127172472504</v>
      </c>
      <c r="M82" s="1">
        <v>33</v>
      </c>
      <c r="N82">
        <f>Corona!E82</f>
        <v>184</v>
      </c>
      <c r="O82">
        <v>434</v>
      </c>
      <c r="P82" s="1">
        <f>N82*(1-C82/N82/VE!I82)/0.4</f>
        <v>42.785436550017664</v>
      </c>
      <c r="Q82" s="8"/>
    </row>
    <row r="83" spans="1:33" x14ac:dyDescent="0.2">
      <c r="A83" s="14">
        <v>30</v>
      </c>
      <c r="B83" s="16">
        <v>44767</v>
      </c>
      <c r="C83">
        <f>Corona!D83</f>
        <v>149</v>
      </c>
      <c r="D83">
        <f>Corona!E83-Corona!D83</f>
        <v>34</v>
      </c>
      <c r="E83" s="6">
        <f>VE!I83-L$1</f>
        <v>0.83931419457735246</v>
      </c>
      <c r="F83" s="10">
        <f t="shared" si="12"/>
        <v>0.99733646481091032</v>
      </c>
      <c r="G83" s="10">
        <f t="shared" si="13"/>
        <v>1.1887250118493322</v>
      </c>
      <c r="H83" s="8">
        <f t="shared" si="14"/>
        <v>0.90597640417341974</v>
      </c>
      <c r="I83" s="8">
        <f t="shared" si="15"/>
        <v>0.75297656958552461</v>
      </c>
      <c r="J83" s="8">
        <f>AVERAGE(VE!E82:'VE'!E84)/178</f>
        <v>1.7064719411711757</v>
      </c>
      <c r="M83" s="1">
        <v>32</v>
      </c>
      <c r="N83">
        <f>Corona!E83</f>
        <v>183</v>
      </c>
      <c r="O83">
        <v>393</v>
      </c>
      <c r="P83" s="1">
        <f>N83*(1-C83/N83/VE!I83)/0.4</f>
        <v>38.637912482065978</v>
      </c>
      <c r="Q83" s="8"/>
    </row>
    <row r="84" spans="1:33" x14ac:dyDescent="0.2">
      <c r="A84" s="14">
        <v>31</v>
      </c>
      <c r="B84" s="16">
        <v>44774</v>
      </c>
      <c r="C84">
        <f>Corona!D84</f>
        <v>125</v>
      </c>
      <c r="D84">
        <f>Corona!E84-Corona!D84</f>
        <v>21</v>
      </c>
      <c r="E84" s="6">
        <f>VE!I84-L$1</f>
        <v>0.83693891326358416</v>
      </c>
      <c r="F84" s="10">
        <f t="shared" si="12"/>
        <v>0.83906624471895164</v>
      </c>
      <c r="G84" s="10">
        <f t="shared" si="13"/>
        <v>0.72351736671910782</v>
      </c>
      <c r="H84" s="8">
        <f t="shared" si="14"/>
        <v>0.92288149864776337</v>
      </c>
      <c r="I84" s="8">
        <f t="shared" si="15"/>
        <v>1.0375873408019063</v>
      </c>
      <c r="J84" s="8">
        <f>AVERAGE(VE!E83:'VE'!E85)/178</f>
        <v>1.3155229281688059</v>
      </c>
      <c r="M84" s="1">
        <v>31</v>
      </c>
      <c r="N84">
        <f>Corona!E84</f>
        <v>146</v>
      </c>
      <c r="O84">
        <v>242</v>
      </c>
      <c r="P84" s="1">
        <f>N84*(1-C84/N84/VE!I84)/0.4</f>
        <v>12.66457382039575</v>
      </c>
      <c r="Q84" s="8"/>
    </row>
    <row r="85" spans="1:33" x14ac:dyDescent="0.2">
      <c r="A85" s="14">
        <v>32</v>
      </c>
      <c r="B85" s="16">
        <v>44781</v>
      </c>
      <c r="C85">
        <f>Corona!D85</f>
        <v>109</v>
      </c>
      <c r="D85">
        <f>Corona!E85-Corona!D85</f>
        <v>22</v>
      </c>
      <c r="E85" s="6">
        <f>VE!I85-L$1</f>
        <v>0.83985604285236015</v>
      </c>
      <c r="F85" s="10">
        <f t="shared" si="12"/>
        <v>0.72912442051624982</v>
      </c>
      <c r="G85" s="10">
        <f t="shared" si="13"/>
        <v>0.77177751705006514</v>
      </c>
      <c r="H85" s="8">
        <f t="shared" si="14"/>
        <v>0.86222323737979101</v>
      </c>
      <c r="I85" s="8">
        <f t="shared" si="15"/>
        <v>0.86015424592314982</v>
      </c>
      <c r="J85" s="8">
        <f>AVERAGE(VE!E84:'VE'!E86)/178</f>
        <v>1.1802095417453951</v>
      </c>
      <c r="M85" s="1">
        <v>19</v>
      </c>
      <c r="N85">
        <f>Corona!E85</f>
        <v>131</v>
      </c>
      <c r="O85">
        <v>271</v>
      </c>
      <c r="P85" s="1">
        <f>N85*(1-C85/N85/VE!I85)/0.4</f>
        <v>21.270692249811844</v>
      </c>
      <c r="Q85" s="8"/>
    </row>
    <row r="86" spans="1:33" x14ac:dyDescent="0.2">
      <c r="A86" s="14">
        <v>33</v>
      </c>
      <c r="B86" s="16">
        <v>44788</v>
      </c>
      <c r="C86">
        <f>Corona!D86</f>
        <v>84</v>
      </c>
      <c r="D86">
        <f>Corona!E86-Corona!D86</f>
        <v>17</v>
      </c>
      <c r="E86" s="6">
        <f>VE!I86-L$1</f>
        <v>0.83892497564144197</v>
      </c>
      <c r="F86" s="10">
        <f t="shared" si="12"/>
        <v>0.562517657790231</v>
      </c>
      <c r="G86" s="10">
        <f t="shared" si="13"/>
        <v>0.59292629852365941</v>
      </c>
      <c r="H86" s="8">
        <f t="shared" si="14"/>
        <v>0.90468630544131112</v>
      </c>
      <c r="I86" s="8">
        <f t="shared" si="15"/>
        <v>0.87684771715607412</v>
      </c>
      <c r="J86" s="8">
        <f>AVERAGE(VE!E85:'VE'!E87)/178</f>
        <v>1.2822325628611122</v>
      </c>
      <c r="M86" s="1">
        <v>36</v>
      </c>
      <c r="N86">
        <f>Corona!E86</f>
        <v>101</v>
      </c>
      <c r="O86">
        <v>376</v>
      </c>
      <c r="P86" s="1">
        <f>N86*(1-C86/N86/VE!I86)/0.4</f>
        <v>16.259590792838868</v>
      </c>
      <c r="Q86" s="8"/>
    </row>
    <row r="87" spans="1:33" x14ac:dyDescent="0.2">
      <c r="A87" s="14">
        <v>34</v>
      </c>
      <c r="B87" s="16">
        <v>44795</v>
      </c>
      <c r="C87">
        <f>Corona!D87</f>
        <v>70</v>
      </c>
      <c r="D87">
        <f>Corona!E87-Corona!D87</f>
        <v>14</v>
      </c>
      <c r="E87" s="6">
        <f>VE!I87-L$1</f>
        <v>0.83304862023653081</v>
      </c>
      <c r="F87" s="10">
        <f t="shared" si="12"/>
        <v>0.47207139825120015</v>
      </c>
      <c r="G87" s="10">
        <f t="shared" si="13"/>
        <v>0.47110533320952097</v>
      </c>
      <c r="H87" s="8">
        <f t="shared" si="14"/>
        <v>0.87222608952125602</v>
      </c>
      <c r="I87" s="8">
        <f t="shared" si="15"/>
        <v>0.7062068659542885</v>
      </c>
      <c r="J87" s="8">
        <f>AVERAGE(VE!E86:'VE'!E88)/178</f>
        <v>1.1784794456095082</v>
      </c>
      <c r="M87" s="1">
        <v>15</v>
      </c>
      <c r="N87">
        <f>Corona!E87</f>
        <v>84</v>
      </c>
      <c r="O87">
        <v>348</v>
      </c>
      <c r="P87" s="1">
        <f>N87*(1-C87/N87/VE!I87)/0.4</f>
        <v>11.822916666666661</v>
      </c>
      <c r="Q87" s="8"/>
    </row>
    <row r="88" spans="1:33" x14ac:dyDescent="0.2">
      <c r="A88" s="14">
        <v>35</v>
      </c>
      <c r="B88" s="16">
        <v>44802</v>
      </c>
      <c r="C88">
        <f>Corona!D88</f>
        <v>56</v>
      </c>
      <c r="D88">
        <f>Corona!E88-Corona!D88</f>
        <v>7</v>
      </c>
      <c r="E88" s="6">
        <f>VE!I88-L$1</f>
        <v>0.8465633423180593</v>
      </c>
      <c r="F88" s="10">
        <f t="shared" si="12"/>
        <v>0.37162811788138345</v>
      </c>
      <c r="G88" s="10">
        <f t="shared" si="13"/>
        <v>0.2563001781370125</v>
      </c>
      <c r="H88" s="8">
        <f t="shared" si="14"/>
        <v>1.041837168440144</v>
      </c>
      <c r="I88" s="8">
        <f t="shared" si="15"/>
        <v>1.3491305741195263</v>
      </c>
      <c r="J88" s="8">
        <f>AVERAGE(VE!E87:'VE'!E89)/178</f>
        <v>0.83434736271900301</v>
      </c>
      <c r="M88" s="1">
        <v>7</v>
      </c>
      <c r="N88">
        <f>Corona!E88</f>
        <v>63</v>
      </c>
      <c r="O88">
        <v>268</v>
      </c>
      <c r="P88" s="1">
        <f>N88*(1-C88/N88/VE!I88)/0.4</f>
        <v>1.3481773769259902</v>
      </c>
      <c r="Q88" s="8"/>
    </row>
    <row r="89" spans="1:33" x14ac:dyDescent="0.2">
      <c r="A89" s="14">
        <v>36</v>
      </c>
      <c r="B89" s="16">
        <v>44809</v>
      </c>
      <c r="C89">
        <f>Corona!D89</f>
        <v>60</v>
      </c>
      <c r="D89">
        <f>Corona!E89-Corona!D89</f>
        <v>12</v>
      </c>
      <c r="E89" s="6">
        <f>VE!I89-L$1</f>
        <v>0.84425365521931306</v>
      </c>
      <c r="F89" s="10">
        <f t="shared" si="12"/>
        <v>0.39926229469249952</v>
      </c>
      <c r="G89" s="10">
        <f t="shared" si="13"/>
        <v>0.43285593913622572</v>
      </c>
      <c r="H89" s="8">
        <f t="shared" si="14"/>
        <v>0.86424116268828943</v>
      </c>
      <c r="I89" s="8">
        <f t="shared" si="15"/>
        <v>0.8734677812936078</v>
      </c>
      <c r="J89" s="8">
        <f>AVERAGE(VE!E88:'VE'!E90)/178</f>
        <v>0.31661287395521093</v>
      </c>
      <c r="M89" s="1">
        <v>12</v>
      </c>
      <c r="N89">
        <f>Corona!E89</f>
        <v>72</v>
      </c>
      <c r="O89">
        <v>231</v>
      </c>
      <c r="P89" s="1">
        <f>N89*(1-C89/N89/VE!I89)/0.4</f>
        <v>12.262357414448651</v>
      </c>
      <c r="Q89" s="8"/>
    </row>
    <row r="90" spans="1:33" x14ac:dyDescent="0.2">
      <c r="A90" s="14">
        <v>37</v>
      </c>
      <c r="B90" s="16">
        <v>44816</v>
      </c>
      <c r="C90">
        <f>Corona!D90</f>
        <v>46</v>
      </c>
      <c r="D90">
        <f>Corona!E90-Corona!D90</f>
        <v>10</v>
      </c>
      <c r="E90" s="6">
        <f>VE!I90-L$1</f>
        <v>0.83554216867469877</v>
      </c>
      <c r="F90" s="10">
        <f t="shared" si="12"/>
        <v>0.30929254797760913</v>
      </c>
      <c r="G90" s="10">
        <f t="shared" si="13"/>
        <v>0.34160595958348761</v>
      </c>
      <c r="H90" s="8">
        <f t="shared" si="14"/>
        <v>0.99584662008298208</v>
      </c>
      <c r="I90" s="8">
        <f t="shared" si="15"/>
        <v>1.1340673908189107</v>
      </c>
      <c r="J90" s="8">
        <f>AVERAGE(VE!E89:'VE'!E91)/178</f>
        <v>0.29341396751123089</v>
      </c>
      <c r="M90" s="1">
        <v>10</v>
      </c>
      <c r="N90">
        <f>Corona!E90</f>
        <v>56</v>
      </c>
      <c r="O90">
        <v>91</v>
      </c>
      <c r="P90" s="1">
        <f>N90*(1-C90/N90/VE!I90)/0.4</f>
        <v>10.136054421768723</v>
      </c>
      <c r="Q90" s="8"/>
    </row>
    <row r="91" spans="1:33" x14ac:dyDescent="0.2">
      <c r="A91" s="14">
        <v>38</v>
      </c>
      <c r="B91" s="16">
        <v>44823</v>
      </c>
      <c r="C91">
        <f>Corona!D91</f>
        <v>46</v>
      </c>
      <c r="D91">
        <f>Corona!E91-Corona!D91</f>
        <v>12</v>
      </c>
      <c r="E91" s="6">
        <f>VE!I91-L$1</f>
        <v>0.84165009940357849</v>
      </c>
      <c r="F91" s="10">
        <f t="shared" si="12"/>
        <v>0.30704798404380262</v>
      </c>
      <c r="G91" s="10">
        <f t="shared" si="13"/>
        <v>0.42573901267483433</v>
      </c>
      <c r="H91" s="8">
        <f t="shared" si="14"/>
        <v>1.4666785220942857</v>
      </c>
      <c r="I91" s="8">
        <f t="shared" si="15"/>
        <v>1.0951391373717532</v>
      </c>
      <c r="J91" s="8">
        <f>AVERAGE(VE!E90:'VE'!E92)/178</f>
        <v>0.66156945494938724</v>
      </c>
      <c r="M91" s="1">
        <v>13</v>
      </c>
      <c r="N91">
        <f>Corona!E91</f>
        <v>58</v>
      </c>
      <c r="O91">
        <v>255</v>
      </c>
      <c r="P91" s="1">
        <f>N91*(1-C91/N91/VE!I91)/0.4</f>
        <v>16.025641025641026</v>
      </c>
      <c r="Q91" s="8"/>
    </row>
    <row r="92" spans="1:33" x14ac:dyDescent="0.2">
      <c r="A92" s="14">
        <v>39</v>
      </c>
      <c r="B92" s="16">
        <v>44830</v>
      </c>
      <c r="C92">
        <f>Corona!D92</f>
        <v>90</v>
      </c>
      <c r="D92">
        <f>Corona!E92-Corona!D92</f>
        <v>14</v>
      </c>
      <c r="E92" s="6">
        <f>VE!I92-L$1</f>
        <v>0.84242282507015898</v>
      </c>
      <c r="F92" s="10">
        <f t="shared" si="12"/>
        <v>0.60019501191219604</v>
      </c>
      <c r="G92" s="10">
        <f t="shared" si="13"/>
        <v>0.49913120620595569</v>
      </c>
      <c r="H92" s="8">
        <f t="shared" si="14"/>
        <v>1.297900209665984</v>
      </c>
      <c r="I92" s="8">
        <f t="shared" si="15"/>
        <v>1.4846743984929993</v>
      </c>
      <c r="J92" s="8">
        <f>AVERAGE(VE!E91:'VE'!E93)/178</f>
        <v>1.4360674924706918</v>
      </c>
      <c r="M92" s="1">
        <v>16</v>
      </c>
      <c r="N92">
        <f>Corona!E92</f>
        <v>104</v>
      </c>
      <c r="O92">
        <v>421</v>
      </c>
      <c r="P92" s="1">
        <f>N92*(1-C92/N92/VE!I92)/0.4</f>
        <v>7.8773584905660305</v>
      </c>
      <c r="Q92" s="8"/>
    </row>
    <row r="93" spans="1:33" x14ac:dyDescent="0.2">
      <c r="A93" s="14">
        <v>40</v>
      </c>
      <c r="B93" s="16">
        <v>44837</v>
      </c>
      <c r="C93">
        <f>Corona!D93</f>
        <v>142</v>
      </c>
      <c r="D93">
        <f>Corona!E93-Corona!D93</f>
        <v>28</v>
      </c>
      <c r="E93" s="6">
        <f>VE!I93-L$1</f>
        <v>0.84217758985200841</v>
      </c>
      <c r="F93" s="10">
        <f t="shared" si="12"/>
        <v>0.94725010330534798</v>
      </c>
      <c r="G93" s="10">
        <f t="shared" si="13"/>
        <v>0.99671124423338842</v>
      </c>
      <c r="H93" s="8">
        <f t="shared" si="14"/>
        <v>1.0980956206948946</v>
      </c>
      <c r="I93" s="8">
        <f t="shared" si="15"/>
        <v>1.0117994136114747</v>
      </c>
      <c r="J93" s="8">
        <f>AVERAGE(VE!E92:'VE'!E94)/178</f>
        <v>1.8324351971952209</v>
      </c>
      <c r="M93" s="1">
        <v>40</v>
      </c>
      <c r="N93">
        <f>Corona!E93</f>
        <v>170</v>
      </c>
      <c r="O93">
        <v>490</v>
      </c>
      <c r="P93" s="1">
        <f>N93*(1-C93/N93/VE!I93)/0.4</f>
        <v>27.097156398104254</v>
      </c>
      <c r="Q93" s="8"/>
    </row>
    <row r="94" spans="1:33" x14ac:dyDescent="0.2">
      <c r="A94" s="14">
        <v>41</v>
      </c>
      <c r="B94" s="16">
        <v>44844</v>
      </c>
      <c r="C94">
        <f>Corona!D94</f>
        <v>169</v>
      </c>
      <c r="D94">
        <f>Corona!E94-Corona!D94</f>
        <v>27</v>
      </c>
      <c r="E94" s="6">
        <f>VE!I94-L$1</f>
        <v>0.85090634441087609</v>
      </c>
      <c r="F94" s="10">
        <f t="shared" si="12"/>
        <v>1.1157963605319376</v>
      </c>
      <c r="G94" s="10">
        <f t="shared" si="13"/>
        <v>1.0173832860899557</v>
      </c>
      <c r="H94" s="8">
        <f t="shared" si="14"/>
        <v>1.0650619414292886</v>
      </c>
      <c r="I94" s="8">
        <f t="shared" si="15"/>
        <v>1.1967355055653859</v>
      </c>
      <c r="J94" s="8">
        <f>AVERAGE(VE!E93:'VE'!E95)/178</f>
        <v>1.9783193455404988</v>
      </c>
      <c r="M94" s="1">
        <v>30</v>
      </c>
      <c r="N94">
        <f>Corona!E94</f>
        <v>196</v>
      </c>
      <c r="O94">
        <v>467</v>
      </c>
      <c r="P94" s="1">
        <f>N94*(1-C94/N94/VE!I94)/0.4</f>
        <v>21.027833668678745</v>
      </c>
      <c r="Q94" s="8"/>
    </row>
    <row r="95" spans="1:33" x14ac:dyDescent="0.2">
      <c r="A95" s="14">
        <v>42</v>
      </c>
      <c r="B95" s="16">
        <v>44851</v>
      </c>
      <c r="C95">
        <f>Corona!D95</f>
        <v>186</v>
      </c>
      <c r="D95">
        <f>Corona!E95-Corona!D95</f>
        <v>40</v>
      </c>
      <c r="E95" s="6">
        <f>VE!I95-L$1</f>
        <v>0.83869100623330362</v>
      </c>
      <c r="F95" s="10">
        <f t="shared" si="12"/>
        <v>1.2459222913546315</v>
      </c>
      <c r="G95" s="10">
        <f t="shared" si="13"/>
        <v>1.3930971601534512</v>
      </c>
      <c r="H95" s="8">
        <f t="shared" si="14"/>
        <v>0.84677116267380326</v>
      </c>
      <c r="I95" s="8">
        <f t="shared" si="15"/>
        <v>0.97052589316006566</v>
      </c>
      <c r="J95" s="8">
        <f>AVERAGE(VE!E94:'VE'!E96)/178</f>
        <v>1.8142036814638274</v>
      </c>
      <c r="M95" s="1">
        <v>47</v>
      </c>
      <c r="N95">
        <f>Corona!E95</f>
        <v>226</v>
      </c>
      <c r="O95">
        <v>494</v>
      </c>
      <c r="P95" s="1">
        <f>N95*(1-C95/N95/VE!I95)/0.4</f>
        <v>41.758517034068156</v>
      </c>
      <c r="Q95" s="8"/>
    </row>
    <row r="96" spans="1:33" x14ac:dyDescent="0.2">
      <c r="A96" s="14">
        <v>43</v>
      </c>
      <c r="B96" s="16">
        <v>44858</v>
      </c>
      <c r="C96">
        <f>Corona!D96</f>
        <v>139</v>
      </c>
      <c r="D96">
        <f>Corona!E96-Corona!D96</f>
        <v>38</v>
      </c>
      <c r="E96" s="6">
        <f>VE!I96-L$1</f>
        <v>0.83851963746223557</v>
      </c>
      <c r="F96" s="10">
        <f t="shared" si="12"/>
        <v>0.93128275298104002</v>
      </c>
      <c r="G96" s="10">
        <f t="shared" si="13"/>
        <v>1.3220378175549965</v>
      </c>
      <c r="H96" s="8">
        <f t="shared" si="14"/>
        <v>0.77165196280717119</v>
      </c>
      <c r="I96" s="8">
        <f t="shared" si="15"/>
        <v>0.74290897656424959</v>
      </c>
      <c r="J96" s="8">
        <f>AVERAGE(VE!E95:'VE'!E97)/178</f>
        <v>1.5072333348885443</v>
      </c>
      <c r="M96" s="1">
        <v>44</v>
      </c>
      <c r="N96">
        <f>Corona!E96</f>
        <v>177</v>
      </c>
      <c r="O96">
        <v>411</v>
      </c>
      <c r="P96" s="1">
        <f>N96*(1-C96/N96/VE!I96)/0.4</f>
        <v>51.400034002040108</v>
      </c>
      <c r="Q96" s="8"/>
    </row>
    <row r="97" spans="1:17" x14ac:dyDescent="0.2">
      <c r="A97" s="14">
        <v>44</v>
      </c>
      <c r="B97" s="16">
        <v>44865</v>
      </c>
      <c r="C97">
        <f>Corona!D97</f>
        <v>88</v>
      </c>
      <c r="D97">
        <f>Corona!E97-Corona!D97</f>
        <v>23</v>
      </c>
      <c r="E97" s="6">
        <f>VE!I97-L$1</f>
        <v>0.83559059987631412</v>
      </c>
      <c r="F97" s="10">
        <f t="shared" si="12"/>
        <v>0.59165579716321548</v>
      </c>
      <c r="G97" s="10">
        <f t="shared" si="13"/>
        <v>0.78592515421173959</v>
      </c>
      <c r="H97" s="8">
        <f t="shared" si="14"/>
        <v>0.93582072923243231</v>
      </c>
      <c r="I97" s="8">
        <f t="shared" si="15"/>
        <v>0.91871895977664952</v>
      </c>
      <c r="J97" s="8">
        <f>AVERAGE(VE!E96:'VE'!E98)/178</f>
        <v>0.97177979396965541</v>
      </c>
      <c r="M97" s="1">
        <v>37</v>
      </c>
      <c r="N97">
        <f>Corona!E97</f>
        <v>111</v>
      </c>
      <c r="O97">
        <v>307</v>
      </c>
      <c r="P97" s="1">
        <f>N97*(1-C97/N97/VE!I97)/0.4</f>
        <v>29.078212290502805</v>
      </c>
      <c r="Q97" s="8"/>
    </row>
    <row r="98" spans="1:17" x14ac:dyDescent="0.2">
      <c r="A98" s="14">
        <v>45</v>
      </c>
      <c r="B98" s="16">
        <v>44872</v>
      </c>
      <c r="C98">
        <f>Corona!D98</f>
        <v>79</v>
      </c>
      <c r="D98">
        <f>Corona!E98-Corona!D98</f>
        <v>19</v>
      </c>
      <c r="E98" s="6">
        <f>VE!I98-L$1</f>
        <v>0.84246294544307787</v>
      </c>
      <c r="F98" s="10">
        <f t="shared" si="12"/>
        <v>0.52681275434100194</v>
      </c>
      <c r="G98" s="10">
        <f t="shared" si="13"/>
        <v>0.67756486455787734</v>
      </c>
      <c r="H98" s="8">
        <f t="shared" si="14"/>
        <v>0.88920420084245932</v>
      </c>
      <c r="I98" s="8">
        <f t="shared" si="15"/>
        <v>0.7948611581902415</v>
      </c>
      <c r="J98" s="8">
        <f>AVERAGE(VE!E97:'VE'!E99)/178</f>
        <v>0.64468700587806516</v>
      </c>
      <c r="M98" s="1">
        <v>22</v>
      </c>
      <c r="N98">
        <f>Corona!E98</f>
        <v>98</v>
      </c>
      <c r="O98">
        <v>231</v>
      </c>
      <c r="P98" s="1">
        <f>N98*(1-C98/N98/VE!I98)/0.4</f>
        <v>23.702296819787989</v>
      </c>
      <c r="Q98" s="8"/>
    </row>
    <row r="99" spans="1:17" x14ac:dyDescent="0.2">
      <c r="A99" s="14">
        <v>46</v>
      </c>
      <c r="B99" s="16">
        <v>44879</v>
      </c>
      <c r="C99">
        <f>Corona!D99</f>
        <v>65</v>
      </c>
      <c r="D99">
        <f>Corona!E99-Corona!D99</f>
        <v>12</v>
      </c>
      <c r="E99" s="6">
        <f>VE!I99-L$1</f>
        <v>0.85130353817504656</v>
      </c>
      <c r="F99" s="10">
        <f t="shared" si="12"/>
        <v>0.42895221616094836</v>
      </c>
      <c r="G99" s="10">
        <f t="shared" si="13"/>
        <v>0.45337817396382263</v>
      </c>
      <c r="H99" s="8">
        <f t="shared" si="14"/>
        <v>0.92670269654761273</v>
      </c>
      <c r="I99" s="8">
        <f t="shared" si="15"/>
        <v>0.85367418913380499</v>
      </c>
      <c r="J99" s="8">
        <f>AVERAGE(VE!E98:'VE'!E100)/178</f>
        <v>0.81482458167351901</v>
      </c>
      <c r="M99" s="1">
        <v>20</v>
      </c>
      <c r="N99">
        <f>Corona!E99</f>
        <v>77</v>
      </c>
      <c r="O99">
        <v>251</v>
      </c>
      <c r="P99" s="1">
        <f>N99*(1-C99/N99/VE!I99)/0.4</f>
        <v>12.205578512396704</v>
      </c>
      <c r="Q99" s="8"/>
    </row>
    <row r="100" spans="1:17" x14ac:dyDescent="0.2">
      <c r="A100" s="14">
        <v>47</v>
      </c>
      <c r="B100" s="16">
        <v>44886</v>
      </c>
      <c r="C100">
        <f>Corona!D100</f>
        <v>57</v>
      </c>
      <c r="D100">
        <f>Corona!E100-Corona!D100</f>
        <v>9</v>
      </c>
      <c r="E100" s="6">
        <f>VE!I100-L$1</f>
        <v>0.85290407744206509</v>
      </c>
      <c r="F100" s="10">
        <f t="shared" si="12"/>
        <v>0.37545220801559054</v>
      </c>
      <c r="G100" s="10">
        <f t="shared" si="13"/>
        <v>0.34373350989994178</v>
      </c>
      <c r="H100" s="8">
        <f t="shared" si="14"/>
        <v>1.1518490013120757</v>
      </c>
      <c r="I100" s="8">
        <f t="shared" si="15"/>
        <v>1.0621022485081899</v>
      </c>
      <c r="J100" s="8">
        <f>AVERAGE(VE!E99:'VE'!E101)/178</f>
        <v>1.1492707102835229</v>
      </c>
      <c r="M100" s="1">
        <v>11</v>
      </c>
      <c r="N100">
        <f>Corona!E100</f>
        <v>66</v>
      </c>
      <c r="O100">
        <v>397</v>
      </c>
      <c r="P100" s="1">
        <f>N100*(1-C100/N100/VE!I100)/0.4</f>
        <v>7.1759259259259345</v>
      </c>
      <c r="Q100" s="8"/>
    </row>
    <row r="101" spans="1:17" x14ac:dyDescent="0.2">
      <c r="A101" s="14">
        <v>48</v>
      </c>
      <c r="B101" s="16">
        <v>44893</v>
      </c>
      <c r="C101">
        <f>Corona!D101</f>
        <v>73</v>
      </c>
      <c r="D101">
        <f>Corona!E101-Corona!D101</f>
        <v>10</v>
      </c>
      <c r="E101" s="6">
        <f>VE!I101-L$1</f>
        <v>0.8529154518950437</v>
      </c>
      <c r="F101" s="10">
        <f t="shared" si="12"/>
        <v>0.48083588899621499</v>
      </c>
      <c r="G101" s="10">
        <f t="shared" si="13"/>
        <v>0.38195565750938182</v>
      </c>
      <c r="H101" s="8">
        <f t="shared" si="14"/>
        <v>1.0070986052958195</v>
      </c>
      <c r="I101" s="8">
        <f t="shared" si="15"/>
        <v>1.345144300216268</v>
      </c>
      <c r="J101" s="8">
        <f>AVERAGE(VE!E100:'VE'!E102)/178</f>
        <v>1.7457132970393359</v>
      </c>
      <c r="M101" s="1">
        <v>15</v>
      </c>
      <c r="N101">
        <f>Corona!E101</f>
        <v>83</v>
      </c>
      <c r="O101">
        <v>377</v>
      </c>
      <c r="P101" s="1">
        <f>N101*(1-C101/N101/VE!I101)/0.4</f>
        <v>5.3769777203745761</v>
      </c>
      <c r="Q101" s="8"/>
    </row>
    <row r="102" spans="1:17" x14ac:dyDescent="0.2">
      <c r="A102" s="14">
        <v>49</v>
      </c>
      <c r="B102" s="16">
        <v>44900</v>
      </c>
      <c r="C102">
        <f>Corona!D102</f>
        <v>73</v>
      </c>
      <c r="D102">
        <f>Corona!E102-Corona!D102</f>
        <v>18</v>
      </c>
      <c r="E102" s="6">
        <f>VE!I102-L$1</f>
        <v>0.84242256637168134</v>
      </c>
      <c r="F102" s="10">
        <f t="shared" si="12"/>
        <v>0.48682499249387157</v>
      </c>
      <c r="G102" s="10">
        <f t="shared" si="13"/>
        <v>0.64173906870536046</v>
      </c>
      <c r="H102" s="8">
        <f t="shared" si="14"/>
        <v>1.1881733154409837</v>
      </c>
      <c r="I102" s="8">
        <f t="shared" si="15"/>
        <v>1.0090775216033079</v>
      </c>
      <c r="J102" s="8">
        <f>AVERAGE(VE!E101:'VE'!E103)/178</f>
        <v>2.7148151311223869</v>
      </c>
      <c r="M102" s="1">
        <v>15</v>
      </c>
      <c r="N102">
        <f>Corona!E102</f>
        <v>91</v>
      </c>
      <c r="O102">
        <v>538</v>
      </c>
      <c r="P102" s="1">
        <f>N102*(1-C102/N102/VE!I102)/0.4</f>
        <v>23.000464828013623</v>
      </c>
      <c r="Q102" s="8"/>
    </row>
    <row r="103" spans="1:17" x14ac:dyDescent="0.2">
      <c r="A103" s="14">
        <v>50</v>
      </c>
      <c r="B103" s="16">
        <v>44907</v>
      </c>
      <c r="C103">
        <f>Corona!D103</f>
        <v>99</v>
      </c>
      <c r="D103">
        <f>Corona!E103-Corona!D103</f>
        <v>18</v>
      </c>
      <c r="E103" s="6">
        <f>VE!I103-L$1</f>
        <v>0.84489489489489489</v>
      </c>
      <c r="F103" s="10">
        <f t="shared" si="12"/>
        <v>0.65828279782669041</v>
      </c>
      <c r="G103" s="10">
        <f t="shared" si="13"/>
        <v>0.65196819561221264</v>
      </c>
      <c r="H103" s="8">
        <f t="shared" si="14"/>
        <v>1.1195839061717237</v>
      </c>
      <c r="I103" s="8">
        <f t="shared" si="15"/>
        <v>1.3257046360928042</v>
      </c>
      <c r="J103" s="8">
        <f>AVERAGE(VE!E102:'VE'!E104)/178</f>
        <v>4.043479875952924</v>
      </c>
      <c r="M103" s="1">
        <v>12</v>
      </c>
      <c r="N103">
        <f>Corona!E103</f>
        <v>117</v>
      </c>
      <c r="O103">
        <v>853</v>
      </c>
      <c r="P103" s="1">
        <f>N103*(1-C103/N103/VE!I103)/0.4</f>
        <v>15.931208053691281</v>
      </c>
      <c r="Q103" s="8"/>
    </row>
    <row r="104" spans="1:17" x14ac:dyDescent="0.2">
      <c r="A104" s="14">
        <v>51</v>
      </c>
      <c r="B104" s="16">
        <v>44914</v>
      </c>
      <c r="C104">
        <f>Corona!D104</f>
        <v>121</v>
      </c>
      <c r="D104">
        <f>Corona!E104-Corona!D104</f>
        <v>29</v>
      </c>
      <c r="E104" s="6">
        <f>VE!I104-L$1</f>
        <v>0.8474297953355544</v>
      </c>
      <c r="F104" s="10">
        <f t="shared" si="12"/>
        <v>0.80216117564016931</v>
      </c>
      <c r="G104" s="10">
        <f t="shared" si="13"/>
        <v>1.0678451187302715</v>
      </c>
      <c r="H104" s="8">
        <f t="shared" si="14"/>
        <v>1.036074614742271</v>
      </c>
      <c r="I104" s="8">
        <f t="shared" si="15"/>
        <v>1.0261077773825908</v>
      </c>
      <c r="J104" s="8">
        <f>AVERAGE(VE!E103:'VE'!E105)/178</f>
        <v>4.9113039628262971</v>
      </c>
      <c r="M104" s="1">
        <v>21</v>
      </c>
      <c r="N104">
        <f>Corona!E104</f>
        <v>150</v>
      </c>
      <c r="O104">
        <v>992</v>
      </c>
      <c r="P104" s="1">
        <f>N104*(1-C104/N104/VE!I104)/0.4</f>
        <v>37.926279501458474</v>
      </c>
      <c r="Q104" s="8"/>
    </row>
    <row r="105" spans="1:17" x14ac:dyDescent="0.2">
      <c r="A105" s="14">
        <v>52</v>
      </c>
      <c r="B105" s="16">
        <v>44921</v>
      </c>
      <c r="C105">
        <f>Corona!D105</f>
        <v>129</v>
      </c>
      <c r="D105">
        <f>Corona!E105-Corona!D105</f>
        <v>30</v>
      </c>
      <c r="E105" s="6">
        <f>VE!I105-L$1</f>
        <v>0.84912917271407828</v>
      </c>
      <c r="F105" s="10">
        <f t="shared" si="12"/>
        <v>0.85348510498958619</v>
      </c>
      <c r="G105" s="10">
        <f t="shared" si="13"/>
        <v>1.1171101058741502</v>
      </c>
      <c r="H105" s="8"/>
      <c r="I105" s="8"/>
      <c r="J105" s="8">
        <f>AVERAGE(VE!E104:'VE'!E106)/178</f>
        <v>5.1847758369479937</v>
      </c>
      <c r="M105" s="1">
        <f>[1]Cijfers!R158*7</f>
        <v>29.223809523809528</v>
      </c>
      <c r="N105">
        <f>Corona!E105</f>
        <v>159</v>
      </c>
      <c r="O105">
        <v>865</v>
      </c>
      <c r="P105" s="1">
        <f>N105*(1-C105/N105/VE!I105)/0.4</f>
        <v>38.81961259079899</v>
      </c>
      <c r="Q105" s="8"/>
    </row>
    <row r="106" spans="1:17" x14ac:dyDescent="0.2">
      <c r="A106" s="14"/>
      <c r="B106" s="16"/>
      <c r="E106" s="6"/>
      <c r="F106" s="10"/>
      <c r="G106" s="10"/>
    </row>
    <row r="107" spans="1:17" x14ac:dyDescent="0.2">
      <c r="A107" s="14"/>
      <c r="B107" s="14"/>
    </row>
    <row r="108" spans="1:17" x14ac:dyDescent="0.2">
      <c r="A108" s="14"/>
      <c r="B108" s="14"/>
    </row>
    <row r="109" spans="1:17" x14ac:dyDescent="0.2">
      <c r="A109" s="14"/>
      <c r="B109" s="14"/>
    </row>
    <row r="110" spans="1:17" x14ac:dyDescent="0.2">
      <c r="A110" s="14"/>
      <c r="B110" s="14"/>
    </row>
    <row r="111" spans="1:17" x14ac:dyDescent="0.2">
      <c r="A111" s="14"/>
      <c r="B111" s="14"/>
    </row>
    <row r="112" spans="1:17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1B88-10B8-164B-8B1D-082D197352B1}">
  <dimension ref="A1:BP224"/>
  <sheetViews>
    <sheetView zoomScale="90" zoomScaleNormal="90" workbookViewId="0">
      <pane xSplit="2" ySplit="1" topLeftCell="Z45" activePane="bottomRight" state="frozen"/>
      <selection pane="topRight" activeCell="C1" sqref="C1"/>
      <selection pane="bottomLeft" activeCell="A2" sqref="A2"/>
      <selection pane="bottomRight" activeCell="R56" sqref="R56"/>
    </sheetView>
  </sheetViews>
  <sheetFormatPr baseColWidth="10" defaultRowHeight="16" x14ac:dyDescent="0.2"/>
  <cols>
    <col min="2" max="2" width="11.33203125" bestFit="1" customWidth="1"/>
    <col min="13" max="13" width="12" bestFit="1" customWidth="1"/>
    <col min="17" max="17" width="13" customWidth="1"/>
    <col min="18" max="18" width="14.1640625" customWidth="1"/>
    <col min="41" max="41" width="11.1640625" bestFit="1" customWidth="1"/>
  </cols>
  <sheetData>
    <row r="1" spans="1:25" x14ac:dyDescent="0.2">
      <c r="A1" t="s">
        <v>59</v>
      </c>
      <c r="B1" t="s">
        <v>63</v>
      </c>
      <c r="C1" t="s">
        <v>93</v>
      </c>
      <c r="D1" t="s">
        <v>101</v>
      </c>
      <c r="E1" t="s">
        <v>91</v>
      </c>
      <c r="F1" t="s">
        <v>94</v>
      </c>
      <c r="G1" t="s">
        <v>95</v>
      </c>
      <c r="H1" t="s">
        <v>96</v>
      </c>
      <c r="I1" t="s">
        <v>87</v>
      </c>
      <c r="J1" t="s">
        <v>97</v>
      </c>
      <c r="K1" t="s">
        <v>98</v>
      </c>
      <c r="L1" t="s">
        <v>99</v>
      </c>
      <c r="N1" t="s">
        <v>88</v>
      </c>
      <c r="O1" t="s">
        <v>100</v>
      </c>
      <c r="P1" t="s">
        <v>102</v>
      </c>
      <c r="Q1" t="s">
        <v>103</v>
      </c>
      <c r="R1" t="s">
        <v>104</v>
      </c>
      <c r="S1" t="s">
        <v>105</v>
      </c>
      <c r="T1" t="s">
        <v>107</v>
      </c>
      <c r="U1" t="s">
        <v>108</v>
      </c>
      <c r="V1" t="s">
        <v>110</v>
      </c>
      <c r="X1" t="s">
        <v>132</v>
      </c>
      <c r="Y1" t="s">
        <v>106</v>
      </c>
    </row>
    <row r="2" spans="1:25" x14ac:dyDescent="0.2">
      <c r="A2">
        <v>1</v>
      </c>
      <c r="B2" s="2">
        <v>44200</v>
      </c>
      <c r="C2" s="1">
        <f>verzamel!E2</f>
        <v>4144</v>
      </c>
      <c r="D2" s="1">
        <v>3203.6250573735506</v>
      </c>
      <c r="E2" s="1">
        <f>C2-D2</f>
        <v>940.37494262644941</v>
      </c>
      <c r="F2">
        <f>Corona!E2</f>
        <v>1145</v>
      </c>
      <c r="G2">
        <f>verzamel!F2</f>
        <v>0</v>
      </c>
      <c r="H2" s="1">
        <f>('311 cov wlz'!D2+'312 cov nwlz'!D2)*1.07</f>
        <v>0</v>
      </c>
      <c r="I2" s="6">
        <f>G2/C2</f>
        <v>0</v>
      </c>
      <c r="J2" s="8">
        <f t="shared" ref="J2:J24" si="0">(F2-H2)/(178*(1-I2))</f>
        <v>6.4325842696629216</v>
      </c>
      <c r="K2" s="8"/>
      <c r="P2" s="10">
        <f>E2/178</f>
        <v>5.2830052956542097</v>
      </c>
      <c r="S2">
        <v>0</v>
      </c>
      <c r="U2" s="8">
        <f t="shared" ref="U2" si="1">F2/178</f>
        <v>6.4325842696629216</v>
      </c>
      <c r="V2" s="10">
        <v>0</v>
      </c>
      <c r="X2">
        <v>0.95</v>
      </c>
      <c r="Y2">
        <v>0.1</v>
      </c>
    </row>
    <row r="3" spans="1:25" x14ac:dyDescent="0.2">
      <c r="A3">
        <f>A2+1</f>
        <v>2</v>
      </c>
      <c r="B3" s="2">
        <f>B2+7</f>
        <v>44207</v>
      </c>
      <c r="C3" s="1">
        <f>verzamel!E3</f>
        <v>3852</v>
      </c>
      <c r="D3" s="1">
        <v>3212.3772185836724</v>
      </c>
      <c r="E3" s="1">
        <f t="shared" ref="E3:E66" si="2">C3-D3</f>
        <v>639.6227814163276</v>
      </c>
      <c r="F3">
        <f>Corona!E3</f>
        <v>1026</v>
      </c>
      <c r="G3">
        <f>verzamel!F3</f>
        <v>0</v>
      </c>
      <c r="H3" s="1">
        <f>('311 cov wlz'!D3+'312 cov nwlz'!D3)*1.07</f>
        <v>0</v>
      </c>
      <c r="I3" s="6">
        <f t="shared" ref="I3:I66" si="3">G3/C3</f>
        <v>0</v>
      </c>
      <c r="J3" s="8">
        <f t="shared" si="0"/>
        <v>5.7640449438202248</v>
      </c>
      <c r="K3" s="8"/>
      <c r="P3" s="10" cm="1">
        <f t="array" ref="P3">AVERAGE(E2:E4/178)</f>
        <v>4.1652507322151111</v>
      </c>
      <c r="Q3" s="8"/>
      <c r="R3" s="8"/>
      <c r="S3">
        <v>0</v>
      </c>
      <c r="U3" s="8">
        <f>AVERAGE(F2:F4)/178</f>
        <v>5.9082397003745326</v>
      </c>
      <c r="V3" s="10">
        <v>4.2499719101122733E-2</v>
      </c>
      <c r="X3">
        <v>0.95</v>
      </c>
      <c r="Y3">
        <v>0.1</v>
      </c>
    </row>
    <row r="4" spans="1:25" x14ac:dyDescent="0.2">
      <c r="A4">
        <f t="shared" ref="A4:A53" si="4">A3+1</f>
        <v>3</v>
      </c>
      <c r="B4" s="2">
        <f t="shared" ref="B4:B67" si="5">B3+7</f>
        <v>44214</v>
      </c>
      <c r="C4" s="1">
        <f>verzamel!E4</f>
        <v>3862</v>
      </c>
      <c r="D4" s="1">
        <v>3217.7538330399079</v>
      </c>
      <c r="E4" s="1">
        <f t="shared" si="2"/>
        <v>644.24616696009207</v>
      </c>
      <c r="F4">
        <f>Corona!E4</f>
        <v>984</v>
      </c>
      <c r="G4">
        <f>verzamel!F4</f>
        <v>0</v>
      </c>
      <c r="H4" s="1">
        <f>('311 cov wlz'!D4+'312 cov nwlz'!D4)*1.07</f>
        <v>0</v>
      </c>
      <c r="I4" s="6">
        <f t="shared" si="3"/>
        <v>0</v>
      </c>
      <c r="J4" s="8">
        <f t="shared" si="0"/>
        <v>5.5280898876404496</v>
      </c>
      <c r="K4" s="8"/>
      <c r="P4" s="10" cm="1">
        <f t="array" ref="P4">AVERAGE(E3:E5/178)</f>
        <v>3.3336897641612073</v>
      </c>
      <c r="Q4" s="8"/>
      <c r="R4" s="8"/>
      <c r="S4">
        <v>0</v>
      </c>
      <c r="U4" s="8">
        <f t="shared" ref="U4:U67" si="6">AVERAGE(F3:F5)/178</f>
        <v>5.3033707865168536</v>
      </c>
      <c r="V4" s="10">
        <v>7.5641221910112216E-2</v>
      </c>
      <c r="X4">
        <v>0.95</v>
      </c>
      <c r="Y4">
        <v>0.1</v>
      </c>
    </row>
    <row r="5" spans="1:25" x14ac:dyDescent="0.2">
      <c r="A5">
        <f t="shared" si="4"/>
        <v>4</v>
      </c>
      <c r="B5" s="2">
        <f t="shared" si="5"/>
        <v>44221</v>
      </c>
      <c r="C5" s="1">
        <f>verzamel!E5</f>
        <v>3716</v>
      </c>
      <c r="D5" s="1">
        <v>3219.6786143143349</v>
      </c>
      <c r="E5" s="1">
        <f t="shared" si="2"/>
        <v>496.32138568566506</v>
      </c>
      <c r="F5">
        <f>Corona!E5</f>
        <v>822</v>
      </c>
      <c r="G5">
        <f>verzamel!F5</f>
        <v>30</v>
      </c>
      <c r="H5" s="1">
        <f>('311 cov wlz'!D5+'312 cov nwlz'!D5)*1.07</f>
        <v>8.56</v>
      </c>
      <c r="I5" s="6">
        <f t="shared" si="3"/>
        <v>8.0731969860064583E-3</v>
      </c>
      <c r="J5" s="8">
        <f t="shared" si="0"/>
        <v>4.6070815170673125</v>
      </c>
      <c r="K5" s="8">
        <f t="shared" ref="K5:K7" si="7">H5/(178*I5)</f>
        <v>5.9567340823970039</v>
      </c>
      <c r="L5" s="8">
        <f>J5-K5</f>
        <v>-1.3496525653296914</v>
      </c>
      <c r="M5" s="10">
        <f>L5*I5*178</f>
        <v>-1.9394899620184476</v>
      </c>
      <c r="N5" s="6">
        <f t="shared" ref="N5:N68" si="8">(J5-K5)/J5</f>
        <v>-0.29295174403356927</v>
      </c>
      <c r="P5" s="10" cm="1">
        <f t="array" ref="P5">AVERAGE(E4:E6/178)</f>
        <v>2.9521384775351618</v>
      </c>
      <c r="Q5" s="8">
        <f t="shared" ref="Q5:Q7" si="9">AVERAGE(J4:J6)</f>
        <v>4.7927970869934926</v>
      </c>
      <c r="R5" s="8">
        <f t="shared" ref="R5:R7" si="10">AVERAGE(K4:K6)</f>
        <v>4.3256660262033053</v>
      </c>
      <c r="S5">
        <v>0</v>
      </c>
      <c r="T5" s="8">
        <f t="shared" ref="T5:T35" si="11">AVERAGE( L4:L6)*AVERAGE(I4:I6)</f>
        <v>2.7090054374532052E-3</v>
      </c>
      <c r="U5" s="8">
        <f t="shared" si="6"/>
        <v>4.7584269662921352</v>
      </c>
      <c r="V5" s="10">
        <v>0.11817176966292094</v>
      </c>
      <c r="X5">
        <v>0.95</v>
      </c>
      <c r="Y5">
        <v>0.1</v>
      </c>
    </row>
    <row r="6" spans="1:25" x14ac:dyDescent="0.2">
      <c r="A6">
        <f t="shared" si="4"/>
        <v>5</v>
      </c>
      <c r="B6" s="2">
        <f t="shared" si="5"/>
        <v>44228</v>
      </c>
      <c r="C6" s="1">
        <f>verzamel!E6</f>
        <v>3654</v>
      </c>
      <c r="D6" s="1">
        <v>3218.1256056419807</v>
      </c>
      <c r="E6" s="1">
        <f t="shared" si="2"/>
        <v>435.87439435801934</v>
      </c>
      <c r="F6">
        <f>Corona!E6</f>
        <v>735</v>
      </c>
      <c r="G6">
        <f>verzamel!F6</f>
        <v>269</v>
      </c>
      <c r="H6" s="1">
        <f>('311 cov wlz'!D6+'312 cov nwlz'!D6)*1.07</f>
        <v>35.31</v>
      </c>
      <c r="I6" s="6">
        <f t="shared" si="3"/>
        <v>7.3617952928297758E-2</v>
      </c>
      <c r="J6" s="8">
        <f t="shared" si="0"/>
        <v>4.2432198562727175</v>
      </c>
      <c r="K6" s="8">
        <f t="shared" si="7"/>
        <v>2.6945979700096072</v>
      </c>
      <c r="L6" s="8">
        <f t="shared" ref="L6:L69" si="12">J6-K6</f>
        <v>1.5486218862631103</v>
      </c>
      <c r="M6" s="10">
        <f t="shared" ref="M6:M69" si="13">L6*I6*178</f>
        <v>20.293134416543584</v>
      </c>
      <c r="N6" s="6">
        <f t="shared" si="8"/>
        <v>0.36496385733437664</v>
      </c>
      <c r="O6" s="6">
        <f t="shared" ref="O6:O69" si="14">0.5*N6+0.25*(N5+N7)</f>
        <v>3.8618414213775765E-2</v>
      </c>
      <c r="P6" s="10" cm="1">
        <f t="array" ref="P6">AVERAGE(E5:E7/178)</f>
        <v>2.3765472205563398</v>
      </c>
      <c r="Q6" s="8">
        <f t="shared" si="9"/>
        <v>4.1880534986995919</v>
      </c>
      <c r="R6" s="8">
        <f t="shared" si="10"/>
        <v>4.4714549901326537</v>
      </c>
      <c r="S6">
        <v>0</v>
      </c>
      <c r="T6" s="8">
        <f t="shared" si="11"/>
        <v>-2.2858487919307748E-2</v>
      </c>
      <c r="U6" s="8">
        <f t="shared" si="6"/>
        <v>4.2097378277153563</v>
      </c>
      <c r="V6" s="10">
        <v>0.14427006671348186</v>
      </c>
      <c r="X6">
        <v>0.95</v>
      </c>
      <c r="Y6">
        <v>0.1</v>
      </c>
    </row>
    <row r="7" spans="1:25" x14ac:dyDescent="0.2">
      <c r="A7">
        <f t="shared" si="4"/>
        <v>6</v>
      </c>
      <c r="B7" s="2">
        <f t="shared" si="5"/>
        <v>44235</v>
      </c>
      <c r="C7" s="1">
        <f>verzamel!E7</f>
        <v>3550</v>
      </c>
      <c r="D7" s="1">
        <v>3213.1195642665989</v>
      </c>
      <c r="E7" s="1">
        <f t="shared" si="2"/>
        <v>336.8804357334011</v>
      </c>
      <c r="F7">
        <f>Corona!E7</f>
        <v>691</v>
      </c>
      <c r="G7">
        <f>verzamel!F7</f>
        <v>569</v>
      </c>
      <c r="H7" s="1">
        <f>('311 cov wlz'!D7+'312 cov nwlz'!D7)*1.07</f>
        <v>135.89000000000001</v>
      </c>
      <c r="I7" s="6">
        <f t="shared" si="3"/>
        <v>0.16028169014084506</v>
      </c>
      <c r="J7" s="8">
        <f t="shared" si="0"/>
        <v>3.7138591227587452</v>
      </c>
      <c r="K7" s="8">
        <f t="shared" si="7"/>
        <v>4.7630329179913522</v>
      </c>
      <c r="L7" s="8">
        <f t="shared" si="12"/>
        <v>-1.049173795232607</v>
      </c>
      <c r="M7" s="10">
        <f t="shared" si="13"/>
        <v>-29.93307614894335</v>
      </c>
      <c r="N7" s="6">
        <f t="shared" si="8"/>
        <v>-0.28250231378008089</v>
      </c>
      <c r="O7" s="6">
        <f t="shared" si="14"/>
        <v>-0.1584080558738088</v>
      </c>
      <c r="P7" s="10" cm="1">
        <f t="array" ref="P7">AVERAGE(E6:E8/178)</f>
        <v>2.0524704566094023</v>
      </c>
      <c r="Q7" s="8">
        <f t="shared" si="9"/>
        <v>3.7672772871526141</v>
      </c>
      <c r="R7" s="8">
        <f t="shared" si="10"/>
        <v>4.0842133445152582</v>
      </c>
      <c r="S7">
        <v>0</v>
      </c>
      <c r="T7" s="8">
        <f t="shared" si="11"/>
        <v>-4.7887706942848648E-2</v>
      </c>
      <c r="U7" s="8">
        <f t="shared" si="6"/>
        <v>3.8913857677902621</v>
      </c>
      <c r="V7" s="10">
        <v>0.15189919241572947</v>
      </c>
      <c r="X7">
        <v>0.95</v>
      </c>
      <c r="Y7">
        <v>0.1</v>
      </c>
    </row>
    <row r="8" spans="1:25" x14ac:dyDescent="0.2">
      <c r="A8">
        <f t="shared" si="4"/>
        <v>7</v>
      </c>
      <c r="B8" s="2">
        <f t="shared" si="5"/>
        <v>44242</v>
      </c>
      <c r="C8" s="1">
        <f>verzamel!E8</f>
        <v>3528</v>
      </c>
      <c r="D8" s="1">
        <v>3204.7356062619997</v>
      </c>
      <c r="E8" s="1">
        <f t="shared" si="2"/>
        <v>323.26439373800031</v>
      </c>
      <c r="F8">
        <f>Corona!E8</f>
        <v>652</v>
      </c>
      <c r="G8">
        <f>verzamel!F8</f>
        <v>774</v>
      </c>
      <c r="H8" s="1">
        <f>('311 cov wlz'!D8+'312 cov nwlz'!D8)*1.07</f>
        <v>187.25</v>
      </c>
      <c r="I8" s="6">
        <f t="shared" si="3"/>
        <v>0.21938775510204081</v>
      </c>
      <c r="J8" s="8">
        <f>(F8-H8)/(178*(1-I8))</f>
        <v>3.3447528824263784</v>
      </c>
      <c r="K8" s="8">
        <f>H8/(178*I8)</f>
        <v>4.7950091455448138</v>
      </c>
      <c r="L8" s="8">
        <f t="shared" si="12"/>
        <v>-1.4502562631184355</v>
      </c>
      <c r="M8" s="10">
        <f t="shared" si="13"/>
        <v>-56.633986928104612</v>
      </c>
      <c r="N8" s="6">
        <f t="shared" si="8"/>
        <v>-0.43359145326945009</v>
      </c>
      <c r="O8" s="6">
        <f t="shared" si="14"/>
        <v>-0.36314671339247762</v>
      </c>
      <c r="P8" s="10" cm="1">
        <f t="array" ref="P8">AVERAGE(E7:E9/178)</f>
        <v>1.2622597613263913</v>
      </c>
      <c r="Q8" s="8">
        <f t="shared" ref="Q8:Q71" si="15">AVERAGE(J7:J9)</f>
        <v>3.2319211347417194</v>
      </c>
      <c r="R8" s="8">
        <f t="shared" ref="R8:R71" si="16">AVERAGE(K7:K9)</f>
        <v>4.3313303094918005</v>
      </c>
      <c r="S8">
        <v>0</v>
      </c>
      <c r="T8" s="8">
        <f t="shared" si="11"/>
        <v>-0.22312714443955747</v>
      </c>
      <c r="U8" s="8">
        <f t="shared" si="6"/>
        <v>3.4550561797752808</v>
      </c>
      <c r="V8" s="10">
        <v>0.17283870259831455</v>
      </c>
      <c r="X8">
        <v>0.95</v>
      </c>
      <c r="Y8">
        <v>0.1</v>
      </c>
    </row>
    <row r="9" spans="1:25" x14ac:dyDescent="0.2">
      <c r="A9">
        <f t="shared" si="4"/>
        <v>8</v>
      </c>
      <c r="B9" s="2">
        <f t="shared" si="5"/>
        <v>44249</v>
      </c>
      <c r="C9" s="1">
        <f>verzamel!E9</f>
        <v>3207</v>
      </c>
      <c r="D9" s="1">
        <v>3193.0981169231086</v>
      </c>
      <c r="E9" s="1">
        <f t="shared" si="2"/>
        <v>13.901883076891409</v>
      </c>
      <c r="F9">
        <f>Corona!E9</f>
        <v>502</v>
      </c>
      <c r="G9">
        <f>verzamel!F9</f>
        <v>735</v>
      </c>
      <c r="H9" s="1">
        <f>('311 cov wlz'!D9+'312 cov nwlz'!D9)*1.07</f>
        <v>140.17000000000002</v>
      </c>
      <c r="I9" s="6">
        <f t="shared" si="3"/>
        <v>0.22918615528531339</v>
      </c>
      <c r="J9" s="8">
        <f t="shared" si="0"/>
        <v>2.637151399040035</v>
      </c>
      <c r="K9" s="8">
        <f t="shared" ref="K9:K24" si="17">H9/(178*I9)</f>
        <v>3.4359488649392347</v>
      </c>
      <c r="L9" s="8">
        <f t="shared" si="12"/>
        <v>-0.79879746589919964</v>
      </c>
      <c r="M9" s="10">
        <f t="shared" si="13"/>
        <v>-32.587050970873804</v>
      </c>
      <c r="N9" s="6">
        <f t="shared" si="8"/>
        <v>-0.30290163325092923</v>
      </c>
      <c r="O9" s="6">
        <f t="shared" si="14"/>
        <v>-0.28782018302858903</v>
      </c>
      <c r="P9" s="10" cm="1">
        <f t="array" ref="P9">AVERAGE(E8:E10/178)</f>
        <v>0.49398377206563987</v>
      </c>
      <c r="Q9" s="8">
        <f t="shared" si="15"/>
        <v>2.7645283712459765</v>
      </c>
      <c r="R9" s="8">
        <f t="shared" si="16"/>
        <v>3.6004278642960941</v>
      </c>
      <c r="S9">
        <v>0</v>
      </c>
      <c r="T9" s="8">
        <f t="shared" si="11"/>
        <v>-0.1947131618803121</v>
      </c>
      <c r="U9" s="8">
        <f t="shared" si="6"/>
        <v>2.9531835205992509</v>
      </c>
      <c r="V9" s="10">
        <v>0.19513539325842705</v>
      </c>
      <c r="X9">
        <v>0.95</v>
      </c>
      <c r="Y9">
        <v>0.1</v>
      </c>
    </row>
    <row r="10" spans="1:25" x14ac:dyDescent="0.2">
      <c r="A10">
        <f t="shared" si="4"/>
        <v>9</v>
      </c>
      <c r="B10" s="2">
        <f t="shared" si="5"/>
        <v>44256</v>
      </c>
      <c r="C10" s="1">
        <f>verzamel!E10</f>
        <v>3105</v>
      </c>
      <c r="D10" s="1">
        <v>3178.37894253184</v>
      </c>
      <c r="E10" s="1">
        <f t="shared" si="2"/>
        <v>-73.378942531840039</v>
      </c>
      <c r="F10">
        <f>Corona!E10</f>
        <v>423</v>
      </c>
      <c r="G10">
        <f>verzamel!F10</f>
        <v>777</v>
      </c>
      <c r="H10" s="1">
        <f>('311 cov wlz'!D10+'312 cov nwlz'!D10)*1.07</f>
        <v>114.49000000000001</v>
      </c>
      <c r="I10" s="6">
        <f t="shared" si="3"/>
        <v>0.25024154589371983</v>
      </c>
      <c r="J10" s="8">
        <f t="shared" si="0"/>
        <v>2.3116808322715166</v>
      </c>
      <c r="K10" s="8">
        <f t="shared" si="17"/>
        <v>2.5703255824042337</v>
      </c>
      <c r="L10" s="8">
        <f t="shared" si="12"/>
        <v>-0.25864475013271715</v>
      </c>
      <c r="M10" s="10">
        <f t="shared" si="13"/>
        <v>-11.520811855670074</v>
      </c>
      <c r="N10" s="6">
        <f t="shared" si="8"/>
        <v>-0.11188601234304747</v>
      </c>
      <c r="O10" s="6">
        <f t="shared" si="14"/>
        <v>-9.804702814789848E-2</v>
      </c>
      <c r="P10" s="10" cm="1">
        <f t="array" ref="P10">AVERAGE(E9:E11/178)</f>
        <v>4.6307211162163152E-2</v>
      </c>
      <c r="Q10" s="8">
        <f t="shared" si="15"/>
        <v>2.3992283923941975</v>
      </c>
      <c r="R10" s="8">
        <f t="shared" si="16"/>
        <v>2.6508963927957883</v>
      </c>
      <c r="S10">
        <v>0</v>
      </c>
      <c r="T10" s="8">
        <f t="shared" si="11"/>
        <v>-6.4054298789685993E-2</v>
      </c>
      <c r="U10" s="8">
        <f t="shared" si="6"/>
        <v>2.4531835205992509</v>
      </c>
      <c r="V10" s="10">
        <v>0.18001432584269683</v>
      </c>
      <c r="X10">
        <v>0.95</v>
      </c>
      <c r="Y10">
        <v>0.1</v>
      </c>
    </row>
    <row r="11" spans="1:25" x14ac:dyDescent="0.2">
      <c r="A11">
        <f t="shared" si="4"/>
        <v>10</v>
      </c>
      <c r="B11" s="2">
        <f t="shared" si="5"/>
        <v>44263</v>
      </c>
      <c r="C11" s="1">
        <f>verzamel!E11</f>
        <v>3245</v>
      </c>
      <c r="D11" s="1">
        <v>3160.7948897844562</v>
      </c>
      <c r="E11" s="1">
        <f t="shared" si="2"/>
        <v>84.205110215543755</v>
      </c>
      <c r="F11">
        <f>Corona!E11</f>
        <v>385</v>
      </c>
      <c r="G11">
        <f>verzamel!F11</f>
        <v>922</v>
      </c>
      <c r="H11" s="1">
        <f>('311 cov wlz'!D11+'312 cov nwlz'!D11)*1.07</f>
        <v>98.440000000000012</v>
      </c>
      <c r="I11" s="6">
        <f t="shared" si="3"/>
        <v>0.28412942989214174</v>
      </c>
      <c r="J11" s="8">
        <f t="shared" si="0"/>
        <v>2.2488529458710405</v>
      </c>
      <c r="K11" s="8">
        <f t="shared" si="17"/>
        <v>1.9464147310438962</v>
      </c>
      <c r="L11" s="8">
        <f t="shared" si="12"/>
        <v>0.30243821482714428</v>
      </c>
      <c r="M11" s="10">
        <f t="shared" si="13"/>
        <v>15.29582436504518</v>
      </c>
      <c r="N11" s="6">
        <f t="shared" si="8"/>
        <v>0.13448554534543028</v>
      </c>
      <c r="O11" s="6">
        <f t="shared" si="14"/>
        <v>0.1406132162378006</v>
      </c>
      <c r="P11" s="10" cm="1">
        <f t="array" ref="P11">AVERAGE(E10:E12/178)</f>
        <v>-0.16250637000551535</v>
      </c>
      <c r="Q11" s="8">
        <f t="shared" si="15"/>
        <v>2.2667764708424958</v>
      </c>
      <c r="R11" s="8">
        <f t="shared" si="16"/>
        <v>1.9495316496928357</v>
      </c>
      <c r="S11">
        <v>0</v>
      </c>
      <c r="T11" s="8">
        <f t="shared" si="11"/>
        <v>8.7055220503052755E-2</v>
      </c>
      <c r="U11" s="8">
        <f t="shared" si="6"/>
        <v>2.1722846441947565</v>
      </c>
      <c r="V11" s="10">
        <v>0.14680346734550606</v>
      </c>
      <c r="X11">
        <v>0.95</v>
      </c>
      <c r="Y11">
        <v>0.1</v>
      </c>
    </row>
    <row r="12" spans="1:25" x14ac:dyDescent="0.2">
      <c r="A12">
        <f t="shared" si="4"/>
        <v>11</v>
      </c>
      <c r="B12" s="2">
        <f t="shared" si="5"/>
        <v>44270</v>
      </c>
      <c r="C12" s="1">
        <f>verzamel!E12</f>
        <v>3043</v>
      </c>
      <c r="D12" s="1">
        <v>3140.6045692666489</v>
      </c>
      <c r="E12" s="1">
        <f t="shared" si="2"/>
        <v>-97.604569266648923</v>
      </c>
      <c r="F12">
        <f>Corona!E12</f>
        <v>352</v>
      </c>
      <c r="G12">
        <f>verzamel!F12</f>
        <v>879</v>
      </c>
      <c r="H12" s="1">
        <f>('311 cov wlz'!D12+'312 cov nwlz'!D12)*1.07</f>
        <v>68.48</v>
      </c>
      <c r="I12" s="6">
        <f t="shared" si="3"/>
        <v>0.28885967794939205</v>
      </c>
      <c r="J12" s="8">
        <f t="shared" si="0"/>
        <v>2.2397956343849299</v>
      </c>
      <c r="K12" s="8">
        <f t="shared" si="17"/>
        <v>1.3318546356303769</v>
      </c>
      <c r="L12" s="8">
        <f t="shared" si="12"/>
        <v>0.90794099875455303</v>
      </c>
      <c r="M12" s="10">
        <f t="shared" si="13"/>
        <v>46.683622920517543</v>
      </c>
      <c r="N12" s="6">
        <f t="shared" si="8"/>
        <v>0.40536778660338924</v>
      </c>
      <c r="O12" s="6">
        <f t="shared" si="14"/>
        <v>0.31469813745975989</v>
      </c>
      <c r="P12" s="10" cm="1">
        <f t="array" ref="P12">AVERAGE(E11:E13/178)</f>
        <v>-0.16386533330282207</v>
      </c>
      <c r="Q12" s="8">
        <f t="shared" si="15"/>
        <v>2.1912923672671236</v>
      </c>
      <c r="R12" s="8">
        <f t="shared" si="16"/>
        <v>1.5698765987195198</v>
      </c>
      <c r="S12">
        <v>0</v>
      </c>
      <c r="T12" s="8">
        <f t="shared" si="11"/>
        <v>0.18306171200638577</v>
      </c>
      <c r="U12" s="8">
        <f t="shared" si="6"/>
        <v>2.0074906367041199</v>
      </c>
      <c r="V12" s="10">
        <v>0.1331456899578653</v>
      </c>
      <c r="X12">
        <v>0.95</v>
      </c>
      <c r="Y12">
        <v>0.1</v>
      </c>
    </row>
    <row r="13" spans="1:25" x14ac:dyDescent="0.2">
      <c r="A13">
        <f t="shared" si="4"/>
        <v>12</v>
      </c>
      <c r="B13" s="2">
        <f t="shared" si="5"/>
        <v>44277</v>
      </c>
      <c r="C13" s="1">
        <f>verzamel!E13</f>
        <v>3044</v>
      </c>
      <c r="D13" s="1">
        <v>3118.1046289326018</v>
      </c>
      <c r="E13" s="1">
        <f t="shared" si="2"/>
        <v>-74.104628932601827</v>
      </c>
      <c r="F13">
        <f>Corona!E13</f>
        <v>335</v>
      </c>
      <c r="G13">
        <f>verzamel!F13</f>
        <v>946</v>
      </c>
      <c r="H13" s="1">
        <f>('311 cov wlz'!D13+'312 cov nwlz'!D13)*1.07</f>
        <v>79.180000000000007</v>
      </c>
      <c r="I13" s="6">
        <f t="shared" si="3"/>
        <v>0.31077529566360051</v>
      </c>
      <c r="J13" s="8">
        <f t="shared" si="0"/>
        <v>2.0852285215453992</v>
      </c>
      <c r="K13" s="8">
        <f t="shared" si="17"/>
        <v>1.4313604294842863</v>
      </c>
      <c r="L13" s="8">
        <f t="shared" si="12"/>
        <v>0.65386809206111285</v>
      </c>
      <c r="M13" s="10">
        <f t="shared" si="13"/>
        <v>36.170676835081032</v>
      </c>
      <c r="N13" s="6">
        <f t="shared" si="8"/>
        <v>0.31357143128683079</v>
      </c>
      <c r="O13" s="6">
        <f t="shared" si="14"/>
        <v>0.38492903956760705</v>
      </c>
      <c r="P13" s="10" cm="1">
        <f t="array" ref="P13">AVERAGE(E12:E14/178)</f>
        <v>-0.16354799746158588</v>
      </c>
      <c r="Q13" s="8">
        <f t="shared" si="15"/>
        <v>2.2611201923401052</v>
      </c>
      <c r="R13" s="8">
        <f t="shared" si="16"/>
        <v>1.3248899034076373</v>
      </c>
      <c r="S13">
        <v>0</v>
      </c>
      <c r="T13" s="8">
        <f t="shared" si="11"/>
        <v>0.28778622650866809</v>
      </c>
      <c r="U13" s="8">
        <f t="shared" si="6"/>
        <v>1.9719101123595506</v>
      </c>
      <c r="V13" s="10">
        <v>0.1795173806179767</v>
      </c>
      <c r="X13">
        <v>0.95</v>
      </c>
      <c r="Y13">
        <v>0.1</v>
      </c>
    </row>
    <row r="14" spans="1:25" x14ac:dyDescent="0.2">
      <c r="A14">
        <f t="shared" si="4"/>
        <v>13</v>
      </c>
      <c r="B14" s="2">
        <f t="shared" si="5"/>
        <v>44284</v>
      </c>
      <c r="C14" s="1">
        <f>verzamel!E14</f>
        <v>3178</v>
      </c>
      <c r="D14" s="1">
        <v>3093.6254324452361</v>
      </c>
      <c r="E14" s="1">
        <f t="shared" si="2"/>
        <v>84.374567554763871</v>
      </c>
      <c r="F14">
        <f>Corona!E14</f>
        <v>366</v>
      </c>
      <c r="G14">
        <f>verzamel!F14</f>
        <v>1025</v>
      </c>
      <c r="H14" s="1">
        <f>('311 cov wlz'!D14+'312 cov nwlz'!D14)*1.07</f>
        <v>69.55</v>
      </c>
      <c r="I14" s="6">
        <f t="shared" si="3"/>
        <v>0.32252989301447449</v>
      </c>
      <c r="J14" s="8">
        <f t="shared" si="0"/>
        <v>2.4583364210899865</v>
      </c>
      <c r="K14" s="8">
        <f t="shared" si="17"/>
        <v>1.2114546451082489</v>
      </c>
      <c r="L14" s="8">
        <f t="shared" si="12"/>
        <v>1.2468817759817377</v>
      </c>
      <c r="M14" s="10">
        <f t="shared" si="13"/>
        <v>71.583882954017625</v>
      </c>
      <c r="N14" s="6">
        <f t="shared" si="8"/>
        <v>0.50720550909337725</v>
      </c>
      <c r="O14" s="6">
        <f t="shared" si="14"/>
        <v>0.45840935386214515</v>
      </c>
      <c r="P14" s="10" cm="1">
        <f t="array" ref="P14">AVERAGE(E13:E15/178)</f>
        <v>0.19614923836193091</v>
      </c>
      <c r="Q14" s="8">
        <f t="shared" si="15"/>
        <v>2.2657224115681807</v>
      </c>
      <c r="R14" s="8">
        <f t="shared" si="16"/>
        <v>1.2522907254480968</v>
      </c>
      <c r="S14">
        <v>0</v>
      </c>
      <c r="T14" s="8">
        <f t="shared" si="11"/>
        <v>0.3324165977018671</v>
      </c>
      <c r="U14" s="8">
        <f t="shared" si="6"/>
        <v>1.9307116104868915</v>
      </c>
      <c r="V14" s="10">
        <v>0.26640535463483039</v>
      </c>
      <c r="X14">
        <v>0.95</v>
      </c>
      <c r="Y14">
        <v>0.1</v>
      </c>
    </row>
    <row r="15" spans="1:25" x14ac:dyDescent="0.2">
      <c r="A15">
        <f t="shared" si="4"/>
        <v>14</v>
      </c>
      <c r="B15" s="2">
        <f t="shared" si="5"/>
        <v>44291</v>
      </c>
      <c r="C15" s="1">
        <f>verzamel!E15</f>
        <v>3162</v>
      </c>
      <c r="D15" s="1">
        <v>3067.526245336891</v>
      </c>
      <c r="E15" s="1">
        <f t="shared" si="2"/>
        <v>94.473754663109048</v>
      </c>
      <c r="F15">
        <f>Corona!E15</f>
        <v>330</v>
      </c>
      <c r="G15">
        <f>verzamel!F15</f>
        <v>1109</v>
      </c>
      <c r="H15" s="1">
        <f>('311 cov wlz'!D15+'312 cov nwlz'!D15)*1.07</f>
        <v>69.55</v>
      </c>
      <c r="I15" s="6">
        <f t="shared" si="3"/>
        <v>0.35072738772928524</v>
      </c>
      <c r="J15" s="8">
        <f t="shared" si="0"/>
        <v>2.2536022920691559</v>
      </c>
      <c r="K15" s="8">
        <f t="shared" si="17"/>
        <v>1.1140571017517553</v>
      </c>
      <c r="L15" s="8">
        <f t="shared" si="12"/>
        <v>1.1395451903174005</v>
      </c>
      <c r="M15" s="10">
        <f t="shared" si="13"/>
        <v>71.141207988309759</v>
      </c>
      <c r="N15" s="6">
        <f t="shared" si="8"/>
        <v>0.50565496597499537</v>
      </c>
      <c r="O15" s="6">
        <f t="shared" si="14"/>
        <v>0.51270574547234427</v>
      </c>
      <c r="P15" s="10" cm="1">
        <f t="array" ref="P15">AVERAGE(E14:E16/178)</f>
        <v>0.51621408817121706</v>
      </c>
      <c r="Q15" s="8">
        <f t="shared" si="15"/>
        <v>2.3786346322112624</v>
      </c>
      <c r="R15" s="8">
        <f t="shared" si="16"/>
        <v>1.1530606614743049</v>
      </c>
      <c r="S15">
        <v>0</v>
      </c>
      <c r="T15" s="8">
        <f t="shared" si="11"/>
        <v>0.42884124961791376</v>
      </c>
      <c r="U15" s="8">
        <f t="shared" si="6"/>
        <v>1.949438202247191</v>
      </c>
      <c r="V15" s="10">
        <v>0.36556061709560611</v>
      </c>
      <c r="X15">
        <v>0.95</v>
      </c>
      <c r="Y15">
        <v>0.1</v>
      </c>
    </row>
    <row r="16" spans="1:25" x14ac:dyDescent="0.2">
      <c r="A16">
        <f t="shared" si="4"/>
        <v>15</v>
      </c>
      <c r="B16" s="2">
        <f t="shared" si="5"/>
        <v>44298</v>
      </c>
      <c r="C16" s="1">
        <f>verzamel!E16</f>
        <v>3137</v>
      </c>
      <c r="D16" s="1">
        <v>3040.189999134443</v>
      </c>
      <c r="E16" s="1">
        <f t="shared" si="2"/>
        <v>96.810000865556958</v>
      </c>
      <c r="F16">
        <f>Corona!E16</f>
        <v>345</v>
      </c>
      <c r="G16">
        <f>verzamel!F16</f>
        <v>1181</v>
      </c>
      <c r="H16" s="1">
        <f>('311 cov wlz'!D16+'312 cov nwlz'!D16)*1.07</f>
        <v>75.97</v>
      </c>
      <c r="I16" s="6">
        <f t="shared" si="3"/>
        <v>0.37647433854000639</v>
      </c>
      <c r="J16" s="8">
        <f t="shared" si="0"/>
        <v>2.4239651834746443</v>
      </c>
      <c r="K16" s="8">
        <f t="shared" si="17"/>
        <v>1.1336702375629106</v>
      </c>
      <c r="L16" s="8">
        <f t="shared" si="12"/>
        <v>1.2902949459117337</v>
      </c>
      <c r="M16" s="10">
        <f t="shared" si="13"/>
        <v>86.465802658486723</v>
      </c>
      <c r="N16" s="6">
        <f t="shared" si="8"/>
        <v>0.53230754084600929</v>
      </c>
      <c r="O16" s="6">
        <f t="shared" si="14"/>
        <v>0.54033161077849656</v>
      </c>
      <c r="P16" s="10" cm="1">
        <f t="array" ref="P16">AVERAGE(E15:E17/178)</f>
        <v>0.60536712691584504</v>
      </c>
      <c r="Q16" s="8">
        <f t="shared" si="15"/>
        <v>2.313999735443689</v>
      </c>
      <c r="R16" s="8">
        <f t="shared" si="16"/>
        <v>1.0579174045223541</v>
      </c>
      <c r="S16">
        <v>0</v>
      </c>
      <c r="T16" s="8">
        <f t="shared" si="11"/>
        <v>0.4838583388856178</v>
      </c>
      <c r="U16" s="8">
        <f t="shared" si="6"/>
        <v>1.8277153558052432</v>
      </c>
      <c r="V16" s="10">
        <v>0.45661150299168368</v>
      </c>
      <c r="X16">
        <v>0.95</v>
      </c>
      <c r="Y16">
        <v>0.1</v>
      </c>
    </row>
    <row r="17" spans="1:25" x14ac:dyDescent="0.2">
      <c r="A17">
        <f t="shared" si="4"/>
        <v>16</v>
      </c>
      <c r="B17" s="2">
        <f t="shared" si="5"/>
        <v>44305</v>
      </c>
      <c r="C17" s="1">
        <f>verzamel!E17</f>
        <v>3144</v>
      </c>
      <c r="D17" s="1">
        <v>3012.0177097556048</v>
      </c>
      <c r="E17" s="1">
        <f t="shared" si="2"/>
        <v>131.98229024439524</v>
      </c>
      <c r="F17">
        <f>Corona!E17</f>
        <v>301</v>
      </c>
      <c r="G17">
        <f>verzamel!F17</f>
        <v>1347</v>
      </c>
      <c r="H17" s="1">
        <f>('311 cov wlz'!D17+'312 cov nwlz'!D17)*1.07</f>
        <v>70.62</v>
      </c>
      <c r="I17" s="6">
        <f t="shared" si="3"/>
        <v>0.42843511450381677</v>
      </c>
      <c r="J17" s="8">
        <f t="shared" si="0"/>
        <v>2.2644317307872668</v>
      </c>
      <c r="K17" s="8">
        <f t="shared" si="17"/>
        <v>0.92602487425239621</v>
      </c>
      <c r="L17" s="8">
        <f t="shared" si="12"/>
        <v>1.3384068565348706</v>
      </c>
      <c r="M17" s="10">
        <f t="shared" si="13"/>
        <v>102.06884808013351</v>
      </c>
      <c r="N17" s="6">
        <f t="shared" si="8"/>
        <v>0.5910563954469723</v>
      </c>
      <c r="O17" s="6">
        <f t="shared" si="14"/>
        <v>0.57277027975609451</v>
      </c>
      <c r="P17" s="10" cm="1">
        <f t="array" ref="P17">AVERAGE(E16:E18/178)</f>
        <v>0.68983082317643329</v>
      </c>
      <c r="Q17" s="8">
        <f t="shared" si="15"/>
        <v>2.376660237652219</v>
      </c>
      <c r="R17" s="8">
        <f t="shared" si="16"/>
        <v>1.0311044249779484</v>
      </c>
      <c r="S17">
        <v>0</v>
      </c>
      <c r="T17" s="8">
        <f t="shared" si="11"/>
        <v>0.56969362775541432</v>
      </c>
      <c r="U17" s="8">
        <f t="shared" si="6"/>
        <v>1.8052434456928839</v>
      </c>
      <c r="V17" s="10">
        <v>0.47148643099286747</v>
      </c>
      <c r="X17">
        <v>0.95</v>
      </c>
      <c r="Y17">
        <v>0.1</v>
      </c>
    </row>
    <row r="18" spans="1:25" x14ac:dyDescent="0.2">
      <c r="A18">
        <f t="shared" si="4"/>
        <v>17</v>
      </c>
      <c r="B18" s="2">
        <f t="shared" si="5"/>
        <v>44312</v>
      </c>
      <c r="C18" s="1">
        <f>verzamel!E18</f>
        <v>3123</v>
      </c>
      <c r="D18" s="1">
        <v>2983.4226315337369</v>
      </c>
      <c r="E18" s="1">
        <f t="shared" si="2"/>
        <v>139.57736846626312</v>
      </c>
      <c r="F18">
        <f>Corona!E18</f>
        <v>318</v>
      </c>
      <c r="G18">
        <f>verzamel!F18</f>
        <v>1453</v>
      </c>
      <c r="H18" s="1">
        <f>('311 cov wlz'!D18+'312 cov nwlz'!D18)*1.07</f>
        <v>85.600000000000009</v>
      </c>
      <c r="I18" s="6">
        <f t="shared" si="3"/>
        <v>0.46525776496958055</v>
      </c>
      <c r="J18" s="8">
        <f t="shared" si="0"/>
        <v>2.4415837986947455</v>
      </c>
      <c r="K18" s="8">
        <f t="shared" si="17"/>
        <v>1.0336181631185384</v>
      </c>
      <c r="L18" s="8">
        <f t="shared" si="12"/>
        <v>1.4079656355762071</v>
      </c>
      <c r="M18" s="10">
        <f t="shared" si="13"/>
        <v>116.60191616766467</v>
      </c>
      <c r="N18" s="6">
        <f>(J18-K18)/J18</f>
        <v>0.57666078728442427</v>
      </c>
      <c r="O18" s="6">
        <f t="shared" si="14"/>
        <v>0.56944071412331554</v>
      </c>
      <c r="P18" s="10" cm="1">
        <f t="array" ref="P18">AVERAGE(E17:E19/178)</f>
        <v>0.59313750302876356</v>
      </c>
      <c r="Q18" s="8">
        <f t="shared" si="15"/>
        <v>2.293742067879772</v>
      </c>
      <c r="R18" s="8">
        <f t="shared" si="16"/>
        <v>0.99154307100944206</v>
      </c>
      <c r="S18">
        <v>0</v>
      </c>
      <c r="T18" s="8">
        <f t="shared" si="11"/>
        <v>0.60900644229990075</v>
      </c>
      <c r="U18" s="8">
        <f t="shared" si="6"/>
        <v>1.687265917602996</v>
      </c>
      <c r="V18" s="10">
        <v>0.4611944965658325</v>
      </c>
      <c r="X18">
        <v>0.95</v>
      </c>
      <c r="Y18">
        <v>0.1</v>
      </c>
    </row>
    <row r="19" spans="1:25" x14ac:dyDescent="0.2">
      <c r="A19">
        <f t="shared" si="4"/>
        <v>18</v>
      </c>
      <c r="B19" s="2">
        <f t="shared" si="5"/>
        <v>44319</v>
      </c>
      <c r="C19" s="1">
        <f>verzamel!E19</f>
        <v>3000</v>
      </c>
      <c r="D19" s="1">
        <v>2954.8242320932986</v>
      </c>
      <c r="E19" s="1">
        <f t="shared" si="2"/>
        <v>45.175767906701367</v>
      </c>
      <c r="F19">
        <f>Corona!E19</f>
        <v>282</v>
      </c>
      <c r="G19">
        <f>verzamel!F19</f>
        <v>1528</v>
      </c>
      <c r="H19" s="1">
        <f>('311 cov wlz'!D19+'312 cov nwlz'!D19)*1.07</f>
        <v>92.02000000000001</v>
      </c>
      <c r="I19" s="6">
        <f t="shared" si="3"/>
        <v>0.5093333333333333</v>
      </c>
      <c r="J19" s="8">
        <f t="shared" si="0"/>
        <v>2.1752106741573032</v>
      </c>
      <c r="K19" s="8">
        <f t="shared" si="17"/>
        <v>1.0149861756573917</v>
      </c>
      <c r="L19" s="8">
        <f t="shared" si="12"/>
        <v>1.1602244984999115</v>
      </c>
      <c r="M19" s="10">
        <f t="shared" si="13"/>
        <v>105.18749999999997</v>
      </c>
      <c r="N19" s="6">
        <f t="shared" si="8"/>
        <v>0.5333848864774412</v>
      </c>
      <c r="O19" s="6">
        <f t="shared" si="14"/>
        <v>0.52234241520475821</v>
      </c>
      <c r="P19" s="10" cm="1">
        <f t="array" ref="P19">AVERAGE(E18:E20/178)</f>
        <v>0.51144393343168826</v>
      </c>
      <c r="Q19" s="8">
        <f t="shared" si="15"/>
        <v>2.1391330053620163</v>
      </c>
      <c r="R19" s="8">
        <f t="shared" si="16"/>
        <v>1.0154163038334638</v>
      </c>
      <c r="S19">
        <v>0</v>
      </c>
      <c r="T19" s="8">
        <f t="shared" si="11"/>
        <v>0.56818100103771851</v>
      </c>
      <c r="U19" s="8">
        <f t="shared" si="6"/>
        <v>1.5786516853932584</v>
      </c>
      <c r="V19" s="10">
        <v>0.51386724565621045</v>
      </c>
      <c r="X19">
        <v>0.95</v>
      </c>
      <c r="Y19">
        <v>0.1</v>
      </c>
    </row>
    <row r="20" spans="1:25" x14ac:dyDescent="0.2">
      <c r="A20">
        <f t="shared" si="4"/>
        <v>19</v>
      </c>
      <c r="B20" s="2">
        <f t="shared" si="5"/>
        <v>44326</v>
      </c>
      <c r="C20" s="1">
        <f>verzamel!E20</f>
        <v>3015</v>
      </c>
      <c r="D20" s="1">
        <v>2926.6420759204429</v>
      </c>
      <c r="E20" s="1">
        <f t="shared" si="2"/>
        <v>88.357924079557051</v>
      </c>
      <c r="F20">
        <f>Corona!E20</f>
        <v>243</v>
      </c>
      <c r="G20">
        <f>verzamel!F20</f>
        <v>1635</v>
      </c>
      <c r="H20" s="1">
        <f>('311 cov wlz'!D20+'312 cov nwlz'!D20)*1.07</f>
        <v>96.300000000000011</v>
      </c>
      <c r="I20" s="6">
        <f t="shared" si="3"/>
        <v>0.54228855721393032</v>
      </c>
      <c r="J20" s="8">
        <f t="shared" si="0"/>
        <v>1.800604543234001</v>
      </c>
      <c r="K20" s="8">
        <f t="shared" si="17"/>
        <v>0.9976445727244615</v>
      </c>
      <c r="L20" s="8">
        <f t="shared" si="12"/>
        <v>0.80295997050953949</v>
      </c>
      <c r="M20" s="10">
        <f t="shared" si="13"/>
        <v>77.507608695652166</v>
      </c>
      <c r="N20" s="6">
        <f t="shared" si="8"/>
        <v>0.44593910057972641</v>
      </c>
      <c r="O20" s="6">
        <f t="shared" si="14"/>
        <v>0.48030092121959472</v>
      </c>
      <c r="P20" s="10" cm="1">
        <f t="array" ref="P20">AVERAGE(E19:E21/178)</f>
        <v>0.41618724002124985</v>
      </c>
      <c r="Q20" s="8">
        <f t="shared" si="15"/>
        <v>1.826965859344245</v>
      </c>
      <c r="R20" s="8">
        <f t="shared" si="16"/>
        <v>0.92376055472971619</v>
      </c>
      <c r="S20">
        <v>0</v>
      </c>
      <c r="T20" s="8">
        <f t="shared" si="11"/>
        <v>0.49314024297388498</v>
      </c>
      <c r="U20" s="8">
        <f t="shared" si="6"/>
        <v>1.3389513108614233</v>
      </c>
      <c r="V20" s="10">
        <v>0.61367216736346464</v>
      </c>
      <c r="X20">
        <v>0.95</v>
      </c>
      <c r="Y20">
        <v>0.1</v>
      </c>
    </row>
    <row r="21" spans="1:25" x14ac:dyDescent="0.2">
      <c r="A21">
        <f t="shared" si="4"/>
        <v>20</v>
      </c>
      <c r="B21" s="2">
        <f t="shared" si="5"/>
        <v>44333</v>
      </c>
      <c r="C21" s="1">
        <f>verzamel!E21</f>
        <v>2988</v>
      </c>
      <c r="D21" s="1">
        <v>2899.289705814911</v>
      </c>
      <c r="E21" s="1">
        <f t="shared" si="2"/>
        <v>88.710294185088969</v>
      </c>
      <c r="F21">
        <f>Corona!E21</f>
        <v>190</v>
      </c>
      <c r="G21">
        <f>verzamel!F21</f>
        <v>1752</v>
      </c>
      <c r="H21" s="1">
        <f>('311 cov wlz'!D21+'312 cov nwlz'!D21)*1.07</f>
        <v>79.180000000000007</v>
      </c>
      <c r="I21" s="6">
        <f t="shared" si="3"/>
        <v>0.58634538152610438</v>
      </c>
      <c r="J21" s="8">
        <f t="shared" si="0"/>
        <v>1.505082360641431</v>
      </c>
      <c r="K21" s="8">
        <f t="shared" si="17"/>
        <v>0.75865091580729571</v>
      </c>
      <c r="L21" s="8">
        <f t="shared" si="12"/>
        <v>0.74643144483413526</v>
      </c>
      <c r="M21" s="10">
        <f t="shared" si="13"/>
        <v>77.904660194174724</v>
      </c>
      <c r="N21" s="6">
        <f t="shared" si="8"/>
        <v>0.49594059724148493</v>
      </c>
      <c r="O21" s="6">
        <f t="shared" si="14"/>
        <v>0.53933009882953686</v>
      </c>
      <c r="P21" s="10" cm="1">
        <f t="array" ref="P21">AVERAGE(E20:E22/178)</f>
        <v>0.20580450714240639</v>
      </c>
      <c r="Q21" s="8">
        <f t="shared" si="15"/>
        <v>1.4920024062597508</v>
      </c>
      <c r="R21" s="8">
        <f t="shared" si="16"/>
        <v>0.69485673984376251</v>
      </c>
      <c r="S21">
        <v>0</v>
      </c>
      <c r="T21" s="8">
        <f t="shared" si="11"/>
        <v>0.46532803780122428</v>
      </c>
      <c r="U21" s="8">
        <f t="shared" si="6"/>
        <v>1.0262172284644193</v>
      </c>
      <c r="V21" s="10">
        <v>0.67750618858527001</v>
      </c>
      <c r="X21">
        <v>0.95</v>
      </c>
      <c r="Y21">
        <v>0.1</v>
      </c>
    </row>
    <row r="22" spans="1:25" x14ac:dyDescent="0.2">
      <c r="A22">
        <f t="shared" si="4"/>
        <v>21</v>
      </c>
      <c r="B22" s="2">
        <f t="shared" si="5"/>
        <v>44340</v>
      </c>
      <c r="C22" s="1">
        <f>verzamel!E22</f>
        <v>2806</v>
      </c>
      <c r="D22" s="1">
        <v>2873.168611450601</v>
      </c>
      <c r="E22" s="1">
        <f t="shared" si="2"/>
        <v>-67.16861145060102</v>
      </c>
      <c r="F22">
        <f>Corona!E22</f>
        <v>115</v>
      </c>
      <c r="G22">
        <f>verzamel!F22</f>
        <v>1747</v>
      </c>
      <c r="H22" s="1">
        <f>('311 cov wlz'!D22+'312 cov nwlz'!D22)*1.07</f>
        <v>36.380000000000003</v>
      </c>
      <c r="I22" s="6">
        <f t="shared" si="3"/>
        <v>0.62259444048467572</v>
      </c>
      <c r="J22" s="8">
        <f t="shared" si="0"/>
        <v>1.1703203149038208</v>
      </c>
      <c r="K22" s="8">
        <f t="shared" si="17"/>
        <v>0.32827473099953053</v>
      </c>
      <c r="L22" s="8">
        <f t="shared" si="12"/>
        <v>0.8420455839042903</v>
      </c>
      <c r="M22" s="10">
        <f t="shared" si="13"/>
        <v>93.317016052880106</v>
      </c>
      <c r="N22" s="6">
        <f t="shared" si="8"/>
        <v>0.71950010025545119</v>
      </c>
      <c r="O22" s="6">
        <f t="shared" si="14"/>
        <v>0.61171586803127087</v>
      </c>
      <c r="P22" s="10" cm="1">
        <f t="array" ref="P22">AVERAGE(E21:E23/178)</f>
        <v>0.34059795828155287</v>
      </c>
      <c r="Q22" s="8">
        <f t="shared" si="15"/>
        <v>1.2162129786611759</v>
      </c>
      <c r="R22" s="8">
        <f t="shared" si="16"/>
        <v>0.52064673266835271</v>
      </c>
      <c r="S22">
        <v>0</v>
      </c>
      <c r="T22" s="8">
        <f t="shared" si="11"/>
        <v>0.42993806693281489</v>
      </c>
      <c r="U22" s="8">
        <f t="shared" si="6"/>
        <v>0.78838951310861427</v>
      </c>
      <c r="V22" s="10">
        <v>0.68472813733316817</v>
      </c>
      <c r="X22">
        <v>0.95</v>
      </c>
      <c r="Y22">
        <v>0.1</v>
      </c>
    </row>
    <row r="23" spans="1:25" x14ac:dyDescent="0.2">
      <c r="A23">
        <f t="shared" si="4"/>
        <v>22</v>
      </c>
      <c r="B23" s="2">
        <f t="shared" si="5"/>
        <v>44347</v>
      </c>
      <c r="C23" s="1">
        <f>verzamel!E23</f>
        <v>3009</v>
      </c>
      <c r="D23" s="1">
        <v>2848.6623730121387</v>
      </c>
      <c r="E23" s="1">
        <f t="shared" si="2"/>
        <v>160.33762698786131</v>
      </c>
      <c r="F23">
        <f>Corona!E23</f>
        <v>116</v>
      </c>
      <c r="G23">
        <f>verzamel!F23</f>
        <v>1942</v>
      </c>
      <c r="H23" s="1">
        <f>('311 cov wlz'!D23+'312 cov nwlz'!D23)*1.07</f>
        <v>54.57</v>
      </c>
      <c r="I23" s="6">
        <f t="shared" si="3"/>
        <v>0.64539714190761055</v>
      </c>
      <c r="J23" s="8">
        <f t="shared" si="0"/>
        <v>0.97323626043827616</v>
      </c>
      <c r="K23" s="8">
        <f t="shared" si="17"/>
        <v>0.47501455119823183</v>
      </c>
      <c r="L23" s="8">
        <f t="shared" si="12"/>
        <v>0.49822170924004433</v>
      </c>
      <c r="M23" s="10">
        <f t="shared" si="13"/>
        <v>57.236054358013149</v>
      </c>
      <c r="N23" s="6">
        <f t="shared" si="8"/>
        <v>0.51192267437269634</v>
      </c>
      <c r="O23" s="6">
        <f t="shared" si="14"/>
        <v>0.59126155396233449</v>
      </c>
      <c r="P23" s="10" cm="1">
        <f t="array" ref="P23">AVERAGE(E22:E24/178)</f>
        <v>0.28096994420498511</v>
      </c>
      <c r="Q23" s="8">
        <f t="shared" si="15"/>
        <v>0.92327937668723103</v>
      </c>
      <c r="R23" s="8">
        <f t="shared" si="16"/>
        <v>0.3467370380283728</v>
      </c>
      <c r="S23">
        <v>0</v>
      </c>
      <c r="T23" s="8">
        <f t="shared" si="11"/>
        <v>0.37533711046448187</v>
      </c>
      <c r="U23" s="8">
        <f t="shared" si="6"/>
        <v>0.55243445692883897</v>
      </c>
      <c r="V23" s="10">
        <v>0.73131816524627946</v>
      </c>
      <c r="X23">
        <v>0.95</v>
      </c>
      <c r="Y23">
        <v>0.1</v>
      </c>
    </row>
    <row r="24" spans="1:25" x14ac:dyDescent="0.2">
      <c r="A24">
        <f t="shared" si="4"/>
        <v>23</v>
      </c>
      <c r="B24" s="2">
        <f t="shared" si="5"/>
        <v>44354</v>
      </c>
      <c r="C24" s="1">
        <f>verzamel!E24</f>
        <v>2883</v>
      </c>
      <c r="D24" s="1">
        <v>2826.1310653317983</v>
      </c>
      <c r="E24" s="1">
        <f t="shared" si="2"/>
        <v>56.868934668201746</v>
      </c>
      <c r="F24">
        <f>Corona!E24</f>
        <v>64</v>
      </c>
      <c r="G24">
        <f>verzamel!F24</f>
        <v>1975</v>
      </c>
      <c r="H24" s="1">
        <f>('311 cov wlz'!D24+'312 cov nwlz'!D24)*1.07</f>
        <v>28.89</v>
      </c>
      <c r="I24" s="6">
        <f t="shared" si="3"/>
        <v>0.68505029483177249</v>
      </c>
      <c r="J24" s="8">
        <f t="shared" si="0"/>
        <v>0.62628155471959612</v>
      </c>
      <c r="K24" s="8">
        <f t="shared" si="17"/>
        <v>0.23692183188735599</v>
      </c>
      <c r="L24" s="8">
        <f t="shared" si="12"/>
        <v>0.38935972283224013</v>
      </c>
      <c r="M24" s="10">
        <f t="shared" si="13"/>
        <v>47.478116740088112</v>
      </c>
      <c r="N24" s="6">
        <f t="shared" si="8"/>
        <v>0.62170076684849429</v>
      </c>
      <c r="O24" s="6">
        <f t="shared" si="14"/>
        <v>0.66102617366932481</v>
      </c>
      <c r="P24" s="10" cm="1">
        <f t="array" ref="P24">AVERAGE(E23:E25/178)</f>
        <v>0.52490741103748695</v>
      </c>
      <c r="Q24" s="8">
        <f t="shared" si="15"/>
        <v>0.78880207942571445</v>
      </c>
      <c r="R24" s="8">
        <f t="shared" si="16"/>
        <v>0.26574311344372242</v>
      </c>
      <c r="S24">
        <v>0</v>
      </c>
      <c r="T24" s="8">
        <f t="shared" si="11"/>
        <v>0.35484714633970676</v>
      </c>
      <c r="U24" s="8">
        <f t="shared" si="6"/>
        <v>0.43258426966292135</v>
      </c>
      <c r="V24" s="10">
        <v>0.77253548093033886</v>
      </c>
      <c r="X24">
        <v>0.95</v>
      </c>
      <c r="Y24">
        <v>0.1</v>
      </c>
    </row>
    <row r="25" spans="1:25" x14ac:dyDescent="0.2">
      <c r="A25">
        <f t="shared" si="4"/>
        <v>24</v>
      </c>
      <c r="B25" s="2">
        <f t="shared" si="5"/>
        <v>44361</v>
      </c>
      <c r="C25" s="1">
        <f>verzamel!E25</f>
        <v>2869</v>
      </c>
      <c r="D25" s="1">
        <v>2805.9060041620451</v>
      </c>
      <c r="E25" s="1">
        <f t="shared" si="2"/>
        <v>63.093995837954935</v>
      </c>
      <c r="F25">
        <f>Corona!E25</f>
        <v>51</v>
      </c>
      <c r="G25">
        <f>verzamel!F25</f>
        <v>2022</v>
      </c>
      <c r="H25" s="1">
        <f>('311 cov wlz'!D25+'312 cov nwlz'!D25)*1.07</f>
        <v>10.700000000000001</v>
      </c>
      <c r="I25" s="6">
        <f t="shared" si="3"/>
        <v>0.70477518299058906</v>
      </c>
      <c r="J25" s="8">
        <f t="shared" ref="J25:J88" si="18">(F25-H25)/(178*(1-I25))</f>
        <v>0.76688842311927086</v>
      </c>
      <c r="K25" s="8">
        <f t="shared" ref="K25:K88" si="19">H25/(178*I25)</f>
        <v>8.5292957245579532E-2</v>
      </c>
      <c r="L25" s="8">
        <f t="shared" si="12"/>
        <v>0.68159546587369135</v>
      </c>
      <c r="M25" s="10">
        <f t="shared" si="13"/>
        <v>85.506139315230214</v>
      </c>
      <c r="N25" s="6">
        <f t="shared" si="8"/>
        <v>0.888780486607614</v>
      </c>
      <c r="O25" s="6">
        <f t="shared" si="14"/>
        <v>0.77732005113362668</v>
      </c>
      <c r="P25" s="10" cm="1">
        <f t="array" ref="P25">AVERAGE(E24:E26/178)</f>
        <v>8.7603357062553764E-3</v>
      </c>
      <c r="Q25" s="8">
        <f t="shared" si="15"/>
        <v>0.56401340291052326</v>
      </c>
      <c r="R25" s="8">
        <f t="shared" si="16"/>
        <v>0.13629387920372424</v>
      </c>
      <c r="S25">
        <v>0</v>
      </c>
      <c r="T25" s="8">
        <f t="shared" si="11"/>
        <v>0.29704096838641725</v>
      </c>
      <c r="U25" s="8">
        <f t="shared" si="6"/>
        <v>0.26591760299625472</v>
      </c>
      <c r="V25" s="10">
        <v>0.67106222839741936</v>
      </c>
      <c r="X25">
        <v>0.95</v>
      </c>
      <c r="Y25">
        <v>0.1</v>
      </c>
    </row>
    <row r="26" spans="1:25" x14ac:dyDescent="0.2">
      <c r="A26">
        <f t="shared" si="4"/>
        <v>25</v>
      </c>
      <c r="B26" s="2">
        <f t="shared" si="5"/>
        <v>44368</v>
      </c>
      <c r="C26" s="1">
        <f>verzamel!E26</f>
        <v>2673</v>
      </c>
      <c r="D26" s="1">
        <v>2788.2849112390163</v>
      </c>
      <c r="E26" s="1">
        <f t="shared" si="2"/>
        <v>-115.28491123901631</v>
      </c>
      <c r="F26">
        <f>Corona!E26</f>
        <v>27</v>
      </c>
      <c r="G26">
        <f>verzamel!F26</f>
        <v>1854</v>
      </c>
      <c r="H26" s="1">
        <f>('311 cov wlz'!D26+'312 cov nwlz'!D26)*1.07</f>
        <v>10.700000000000001</v>
      </c>
      <c r="I26" s="6">
        <f t="shared" si="3"/>
        <v>0.69360269360269355</v>
      </c>
      <c r="J26" s="8">
        <f t="shared" si="18"/>
        <v>0.2988702308927027</v>
      </c>
      <c r="K26" s="8">
        <f t="shared" si="19"/>
        <v>8.6666848478237177E-2</v>
      </c>
      <c r="L26" s="8">
        <f t="shared" si="12"/>
        <v>0.21220338241446551</v>
      </c>
      <c r="M26" s="10">
        <f t="shared" si="13"/>
        <v>26.198901098901079</v>
      </c>
      <c r="N26" s="6">
        <f t="shared" si="8"/>
        <v>0.71001846447078421</v>
      </c>
      <c r="O26" s="6">
        <f t="shared" si="14"/>
        <v>0.67772095109206332</v>
      </c>
      <c r="P26" s="10" cm="1">
        <f t="array" ref="P26">AVERAGE(E25:E27/178)</f>
        <v>-5.9397910289957945E-2</v>
      </c>
      <c r="Q26" s="8">
        <f t="shared" si="15"/>
        <v>0.41583987386410243</v>
      </c>
      <c r="R26" s="8">
        <f t="shared" si="16"/>
        <v>9.3546932480288433E-2</v>
      </c>
      <c r="S26">
        <v>0</v>
      </c>
      <c r="T26" s="8">
        <f t="shared" si="11"/>
        <v>0.22747636465798679</v>
      </c>
      <c r="U26" s="8">
        <f t="shared" si="6"/>
        <v>0.18913857677902621</v>
      </c>
      <c r="V26" s="10">
        <v>0.50545271476887776</v>
      </c>
      <c r="X26">
        <v>0.95</v>
      </c>
      <c r="Y26">
        <v>0.1</v>
      </c>
    </row>
    <row r="27" spans="1:25" x14ac:dyDescent="0.2">
      <c r="A27">
        <f t="shared" si="4"/>
        <v>26</v>
      </c>
      <c r="B27" s="2">
        <f t="shared" si="5"/>
        <v>44375</v>
      </c>
      <c r="C27" s="1">
        <f>verzamel!E27</f>
        <v>2794</v>
      </c>
      <c r="D27" s="1">
        <v>2773.5275686937762</v>
      </c>
      <c r="E27" s="1">
        <f t="shared" si="2"/>
        <v>20.472431306223825</v>
      </c>
      <c r="F27">
        <f>Corona!E27</f>
        <v>23</v>
      </c>
      <c r="G27">
        <f>verzamel!F27</f>
        <v>2009</v>
      </c>
      <c r="H27" s="1">
        <f>('311 cov wlz'!D27+'312 cov nwlz'!D27)*1.07</f>
        <v>13.91</v>
      </c>
      <c r="I27" s="6">
        <f t="shared" si="3"/>
        <v>0.71904080171796703</v>
      </c>
      <c r="J27" s="8">
        <f t="shared" si="18"/>
        <v>0.18176096758033347</v>
      </c>
      <c r="K27" s="8">
        <f t="shared" si="19"/>
        <v>0.10868099171704858</v>
      </c>
      <c r="L27" s="8">
        <f t="shared" si="12"/>
        <v>7.3079975863284893E-2</v>
      </c>
      <c r="M27" s="10">
        <f t="shared" si="13"/>
        <v>9.3534522292993572</v>
      </c>
      <c r="N27" s="6">
        <f t="shared" si="8"/>
        <v>0.40206638881907086</v>
      </c>
      <c r="O27" s="6">
        <f t="shared" si="14"/>
        <v>0.56814057745262181</v>
      </c>
      <c r="P27" s="10" cm="1">
        <f t="array" ref="P27">AVERAGE(E26:E28/178)</f>
        <v>-3.1206940398734284E-2</v>
      </c>
      <c r="Q27" s="8">
        <f t="shared" si="15"/>
        <v>0.24985850196454615</v>
      </c>
      <c r="R27" s="8">
        <f t="shared" si="16"/>
        <v>8.6773936090924056E-2</v>
      </c>
      <c r="S27">
        <v>0</v>
      </c>
      <c r="T27" s="8">
        <f t="shared" si="11"/>
        <v>0.11702863319073722</v>
      </c>
      <c r="U27" s="8">
        <f t="shared" si="6"/>
        <v>0.13295880149812736</v>
      </c>
      <c r="V27" s="10">
        <v>0.43564643862596447</v>
      </c>
      <c r="X27">
        <v>0.95</v>
      </c>
      <c r="Y27">
        <v>0.1</v>
      </c>
    </row>
    <row r="28" spans="1:25" x14ac:dyDescent="0.2">
      <c r="A28">
        <f t="shared" si="4"/>
        <v>27</v>
      </c>
      <c r="B28" s="2">
        <f t="shared" si="5"/>
        <v>44382</v>
      </c>
      <c r="C28" s="1">
        <f>verzamel!E28</f>
        <v>2840</v>
      </c>
      <c r="D28" s="1">
        <v>2761.8520262401316</v>
      </c>
      <c r="E28" s="1">
        <f t="shared" si="2"/>
        <v>78.147973759868364</v>
      </c>
      <c r="F28">
        <f>Corona!E28</f>
        <v>21</v>
      </c>
      <c r="G28">
        <f>verzamel!F28</f>
        <v>2102</v>
      </c>
      <c r="H28" s="1">
        <f>('311 cov wlz'!D28+'312 cov nwlz'!D28)*1.07</f>
        <v>8.56</v>
      </c>
      <c r="I28" s="6">
        <f t="shared" si="3"/>
        <v>0.74014084507042255</v>
      </c>
      <c r="J28" s="8">
        <f t="shared" si="18"/>
        <v>0.26894430742060232</v>
      </c>
      <c r="K28" s="8">
        <f t="shared" si="19"/>
        <v>6.4973968077486399E-2</v>
      </c>
      <c r="L28" s="8">
        <f t="shared" si="12"/>
        <v>0.20397033934311593</v>
      </c>
      <c r="M28" s="10">
        <f t="shared" si="13"/>
        <v>26.872086720867213</v>
      </c>
      <c r="N28" s="6">
        <f t="shared" si="8"/>
        <v>0.75841106770156119</v>
      </c>
      <c r="O28" s="6">
        <f t="shared" si="14"/>
        <v>0.6485097843637595</v>
      </c>
      <c r="P28" s="10" cm="1">
        <f t="array" ref="P28">AVERAGE(E27:E29/178)</f>
        <v>0.40859361152099344</v>
      </c>
      <c r="Q28" s="8">
        <f t="shared" si="15"/>
        <v>0.22329596666019361</v>
      </c>
      <c r="R28" s="8">
        <f t="shared" si="16"/>
        <v>8.161876703639602E-2</v>
      </c>
      <c r="S28">
        <v>0</v>
      </c>
      <c r="T28" s="8">
        <f t="shared" si="11"/>
        <v>0.10479459025822772</v>
      </c>
      <c r="U28" s="8">
        <f t="shared" si="6"/>
        <v>0.11797752808988764</v>
      </c>
      <c r="V28" s="10">
        <v>0.43584893308668698</v>
      </c>
      <c r="X28">
        <v>0.95</v>
      </c>
      <c r="Y28">
        <v>0.1</v>
      </c>
    </row>
    <row r="29" spans="1:25" x14ac:dyDescent="0.2">
      <c r="A29">
        <f t="shared" si="4"/>
        <v>28</v>
      </c>
      <c r="B29" s="2">
        <f t="shared" si="5"/>
        <v>44389</v>
      </c>
      <c r="C29" s="1">
        <f>verzamel!E29</f>
        <v>2873</v>
      </c>
      <c r="D29" s="1">
        <v>2753.4314165138817</v>
      </c>
      <c r="E29" s="1">
        <f t="shared" si="2"/>
        <v>119.56858348611831</v>
      </c>
      <c r="F29">
        <f>Corona!E29</f>
        <v>19</v>
      </c>
      <c r="G29">
        <f>verzamel!F29</f>
        <v>2183</v>
      </c>
      <c r="H29" s="1">
        <f>('311 cov wlz'!D29+'312 cov nwlz'!D29)*1.07</f>
        <v>9.6300000000000008</v>
      </c>
      <c r="I29" s="6">
        <f t="shared" si="3"/>
        <v>0.75983292725374174</v>
      </c>
      <c r="J29" s="8">
        <f t="shared" si="18"/>
        <v>0.219182624979645</v>
      </c>
      <c r="K29" s="8">
        <f t="shared" si="19"/>
        <v>7.1201341314653069E-2</v>
      </c>
      <c r="L29" s="8">
        <f t="shared" si="12"/>
        <v>0.14798128366499191</v>
      </c>
      <c r="M29" s="10">
        <f t="shared" si="13"/>
        <v>20.014507246376809</v>
      </c>
      <c r="N29" s="6">
        <f t="shared" si="8"/>
        <v>0.67515061323284453</v>
      </c>
      <c r="O29" s="6">
        <f t="shared" si="14"/>
        <v>0.66829069226637161</v>
      </c>
      <c r="P29" s="10" cm="1">
        <f t="array" ref="P29">AVERAGE(E28:E30/178)</f>
        <v>0.42195717634827962</v>
      </c>
      <c r="Q29" s="8">
        <f t="shared" si="15"/>
        <v>0.38353294750420225</v>
      </c>
      <c r="R29" s="8">
        <f t="shared" si="16"/>
        <v>0.14157154507827871</v>
      </c>
      <c r="S29">
        <v>0</v>
      </c>
      <c r="T29" s="8">
        <f t="shared" si="11"/>
        <v>0.18146893645770015</v>
      </c>
      <c r="U29" s="8">
        <f t="shared" si="6"/>
        <v>0.20224719101123595</v>
      </c>
      <c r="V29" s="10">
        <v>0.34949725858215724</v>
      </c>
      <c r="X29">
        <v>0.95</v>
      </c>
      <c r="Y29">
        <v>0.1</v>
      </c>
    </row>
    <row r="30" spans="1:25" x14ac:dyDescent="0.2">
      <c r="A30">
        <f t="shared" si="4"/>
        <v>29</v>
      </c>
      <c r="B30" s="2">
        <f t="shared" si="5"/>
        <v>44396</v>
      </c>
      <c r="C30" s="1">
        <f>verzamel!E30</f>
        <v>2776</v>
      </c>
      <c r="D30" s="1">
        <v>2748.3914250760054</v>
      </c>
      <c r="E30" s="1">
        <f t="shared" si="2"/>
        <v>27.608574923994638</v>
      </c>
      <c r="F30">
        <f>Corona!E30</f>
        <v>68</v>
      </c>
      <c r="G30">
        <f>verzamel!F30</f>
        <v>2082</v>
      </c>
      <c r="H30" s="1">
        <f>('311 cov wlz'!D30+'312 cov nwlz'!D30)*1.07</f>
        <v>38.520000000000003</v>
      </c>
      <c r="I30" s="6">
        <f t="shared" si="3"/>
        <v>0.75</v>
      </c>
      <c r="J30" s="8">
        <f t="shared" si="18"/>
        <v>0.66247191011235951</v>
      </c>
      <c r="K30" s="8">
        <f t="shared" si="19"/>
        <v>0.28853932584269665</v>
      </c>
      <c r="L30" s="8">
        <f t="shared" si="12"/>
        <v>0.37393258426966286</v>
      </c>
      <c r="M30" s="10">
        <f t="shared" si="13"/>
        <v>49.919999999999995</v>
      </c>
      <c r="N30" s="6">
        <f t="shared" si="8"/>
        <v>0.56445047489823608</v>
      </c>
      <c r="O30" s="6">
        <f t="shared" si="14"/>
        <v>0.5928984560417121</v>
      </c>
      <c r="P30" s="10" cm="1">
        <f t="array" ref="P30">AVERAGE(E29:E31/178)</f>
        <v>0.5943234201488905</v>
      </c>
      <c r="Q30" s="8">
        <f t="shared" si="15"/>
        <v>0.53577474804779113</v>
      </c>
      <c r="R30" s="8">
        <f t="shared" si="16"/>
        <v>0.22452071623156331</v>
      </c>
      <c r="S30">
        <v>0</v>
      </c>
      <c r="T30" s="8">
        <f t="shared" si="11"/>
        <v>0.23614128298515405</v>
      </c>
      <c r="U30" s="8">
        <f t="shared" si="6"/>
        <v>0.29962546816479402</v>
      </c>
      <c r="V30" s="10">
        <v>0.19819477794828097</v>
      </c>
      <c r="X30">
        <v>0.95</v>
      </c>
      <c r="Y30">
        <v>0.1</v>
      </c>
    </row>
    <row r="31" spans="1:25" x14ac:dyDescent="0.2">
      <c r="A31">
        <f t="shared" si="4"/>
        <v>30</v>
      </c>
      <c r="B31" s="2">
        <f t="shared" si="5"/>
        <v>44403</v>
      </c>
      <c r="C31" s="1">
        <f>verzamel!E31</f>
        <v>2917</v>
      </c>
      <c r="D31" s="1">
        <v>2746.8084520506054</v>
      </c>
      <c r="E31" s="1">
        <f t="shared" si="2"/>
        <v>170.19154794939459</v>
      </c>
      <c r="F31">
        <f>Corona!E31</f>
        <v>73</v>
      </c>
      <c r="G31">
        <f>verzamel!F31</f>
        <v>2235</v>
      </c>
      <c r="H31" s="1">
        <f>('311 cov wlz'!D31+'312 cov nwlz'!D31)*1.07</f>
        <v>42.800000000000004</v>
      </c>
      <c r="I31" s="6">
        <f t="shared" si="3"/>
        <v>0.76619814878299619</v>
      </c>
      <c r="J31" s="8">
        <f t="shared" si="18"/>
        <v>0.72566970905136885</v>
      </c>
      <c r="K31" s="8">
        <f t="shared" si="19"/>
        <v>0.31382148153734013</v>
      </c>
      <c r="L31" s="8">
        <f t="shared" si="12"/>
        <v>0.41184822751402872</v>
      </c>
      <c r="M31" s="10">
        <f t="shared" si="13"/>
        <v>56.169208211143655</v>
      </c>
      <c r="N31" s="6">
        <f t="shared" si="8"/>
        <v>0.56754226113753181</v>
      </c>
      <c r="O31" s="6">
        <f t="shared" si="14"/>
        <v>0.57396049599088372</v>
      </c>
      <c r="P31" s="10" cm="1">
        <f t="array" ref="P31">AVERAGE(E30:E32/178)</f>
        <v>0.77170717338369332</v>
      </c>
      <c r="Q31" s="8">
        <f t="shared" si="15"/>
        <v>0.84146144862975003</v>
      </c>
      <c r="R31" s="8">
        <f t="shared" si="16"/>
        <v>0.35368468582318063</v>
      </c>
      <c r="S31">
        <v>0</v>
      </c>
      <c r="T31" s="8">
        <f t="shared" si="11"/>
        <v>0.37223886687285329</v>
      </c>
      <c r="U31" s="8">
        <f t="shared" si="6"/>
        <v>0.46816479400749061</v>
      </c>
      <c r="V31" s="10">
        <v>0.14526814341343272</v>
      </c>
      <c r="X31">
        <v>0.95</v>
      </c>
      <c r="Y31">
        <v>0.1</v>
      </c>
    </row>
    <row r="32" spans="1:25" x14ac:dyDescent="0.2">
      <c r="A32">
        <f t="shared" si="4"/>
        <v>31</v>
      </c>
      <c r="B32" s="2">
        <f t="shared" si="5"/>
        <v>44410</v>
      </c>
      <c r="C32" s="1">
        <f>verzamel!E32</f>
        <v>2963</v>
      </c>
      <c r="D32" s="1">
        <v>2748.7084922864969</v>
      </c>
      <c r="E32" s="1">
        <f t="shared" si="2"/>
        <v>214.29150771350305</v>
      </c>
      <c r="F32">
        <f>Corona!E32</f>
        <v>109</v>
      </c>
      <c r="G32">
        <f>verzamel!F32</f>
        <v>2291</v>
      </c>
      <c r="H32" s="1">
        <f>('311 cov wlz'!D32+'312 cov nwlz'!D32)*1.07</f>
        <v>63.13</v>
      </c>
      <c r="I32" s="6">
        <f t="shared" si="3"/>
        <v>0.77320283496456299</v>
      </c>
      <c r="J32" s="8">
        <f t="shared" si="18"/>
        <v>1.1362427267255217</v>
      </c>
      <c r="K32" s="8">
        <f t="shared" si="19"/>
        <v>0.45869325008950512</v>
      </c>
      <c r="L32" s="8">
        <f t="shared" si="12"/>
        <v>0.67754947663601661</v>
      </c>
      <c r="M32" s="10">
        <f t="shared" si="13"/>
        <v>93.251205357142865</v>
      </c>
      <c r="N32" s="6">
        <f t="shared" si="8"/>
        <v>0.5963069867902353</v>
      </c>
      <c r="O32" s="6">
        <f t="shared" si="14"/>
        <v>0.58333653853091172</v>
      </c>
      <c r="P32" s="10" cm="1">
        <f t="array" ref="P32">AVERAGE(E31:E33/178)</f>
        <v>0.88654738802774125</v>
      </c>
      <c r="Q32" s="8">
        <f t="shared" si="15"/>
        <v>0.95696027152969654</v>
      </c>
      <c r="R32" s="8">
        <f t="shared" si="16"/>
        <v>0.40105086890161212</v>
      </c>
      <c r="S32">
        <v>0</v>
      </c>
      <c r="T32" s="8">
        <f t="shared" si="11"/>
        <v>0.42493384911614118</v>
      </c>
      <c r="U32" s="8">
        <f t="shared" si="6"/>
        <v>0.53183520599250944</v>
      </c>
      <c r="V32" s="10">
        <v>0.16311889740848942</v>
      </c>
      <c r="X32">
        <v>0.95</v>
      </c>
      <c r="Y32">
        <v>0.1</v>
      </c>
    </row>
    <row r="33" spans="1:25" x14ac:dyDescent="0.2">
      <c r="A33">
        <f t="shared" si="4"/>
        <v>32</v>
      </c>
      <c r="B33" s="2">
        <f t="shared" si="5"/>
        <v>44417</v>
      </c>
      <c r="C33" s="1">
        <f>verzamel!E33</f>
        <v>2843</v>
      </c>
      <c r="D33" s="1">
        <v>2754.0667504560838</v>
      </c>
      <c r="E33" s="1">
        <f t="shared" si="2"/>
        <v>88.93324954391619</v>
      </c>
      <c r="F33">
        <f>Corona!E33</f>
        <v>102</v>
      </c>
      <c r="G33">
        <f>verzamel!F33</f>
        <v>2143</v>
      </c>
      <c r="H33" s="1">
        <f>('311 cov wlz'!D33+'312 cov nwlz'!D33)*1.07</f>
        <v>57.78</v>
      </c>
      <c r="I33" s="6">
        <f t="shared" si="3"/>
        <v>0.75378121702427014</v>
      </c>
      <c r="J33" s="8">
        <f t="shared" si="18"/>
        <v>1.008968378812199</v>
      </c>
      <c r="K33" s="8">
        <f t="shared" si="19"/>
        <v>0.43063787507799112</v>
      </c>
      <c r="L33" s="8">
        <f t="shared" si="12"/>
        <v>0.57833050373420791</v>
      </c>
      <c r="M33" s="10">
        <f t="shared" si="13"/>
        <v>77.596371428571416</v>
      </c>
      <c r="N33" s="6">
        <f t="shared" si="8"/>
        <v>0.57318991940564423</v>
      </c>
      <c r="O33" s="6">
        <f t="shared" si="14"/>
        <v>0.59076010200207918</v>
      </c>
      <c r="P33" s="10" cm="1">
        <f t="array" ref="P33">AVERAGE(E32:E34/178)</f>
        <v>0.83411378364802113</v>
      </c>
      <c r="Q33" s="8">
        <f t="shared" si="15"/>
        <v>1.0529366559363127</v>
      </c>
      <c r="R33" s="8">
        <f t="shared" si="16"/>
        <v>0.42471343403510486</v>
      </c>
      <c r="S33">
        <v>0</v>
      </c>
      <c r="T33" s="8">
        <f t="shared" si="11"/>
        <v>0.48332378237542645</v>
      </c>
      <c r="U33" s="8">
        <f t="shared" si="6"/>
        <v>0.56928838951310856</v>
      </c>
      <c r="V33" s="10">
        <v>0.19433131797281031</v>
      </c>
      <c r="X33">
        <v>0.95</v>
      </c>
      <c r="Y33">
        <v>0.1</v>
      </c>
    </row>
    <row r="34" spans="1:25" x14ac:dyDescent="0.2">
      <c r="A34">
        <f t="shared" si="4"/>
        <v>33</v>
      </c>
      <c r="B34" s="2">
        <f t="shared" si="5"/>
        <v>44424</v>
      </c>
      <c r="C34" s="1">
        <f>verzamel!E34</f>
        <v>2905</v>
      </c>
      <c r="D34" s="1">
        <v>2762.8079967893759</v>
      </c>
      <c r="E34" s="1">
        <f t="shared" si="2"/>
        <v>142.19200321062408</v>
      </c>
      <c r="F34">
        <f>Corona!E34</f>
        <v>93</v>
      </c>
      <c r="G34">
        <f>verzamel!F34</f>
        <v>2269</v>
      </c>
      <c r="H34" s="1">
        <f>('311 cov wlz'!D34+'312 cov nwlz'!D34)*1.07</f>
        <v>53.5</v>
      </c>
      <c r="I34" s="6">
        <f t="shared" si="3"/>
        <v>0.7810671256454389</v>
      </c>
      <c r="J34" s="8">
        <f t="shared" si="18"/>
        <v>1.0135988622712175</v>
      </c>
      <c r="K34" s="8">
        <f t="shared" si="19"/>
        <v>0.38480917693781846</v>
      </c>
      <c r="L34" s="8">
        <f t="shared" si="12"/>
        <v>0.62878968533339907</v>
      </c>
      <c r="M34" s="10">
        <f t="shared" si="13"/>
        <v>87.420597484276726</v>
      </c>
      <c r="N34" s="6">
        <f t="shared" si="8"/>
        <v>0.62035358240679273</v>
      </c>
      <c r="O34" s="6">
        <f t="shared" si="14"/>
        <v>0.62273926898571097</v>
      </c>
      <c r="P34" s="10" cm="1">
        <f t="array" ref="P34">AVERAGE(E33:E35/178)</f>
        <v>0.72905916556867911</v>
      </c>
      <c r="Q34" s="8">
        <f t="shared" si="15"/>
        <v>1.0743366958417881</v>
      </c>
      <c r="R34" s="8">
        <f t="shared" si="16"/>
        <v>0.40103935826036669</v>
      </c>
      <c r="S34">
        <v>0</v>
      </c>
      <c r="T34" s="8">
        <f t="shared" si="11"/>
        <v>0.51151239604397503</v>
      </c>
      <c r="U34" s="8">
        <f t="shared" si="6"/>
        <v>0.56367041198501866</v>
      </c>
      <c r="V34" s="10">
        <v>0.25575454485256865</v>
      </c>
      <c r="X34">
        <v>0.95</v>
      </c>
      <c r="Y34">
        <v>0.1</v>
      </c>
    </row>
    <row r="35" spans="1:25" x14ac:dyDescent="0.2">
      <c r="A35">
        <f t="shared" si="4"/>
        <v>34</v>
      </c>
      <c r="B35" s="2">
        <f t="shared" si="5"/>
        <v>44431</v>
      </c>
      <c r="C35" s="1">
        <f>verzamel!E35</f>
        <v>2933</v>
      </c>
      <c r="D35" s="1">
        <v>2774.8076583408656</v>
      </c>
      <c r="E35" s="1">
        <f t="shared" si="2"/>
        <v>158.1923416591344</v>
      </c>
      <c r="F35">
        <f>Corona!E35</f>
        <v>106</v>
      </c>
      <c r="G35">
        <f>verzamel!F35</f>
        <v>2183</v>
      </c>
      <c r="H35" s="1">
        <f>('311 cov wlz'!D35+'312 cov nwlz'!D35)*1.07</f>
        <v>51.36</v>
      </c>
      <c r="I35" s="6">
        <f t="shared" si="3"/>
        <v>0.74428912376406409</v>
      </c>
      <c r="J35" s="8">
        <f t="shared" si="18"/>
        <v>1.2004428464419474</v>
      </c>
      <c r="K35" s="8">
        <f t="shared" si="19"/>
        <v>0.38767102276529053</v>
      </c>
      <c r="L35" s="8">
        <f t="shared" si="12"/>
        <v>0.8127718236766569</v>
      </c>
      <c r="M35" s="10">
        <f t="shared" si="13"/>
        <v>107.67882666666664</v>
      </c>
      <c r="N35" s="6">
        <f t="shared" si="8"/>
        <v>0.67705999172361431</v>
      </c>
      <c r="O35" s="6">
        <f t="shared" si="14"/>
        <v>0.64882359849228932</v>
      </c>
      <c r="P35" s="10" cm="1">
        <f t="array" ref="P35">AVERAGE(E34:E36/178)</f>
        <v>0.71252942866988134</v>
      </c>
      <c r="Q35" s="8">
        <f t="shared" si="15"/>
        <v>1.0518466892012699</v>
      </c>
      <c r="R35" s="8">
        <f t="shared" si="16"/>
        <v>0.37649225591940744</v>
      </c>
      <c r="S35">
        <v>0</v>
      </c>
      <c r="T35" s="8">
        <f t="shared" si="11"/>
        <v>0.51775388241647036</v>
      </c>
      <c r="U35" s="8">
        <f t="shared" si="6"/>
        <v>0.53558052434456926</v>
      </c>
      <c r="V35" s="10">
        <v>0.31605612155930762</v>
      </c>
      <c r="X35">
        <v>0.95</v>
      </c>
      <c r="Y35">
        <v>0.1</v>
      </c>
    </row>
    <row r="36" spans="1:25" x14ac:dyDescent="0.2">
      <c r="A36">
        <f t="shared" si="4"/>
        <v>35</v>
      </c>
      <c r="B36" s="2">
        <f t="shared" si="5"/>
        <v>44438</v>
      </c>
      <c r="C36" s="1">
        <f>verzamel!E36</f>
        <v>2870</v>
      </c>
      <c r="D36" s="1">
        <v>2789.8936299600418</v>
      </c>
      <c r="E36" s="1">
        <f t="shared" si="2"/>
        <v>80.106370039958165</v>
      </c>
      <c r="F36">
        <f>Corona!E36</f>
        <v>87</v>
      </c>
      <c r="G36">
        <f>verzamel!F36</f>
        <v>2223</v>
      </c>
      <c r="H36" s="1">
        <f>('311 cov wlz'!D36+'312 cov nwlz'!D36)*1.07</f>
        <v>49.220000000000006</v>
      </c>
      <c r="I36" s="6">
        <f t="shared" si="3"/>
        <v>0.77456445993031364</v>
      </c>
      <c r="J36" s="8">
        <f t="shared" si="18"/>
        <v>0.94149835889064493</v>
      </c>
      <c r="K36" s="8">
        <f t="shared" si="19"/>
        <v>0.35699656805511332</v>
      </c>
      <c r="L36" s="8">
        <f t="shared" si="12"/>
        <v>0.58450179083553166</v>
      </c>
      <c r="M36" s="10">
        <f t="shared" si="13"/>
        <v>80.586707882534796</v>
      </c>
      <c r="N36" s="6">
        <f t="shared" si="8"/>
        <v>0.62082082811513595</v>
      </c>
      <c r="O36" s="6">
        <f t="shared" si="14"/>
        <v>0.63066734329352747</v>
      </c>
      <c r="P36" s="10" cm="1">
        <f t="array" ref="P36">AVERAGE(E35:E37/178)</f>
        <v>0.98211597951346052</v>
      </c>
      <c r="Q36" s="8">
        <f t="shared" si="15"/>
        <v>1.040927967320602</v>
      </c>
      <c r="R36" s="8">
        <f t="shared" si="16"/>
        <v>0.37770431838920054</v>
      </c>
      <c r="S36">
        <v>0</v>
      </c>
      <c r="T36" s="8">
        <f t="shared" ref="T36:T99" si="20">AVERAGE( L35:L37)*AVERAGE(I35:I37)</f>
        <v>0.50683755519865858</v>
      </c>
      <c r="U36" s="8">
        <f t="shared" si="6"/>
        <v>0.53558052434456926</v>
      </c>
      <c r="V36" s="10">
        <v>0.36519044158121222</v>
      </c>
      <c r="X36">
        <v>0.95</v>
      </c>
      <c r="Y36">
        <v>0.1</v>
      </c>
    </row>
    <row r="37" spans="1:25" x14ac:dyDescent="0.2">
      <c r="A37">
        <f t="shared" si="4"/>
        <v>36</v>
      </c>
      <c r="B37" s="2">
        <f t="shared" si="5"/>
        <v>44445</v>
      </c>
      <c r="C37" s="1">
        <f>verzamel!E37</f>
        <v>3094</v>
      </c>
      <c r="D37" s="1">
        <v>2807.8487786389046</v>
      </c>
      <c r="E37" s="1">
        <f t="shared" si="2"/>
        <v>286.15122136109539</v>
      </c>
      <c r="F37">
        <f>Corona!E37</f>
        <v>93</v>
      </c>
      <c r="G37">
        <f>verzamel!F37</f>
        <v>2394</v>
      </c>
      <c r="H37" s="1">
        <f>('311 cov wlz'!D37+'312 cov nwlz'!D37)*1.07</f>
        <v>53.5</v>
      </c>
      <c r="I37" s="6">
        <f t="shared" si="3"/>
        <v>0.77375565610859731</v>
      </c>
      <c r="J37" s="8">
        <f t="shared" si="18"/>
        <v>0.98084269662921364</v>
      </c>
      <c r="K37" s="8">
        <f t="shared" si="19"/>
        <v>0.38844536434719756</v>
      </c>
      <c r="L37" s="8">
        <f t="shared" si="12"/>
        <v>0.59239733228201608</v>
      </c>
      <c r="M37" s="10">
        <f t="shared" si="13"/>
        <v>81.590000000000032</v>
      </c>
      <c r="N37" s="6">
        <f t="shared" si="8"/>
        <v>0.60396772522022368</v>
      </c>
      <c r="O37" s="6">
        <f t="shared" si="14"/>
        <v>0.58684254950631032</v>
      </c>
      <c r="P37" s="10" cm="1">
        <f t="array" ref="P37">AVERAGE(E36:E38/178)</f>
        <v>0.85738480637792414</v>
      </c>
      <c r="Q37" s="8">
        <f t="shared" si="15"/>
        <v>0.93957041566204447</v>
      </c>
      <c r="R37" s="8">
        <f t="shared" si="16"/>
        <v>0.39231402185883102</v>
      </c>
      <c r="S37">
        <v>0</v>
      </c>
      <c r="T37" s="8">
        <f t="shared" si="20"/>
        <v>0.42475434565074061</v>
      </c>
      <c r="U37" s="8">
        <f t="shared" si="6"/>
        <v>0.51498127340823974</v>
      </c>
      <c r="V37" s="10">
        <v>0.4239912779043582</v>
      </c>
      <c r="X37">
        <v>0.95</v>
      </c>
      <c r="Y37">
        <v>0.1</v>
      </c>
    </row>
    <row r="38" spans="1:25" x14ac:dyDescent="0.2">
      <c r="A38">
        <f t="shared" si="4"/>
        <v>37</v>
      </c>
      <c r="B38" s="2">
        <f t="shared" si="5"/>
        <v>44452</v>
      </c>
      <c r="C38" s="1">
        <f>verzamel!E38</f>
        <v>2920</v>
      </c>
      <c r="D38" s="1">
        <v>2828.4141047952421</v>
      </c>
      <c r="E38" s="1">
        <f t="shared" si="2"/>
        <v>91.58589520475789</v>
      </c>
      <c r="F38">
        <f>Corona!E38</f>
        <v>95</v>
      </c>
      <c r="G38">
        <f>verzamel!F38</f>
        <v>2278</v>
      </c>
      <c r="H38" s="1">
        <f>('311 cov wlz'!D38+'312 cov nwlz'!D38)*1.07</f>
        <v>59.92</v>
      </c>
      <c r="I38" s="6">
        <f t="shared" si="3"/>
        <v>0.78013698630136985</v>
      </c>
      <c r="J38" s="8">
        <f t="shared" si="18"/>
        <v>0.8963701914662745</v>
      </c>
      <c r="K38" s="8">
        <f t="shared" si="19"/>
        <v>0.43150013317418201</v>
      </c>
      <c r="L38" s="8">
        <f t="shared" si="12"/>
        <v>0.46487005829209249</v>
      </c>
      <c r="M38" s="10">
        <f t="shared" si="13"/>
        <v>64.553894080996855</v>
      </c>
      <c r="N38" s="6">
        <f t="shared" si="8"/>
        <v>0.51861391946965807</v>
      </c>
      <c r="O38" s="6">
        <f t="shared" si="14"/>
        <v>0.54216634870354108</v>
      </c>
      <c r="P38" s="10" cm="1">
        <f t="array" ref="P38">AVERAGE(E37:E39/178)</f>
        <v>0.77798614625436124</v>
      </c>
      <c r="Q38" s="8">
        <f t="shared" si="15"/>
        <v>0.82272828517804963</v>
      </c>
      <c r="R38" s="8">
        <f t="shared" si="16"/>
        <v>0.36639919379117991</v>
      </c>
      <c r="S38">
        <v>0</v>
      </c>
      <c r="T38" s="8">
        <f t="shared" si="20"/>
        <v>0.35751285332825733</v>
      </c>
      <c r="U38" s="8">
        <f t="shared" si="6"/>
        <v>0.46629213483146065</v>
      </c>
      <c r="V38" s="10">
        <v>0.49436738782468415</v>
      </c>
      <c r="X38">
        <v>0.95</v>
      </c>
      <c r="Y38">
        <v>0.1</v>
      </c>
    </row>
    <row r="39" spans="1:25" x14ac:dyDescent="0.2">
      <c r="A39">
        <f t="shared" si="4"/>
        <v>38</v>
      </c>
      <c r="B39" s="2">
        <f t="shared" si="5"/>
        <v>44459</v>
      </c>
      <c r="C39" s="1">
        <f>verzamel!E39</f>
        <v>2889</v>
      </c>
      <c r="D39" s="1">
        <v>2851.2925144660244</v>
      </c>
      <c r="E39" s="1">
        <f t="shared" si="2"/>
        <v>37.707485533975614</v>
      </c>
      <c r="F39">
        <f>Corona!E39</f>
        <v>61</v>
      </c>
      <c r="G39">
        <f>verzamel!F39</f>
        <v>2301</v>
      </c>
      <c r="H39" s="1">
        <f>('311 cov wlz'!D39+'312 cov nwlz'!D39)*1.07</f>
        <v>39.590000000000003</v>
      </c>
      <c r="I39" s="6">
        <f t="shared" si="3"/>
        <v>0.79646936656282452</v>
      </c>
      <c r="J39" s="8">
        <f t="shared" si="18"/>
        <v>0.59097196743866076</v>
      </c>
      <c r="K39" s="8">
        <f t="shared" si="19"/>
        <v>0.27925208385216005</v>
      </c>
      <c r="L39" s="8">
        <f t="shared" si="12"/>
        <v>0.31171988358650071</v>
      </c>
      <c r="M39" s="10">
        <f t="shared" si="13"/>
        <v>44.193010204081617</v>
      </c>
      <c r="N39" s="6">
        <f t="shared" si="8"/>
        <v>0.52746983065462461</v>
      </c>
      <c r="O39" s="6">
        <f t="shared" si="14"/>
        <v>0.57159151135363462</v>
      </c>
      <c r="P39" s="10" cm="1">
        <f t="array" ref="P39">AVERAGE(E38:E40/178)</f>
        <v>0.62198545555762996</v>
      </c>
      <c r="Q39" s="8">
        <f t="shared" si="15"/>
        <v>0.75236848147645541</v>
      </c>
      <c r="R39" s="8">
        <f t="shared" si="16"/>
        <v>0.3106062126033608</v>
      </c>
      <c r="S39">
        <v>0</v>
      </c>
      <c r="T39" s="8">
        <f t="shared" si="20"/>
        <v>0.34828155443025427</v>
      </c>
      <c r="U39" s="8">
        <f t="shared" si="6"/>
        <v>0.4044943820224719</v>
      </c>
      <c r="V39" s="10">
        <v>0.5616271015044656</v>
      </c>
      <c r="X39">
        <v>0.95</v>
      </c>
      <c r="Y39">
        <v>0.1</v>
      </c>
    </row>
    <row r="40" spans="1:25" x14ac:dyDescent="0.2">
      <c r="A40">
        <f t="shared" si="4"/>
        <v>39</v>
      </c>
      <c r="B40" s="2">
        <f t="shared" si="5"/>
        <v>44466</v>
      </c>
      <c r="C40" s="1">
        <f>verzamel!E40</f>
        <v>3079</v>
      </c>
      <c r="D40" s="1">
        <v>2876.1531474709591</v>
      </c>
      <c r="E40" s="1">
        <f t="shared" si="2"/>
        <v>202.84685252904092</v>
      </c>
      <c r="F40">
        <f>Corona!E40</f>
        <v>60</v>
      </c>
      <c r="G40">
        <f>verzamel!F40</f>
        <v>2428</v>
      </c>
      <c r="H40" s="1">
        <f>('311 cov wlz'!D40+'312 cov nwlz'!D40)*1.07</f>
        <v>31.03</v>
      </c>
      <c r="I40" s="6">
        <f t="shared" si="3"/>
        <v>0.788567716791166</v>
      </c>
      <c r="J40" s="8">
        <f t="shared" si="18"/>
        <v>0.76976328552443096</v>
      </c>
      <c r="K40" s="8">
        <f t="shared" si="19"/>
        <v>0.22106642078374025</v>
      </c>
      <c r="L40" s="8">
        <f t="shared" si="12"/>
        <v>0.54869686474069068</v>
      </c>
      <c r="M40" s="10">
        <f t="shared" si="13"/>
        <v>77.017864823348702</v>
      </c>
      <c r="N40" s="6">
        <f t="shared" si="8"/>
        <v>0.71281246463563119</v>
      </c>
      <c r="O40" s="6">
        <f t="shared" si="14"/>
        <v>0.67122481624072439</v>
      </c>
      <c r="P40" s="10" cm="1">
        <f t="array" ref="P40">AVERAGE(E39:E41/178)</f>
        <v>0.76950962466452111</v>
      </c>
      <c r="Q40" s="8">
        <f t="shared" si="15"/>
        <v>0.7981967709463017</v>
      </c>
      <c r="R40" s="8">
        <f t="shared" si="16"/>
        <v>0.25919792471309494</v>
      </c>
      <c r="S40">
        <v>0</v>
      </c>
      <c r="T40" s="8">
        <f t="shared" si="20"/>
        <v>0.42889662155090758</v>
      </c>
      <c r="U40" s="8">
        <f t="shared" si="6"/>
        <v>0.36891385767790263</v>
      </c>
      <c r="V40" s="10">
        <v>0.62581033730925728</v>
      </c>
      <c r="X40">
        <v>0.95</v>
      </c>
      <c r="Y40">
        <v>0.1</v>
      </c>
    </row>
    <row r="41" spans="1:25" x14ac:dyDescent="0.2">
      <c r="A41">
        <f t="shared" si="4"/>
        <v>40</v>
      </c>
      <c r="B41" s="2">
        <f t="shared" si="5"/>
        <v>44473</v>
      </c>
      <c r="C41" s="1">
        <f>verzamel!E41</f>
        <v>3073</v>
      </c>
      <c r="D41" s="1">
        <v>2902.6361984921623</v>
      </c>
      <c r="E41" s="1">
        <f t="shared" si="2"/>
        <v>170.36380150783771</v>
      </c>
      <c r="F41">
        <f>Corona!E41</f>
        <v>76</v>
      </c>
      <c r="G41">
        <f>verzamel!F41</f>
        <v>2465</v>
      </c>
      <c r="H41" s="1">
        <f>('311 cov wlz'!D41+'312 cov nwlz'!D41)*1.07</f>
        <v>39.590000000000003</v>
      </c>
      <c r="I41" s="6">
        <f t="shared" si="3"/>
        <v>0.80214773836641717</v>
      </c>
      <c r="J41" s="8">
        <f t="shared" si="18"/>
        <v>1.0338550598758129</v>
      </c>
      <c r="K41" s="8">
        <f t="shared" si="19"/>
        <v>0.27727526950338449</v>
      </c>
      <c r="L41" s="8">
        <f t="shared" si="12"/>
        <v>0.75657979037242851</v>
      </c>
      <c r="M41" s="10">
        <f t="shared" si="13"/>
        <v>108.02620065789472</v>
      </c>
      <c r="N41" s="6">
        <f t="shared" si="8"/>
        <v>0.73180450503701089</v>
      </c>
      <c r="O41" s="6">
        <f t="shared" si="14"/>
        <v>0.68118946169876793</v>
      </c>
      <c r="P41" s="10" cm="1">
        <f t="array" ref="P41">AVERAGE(E40:E42/178)</f>
        <v>0.95852526819580108</v>
      </c>
      <c r="Q41" s="8">
        <f t="shared" si="15"/>
        <v>0.944912513945666</v>
      </c>
      <c r="R41" s="8">
        <f t="shared" si="16"/>
        <v>0.32135357578737217</v>
      </c>
      <c r="S41">
        <v>0</v>
      </c>
      <c r="T41" s="8">
        <f t="shared" si="20"/>
        <v>0.49697151151036079</v>
      </c>
      <c r="U41" s="8">
        <f t="shared" si="6"/>
        <v>0.44756554307116109</v>
      </c>
      <c r="V41" s="10">
        <v>0.6876800949873364</v>
      </c>
      <c r="X41">
        <v>0.95</v>
      </c>
      <c r="Y41">
        <v>0.1</v>
      </c>
    </row>
    <row r="42" spans="1:25" x14ac:dyDescent="0.2">
      <c r="A42">
        <f t="shared" si="4"/>
        <v>41</v>
      </c>
      <c r="B42" s="2">
        <f t="shared" si="5"/>
        <v>44480</v>
      </c>
      <c r="C42" s="1">
        <f>verzamel!E42</f>
        <v>3069</v>
      </c>
      <c r="D42" s="1">
        <v>2930.3581608203208</v>
      </c>
      <c r="E42" s="1">
        <f t="shared" si="2"/>
        <v>138.64183917967921</v>
      </c>
      <c r="F42">
        <f>Corona!E42</f>
        <v>103</v>
      </c>
      <c r="G42">
        <f>verzamel!F42</f>
        <v>2456</v>
      </c>
      <c r="H42" s="1">
        <f>('311 cov wlz'!D42+'312 cov nwlz'!D42)*1.07</f>
        <v>66.34</v>
      </c>
      <c r="I42" s="6">
        <f t="shared" si="3"/>
        <v>0.80026067122841316</v>
      </c>
      <c r="J42" s="8">
        <f t="shared" si="18"/>
        <v>1.0311191964367541</v>
      </c>
      <c r="K42" s="8">
        <f t="shared" si="19"/>
        <v>0.46571903707499174</v>
      </c>
      <c r="L42" s="8">
        <f t="shared" si="12"/>
        <v>0.56540015936176236</v>
      </c>
      <c r="M42" s="10">
        <f t="shared" si="13"/>
        <v>80.539216965742227</v>
      </c>
      <c r="N42" s="6">
        <f t="shared" si="8"/>
        <v>0.54833637208541908</v>
      </c>
      <c r="O42" s="6">
        <f t="shared" si="14"/>
        <v>0.49733537160765318</v>
      </c>
      <c r="P42" s="10" cm="1">
        <f t="array" ref="P42">AVERAGE(E41:E43/178)</f>
        <v>1.1799404950218435</v>
      </c>
      <c r="Q42" s="8">
        <f t="shared" si="15"/>
        <v>1.0554124213212126</v>
      </c>
      <c r="R42" s="8">
        <f t="shared" si="16"/>
        <v>0.55570116017400373</v>
      </c>
      <c r="S42">
        <v>0</v>
      </c>
      <c r="T42" s="8">
        <f t="shared" si="20"/>
        <v>0.3991037217566657</v>
      </c>
      <c r="U42" s="8">
        <f t="shared" si="6"/>
        <v>0.65543071161048694</v>
      </c>
      <c r="V42" s="10">
        <v>0.73585685283008806</v>
      </c>
      <c r="X42">
        <v>0.95</v>
      </c>
      <c r="Y42">
        <v>0.1</v>
      </c>
    </row>
    <row r="43" spans="1:25" x14ac:dyDescent="0.2">
      <c r="A43">
        <f t="shared" si="4"/>
        <v>42</v>
      </c>
      <c r="B43" s="2">
        <f t="shared" si="5"/>
        <v>44487</v>
      </c>
      <c r="C43" s="1">
        <f>verzamel!E43</f>
        <v>3280</v>
      </c>
      <c r="D43" s="1">
        <v>2958.9174163458524</v>
      </c>
      <c r="E43" s="1">
        <f t="shared" si="2"/>
        <v>321.08258365414758</v>
      </c>
      <c r="F43">
        <f>Corona!E43</f>
        <v>171</v>
      </c>
      <c r="G43">
        <f>verzamel!F43</f>
        <v>2603</v>
      </c>
      <c r="H43" s="1">
        <f>('311 cov wlz'!D43+'312 cov nwlz'!D43)*1.07</f>
        <v>130.54000000000002</v>
      </c>
      <c r="I43" s="6">
        <f t="shared" si="3"/>
        <v>0.79359756097560974</v>
      </c>
      <c r="J43" s="8">
        <f t="shared" si="18"/>
        <v>1.1012630076510708</v>
      </c>
      <c r="K43" s="8">
        <f t="shared" si="19"/>
        <v>0.92410917394363479</v>
      </c>
      <c r="L43" s="8">
        <f t="shared" si="12"/>
        <v>0.17715383370743598</v>
      </c>
      <c r="M43" s="10">
        <f t="shared" si="13"/>
        <v>25.024815361890596</v>
      </c>
      <c r="N43" s="6">
        <f t="shared" si="8"/>
        <v>0.16086423722276361</v>
      </c>
      <c r="O43" s="6">
        <f t="shared" si="14"/>
        <v>0.30919308458592931</v>
      </c>
      <c r="P43" s="10" cm="1">
        <f t="array" ref="P43">AVERAGE(E42:E44/178)</f>
        <v>1.6157759035925501</v>
      </c>
      <c r="Q43" s="8">
        <f t="shared" si="15"/>
        <v>1.5085739035660843</v>
      </c>
      <c r="R43" s="8">
        <f t="shared" si="16"/>
        <v>0.96850406336784334</v>
      </c>
      <c r="S43">
        <v>0</v>
      </c>
      <c r="T43" s="8">
        <f t="shared" si="20"/>
        <v>0.43329672497600791</v>
      </c>
      <c r="U43" s="8">
        <f t="shared" si="6"/>
        <v>1.0730337078651686</v>
      </c>
      <c r="V43" s="10">
        <v>0.92697493398011588</v>
      </c>
      <c r="X43">
        <v>0.95</v>
      </c>
      <c r="Y43">
        <v>0.1</v>
      </c>
    </row>
    <row r="44" spans="1:25" x14ac:dyDescent="0.2">
      <c r="A44">
        <f t="shared" si="4"/>
        <v>43</v>
      </c>
      <c r="B44" s="2">
        <f t="shared" si="5"/>
        <v>44494</v>
      </c>
      <c r="C44" s="1">
        <f>verzamel!E44</f>
        <v>3391</v>
      </c>
      <c r="D44" s="1">
        <v>2987.9000903154051</v>
      </c>
      <c r="E44" s="1">
        <f t="shared" si="2"/>
        <v>403.09990968459488</v>
      </c>
      <c r="F44">
        <f>Corona!E44</f>
        <v>299</v>
      </c>
      <c r="G44">
        <f>verzamel!F44</f>
        <v>2757</v>
      </c>
      <c r="H44" s="1">
        <f>('311 cov wlz'!D44+'312 cov nwlz'!D44)*1.07</f>
        <v>219.35000000000002</v>
      </c>
      <c r="I44" s="6">
        <f t="shared" si="3"/>
        <v>0.81303450309643177</v>
      </c>
      <c r="J44" s="8">
        <f t="shared" si="18"/>
        <v>2.3933395066104279</v>
      </c>
      <c r="K44" s="8">
        <f t="shared" si="19"/>
        <v>1.5156839790849035</v>
      </c>
      <c r="L44" s="8">
        <f t="shared" si="12"/>
        <v>0.87765552752552445</v>
      </c>
      <c r="M44" s="10">
        <f t="shared" si="13"/>
        <v>127.01443217665616</v>
      </c>
      <c r="N44" s="6">
        <f t="shared" si="8"/>
        <v>0.36670749181277079</v>
      </c>
      <c r="O44" s="6">
        <f t="shared" si="14"/>
        <v>0.29868127172317893</v>
      </c>
      <c r="P44" s="10" cm="1">
        <f t="array" ref="P44">AVERAGE(E43:E45/178)</f>
        <v>2.3076711757213784</v>
      </c>
      <c r="Q44" s="8">
        <f t="shared" si="15"/>
        <v>2.1734665316112864</v>
      </c>
      <c r="R44" s="8">
        <f t="shared" si="16"/>
        <v>1.5188340030845626</v>
      </c>
      <c r="S44">
        <v>0</v>
      </c>
      <c r="T44" s="8">
        <f t="shared" si="20"/>
        <v>0.52533892246793368</v>
      </c>
      <c r="U44" s="8">
        <f t="shared" si="6"/>
        <v>1.646067415730337</v>
      </c>
      <c r="V44" s="10">
        <v>1.3461565574020156</v>
      </c>
      <c r="X44">
        <v>0.95</v>
      </c>
      <c r="Y44">
        <v>0.1</v>
      </c>
    </row>
    <row r="45" spans="1:25" x14ac:dyDescent="0.2">
      <c r="A45">
        <f t="shared" si="4"/>
        <v>44</v>
      </c>
      <c r="B45" s="2">
        <f t="shared" si="5"/>
        <v>44501</v>
      </c>
      <c r="C45" s="1">
        <f>verzamel!E45</f>
        <v>3525</v>
      </c>
      <c r="D45" s="1">
        <v>3016.8860855035264</v>
      </c>
      <c r="E45" s="1">
        <f t="shared" si="2"/>
        <v>508.11391449647363</v>
      </c>
      <c r="F45">
        <f>Corona!E45</f>
        <v>409</v>
      </c>
      <c r="G45">
        <f>verzamel!F45</f>
        <v>2823</v>
      </c>
      <c r="H45" s="1">
        <f>('311 cov wlz'!D45+'312 cov nwlz'!D45)*1.07</f>
        <v>301.74</v>
      </c>
      <c r="I45" s="6">
        <f t="shared" si="3"/>
        <v>0.80085106382978721</v>
      </c>
      <c r="J45" s="8">
        <f t="shared" si="18"/>
        <v>3.0257970805723611</v>
      </c>
      <c r="K45" s="8">
        <f t="shared" si="19"/>
        <v>2.116708856225149</v>
      </c>
      <c r="L45" s="8">
        <f t="shared" si="12"/>
        <v>0.90908822434721204</v>
      </c>
      <c r="M45" s="10">
        <f t="shared" si="13"/>
        <v>129.59188034188028</v>
      </c>
      <c r="N45" s="6">
        <f t="shared" si="8"/>
        <v>0.30044586604441054</v>
      </c>
      <c r="O45" s="6">
        <f t="shared" si="14"/>
        <v>0.31600419577999062</v>
      </c>
      <c r="P45" s="10" cm="1">
        <f t="array" ref="P45">AVERAGE(E44:E46/178)</f>
        <v>3.100671566213471</v>
      </c>
      <c r="Q45" s="8">
        <f t="shared" si="15"/>
        <v>3.1722927340646376</v>
      </c>
      <c r="R45" s="8">
        <f t="shared" si="16"/>
        <v>2.1718306274973451</v>
      </c>
      <c r="S45">
        <v>0</v>
      </c>
      <c r="T45" s="8">
        <f t="shared" si="20"/>
        <v>0.80104073387415586</v>
      </c>
      <c r="U45" s="8">
        <f t="shared" si="6"/>
        <v>2.3726591760299622</v>
      </c>
      <c r="V45" s="10">
        <v>1.8104388145905934</v>
      </c>
      <c r="X45">
        <v>0.95</v>
      </c>
      <c r="Y45">
        <v>0.1</v>
      </c>
    </row>
    <row r="46" spans="1:25" x14ac:dyDescent="0.2">
      <c r="A46">
        <f t="shared" si="4"/>
        <v>45</v>
      </c>
      <c r="B46" s="2">
        <f t="shared" si="5"/>
        <v>44508</v>
      </c>
      <c r="C46" s="1">
        <f>verzamel!E46</f>
        <v>3790</v>
      </c>
      <c r="D46" s="1">
        <v>3045.4552078230749</v>
      </c>
      <c r="E46" s="1">
        <f t="shared" si="2"/>
        <v>744.54479217692506</v>
      </c>
      <c r="F46">
        <f>Corona!E46</f>
        <v>559</v>
      </c>
      <c r="G46">
        <f>verzamel!F46</f>
        <v>2987</v>
      </c>
      <c r="H46" s="1">
        <f>('311 cov wlz'!D46+'312 cov nwlz'!D46)*1.07</f>
        <v>404.46000000000004</v>
      </c>
      <c r="I46" s="6">
        <f t="shared" si="3"/>
        <v>0.78812664907651719</v>
      </c>
      <c r="J46" s="8">
        <f t="shared" si="18"/>
        <v>4.0977416150111239</v>
      </c>
      <c r="K46" s="8">
        <f t="shared" si="19"/>
        <v>2.8830990471819833</v>
      </c>
      <c r="L46" s="8">
        <f t="shared" si="12"/>
        <v>1.2146425678291406</v>
      </c>
      <c r="M46" s="10">
        <f t="shared" si="13"/>
        <v>170.39800747198007</v>
      </c>
      <c r="N46" s="6">
        <f t="shared" si="8"/>
        <v>0.29641755921837043</v>
      </c>
      <c r="O46" s="6">
        <f t="shared" si="14"/>
        <v>0.28114020286799241</v>
      </c>
      <c r="P46" s="10" cm="1">
        <f t="array" ref="P46">AVERAGE(E45:E47/178)</f>
        <v>4.0813959037810514</v>
      </c>
      <c r="Q46" s="8">
        <f t="shared" si="15"/>
        <v>4.2746657972920126</v>
      </c>
      <c r="R46" s="8">
        <f t="shared" si="16"/>
        <v>3.1272884995509465</v>
      </c>
      <c r="S46">
        <v>0</v>
      </c>
      <c r="T46" s="8">
        <f t="shared" si="20"/>
        <v>0.9135906494245446</v>
      </c>
      <c r="U46" s="8">
        <f t="shared" si="6"/>
        <v>3.3614232209737831</v>
      </c>
      <c r="V46" s="10">
        <v>2.3481428078541784</v>
      </c>
      <c r="X46">
        <v>0.95</v>
      </c>
      <c r="Y46">
        <v>0.1</v>
      </c>
    </row>
    <row r="47" spans="1:25" x14ac:dyDescent="0.2">
      <c r="A47">
        <f t="shared" si="4"/>
        <v>46</v>
      </c>
      <c r="B47" s="2">
        <f t="shared" si="5"/>
        <v>44515</v>
      </c>
      <c r="C47" s="1">
        <f>verzamel!E47</f>
        <v>4000</v>
      </c>
      <c r="D47" s="1">
        <v>3073.1932940543174</v>
      </c>
      <c r="E47" s="1">
        <f t="shared" si="2"/>
        <v>926.80670594568255</v>
      </c>
      <c r="F47">
        <f>Corona!E47</f>
        <v>827</v>
      </c>
      <c r="G47">
        <f>verzamel!F47</f>
        <v>3199</v>
      </c>
      <c r="H47" s="1">
        <f>('311 cov wlz'!D47+'312 cov nwlz'!D47)*1.07</f>
        <v>623.81000000000006</v>
      </c>
      <c r="I47" s="6">
        <f t="shared" si="3"/>
        <v>0.79974999999999996</v>
      </c>
      <c r="J47" s="8">
        <f t="shared" si="18"/>
        <v>5.7004586962925528</v>
      </c>
      <c r="K47" s="8">
        <f t="shared" si="19"/>
        <v>4.3820575952457057</v>
      </c>
      <c r="L47" s="8">
        <f t="shared" si="12"/>
        <v>1.318401101046847</v>
      </c>
      <c r="M47" s="10">
        <f t="shared" si="13"/>
        <v>187.68164794007444</v>
      </c>
      <c r="N47" s="6">
        <f t="shared" si="8"/>
        <v>0.23127982699081825</v>
      </c>
      <c r="O47" s="6">
        <f t="shared" si="14"/>
        <v>0.23940078408553112</v>
      </c>
      <c r="P47" s="10" cm="1">
        <f t="array" ref="P47">AVERAGE(E46:E48/178)</f>
        <v>5.1884892243279426</v>
      </c>
      <c r="Q47" s="8">
        <f t="shared" si="15"/>
        <v>5.5529433576273979</v>
      </c>
      <c r="R47" s="8">
        <f t="shared" si="16"/>
        <v>4.2543624947587952</v>
      </c>
      <c r="S47">
        <v>0</v>
      </c>
      <c r="T47" s="8">
        <f t="shared" si="20"/>
        <v>1.0356580861767093</v>
      </c>
      <c r="U47" s="8">
        <f t="shared" si="6"/>
        <v>4.5168539325842696</v>
      </c>
      <c r="V47" s="10">
        <v>3.0759781199736103</v>
      </c>
      <c r="X47">
        <v>0.95</v>
      </c>
      <c r="Y47">
        <v>0.1</v>
      </c>
    </row>
    <row r="48" spans="1:25" x14ac:dyDescent="0.2">
      <c r="A48">
        <f t="shared" si="4"/>
        <v>47</v>
      </c>
      <c r="B48" s="2">
        <f t="shared" si="5"/>
        <v>44522</v>
      </c>
      <c r="C48" s="1">
        <f>verzamel!E48</f>
        <v>4199</v>
      </c>
      <c r="D48" s="1">
        <v>3099.6982523314864</v>
      </c>
      <c r="E48" s="1">
        <f t="shared" si="2"/>
        <v>1099.3017476685136</v>
      </c>
      <c r="F48">
        <f>Corona!E48</f>
        <v>1026</v>
      </c>
      <c r="G48">
        <f>verzamel!F48</f>
        <v>3379</v>
      </c>
      <c r="H48" s="1">
        <f>('311 cov wlz'!D48+'312 cov nwlz'!D48)*1.07</f>
        <v>787.5200000000001</v>
      </c>
      <c r="I48" s="6">
        <f t="shared" si="3"/>
        <v>0.80471540843057876</v>
      </c>
      <c r="J48" s="8">
        <f t="shared" si="18"/>
        <v>6.8606297615785143</v>
      </c>
      <c r="K48" s="8">
        <f t="shared" si="19"/>
        <v>5.4979308418486958</v>
      </c>
      <c r="L48" s="8">
        <f t="shared" si="12"/>
        <v>1.3626989197298185</v>
      </c>
      <c r="M48" s="10">
        <f t="shared" si="13"/>
        <v>195.1920975609755</v>
      </c>
      <c r="N48" s="6">
        <f t="shared" si="8"/>
        <v>0.19862592314211758</v>
      </c>
      <c r="O48" s="6">
        <f t="shared" si="14"/>
        <v>0.20984296598759336</v>
      </c>
      <c r="P48" s="10" cm="1">
        <f t="array" ref="P48">AVERAGE(E47:E49/178)</f>
        <v>6.1844991129713067</v>
      </c>
      <c r="Q48" s="8">
        <f t="shared" si="15"/>
        <v>6.6190376909941788</v>
      </c>
      <c r="R48" s="8">
        <f t="shared" si="16"/>
        <v>5.2125726103946457</v>
      </c>
      <c r="S48">
        <v>0</v>
      </c>
      <c r="T48" s="8">
        <f t="shared" si="20"/>
        <v>1.1266476930108484</v>
      </c>
      <c r="U48" s="8">
        <f t="shared" si="6"/>
        <v>5.4925093632958797</v>
      </c>
      <c r="V48" s="10">
        <v>3.8796937001383989</v>
      </c>
      <c r="X48">
        <v>0.95</v>
      </c>
      <c r="Y48">
        <v>0.1</v>
      </c>
    </row>
    <row r="49" spans="1:68" x14ac:dyDescent="0.2">
      <c r="A49">
        <f t="shared" si="4"/>
        <v>48</v>
      </c>
      <c r="B49" s="2">
        <f t="shared" si="5"/>
        <v>44529</v>
      </c>
      <c r="C49" s="1">
        <f>verzamel!E49</f>
        <v>4401</v>
      </c>
      <c r="D49" s="1">
        <v>3124.5859272875182</v>
      </c>
      <c r="E49" s="1">
        <f t="shared" si="2"/>
        <v>1276.4140727124818</v>
      </c>
      <c r="F49">
        <f>Corona!E49</f>
        <v>1080</v>
      </c>
      <c r="G49">
        <f>verzamel!F49</f>
        <v>3515</v>
      </c>
      <c r="H49" s="1">
        <f>('311 cov wlz'!D49+'312 cov nwlz'!D49)*1.07</f>
        <v>818.55000000000007</v>
      </c>
      <c r="I49" s="6">
        <f t="shared" si="3"/>
        <v>0.79868211770052255</v>
      </c>
      <c r="J49" s="8">
        <f t="shared" si="18"/>
        <v>7.2960246151114676</v>
      </c>
      <c r="K49" s="8">
        <f t="shared" si="19"/>
        <v>5.7577293940895373</v>
      </c>
      <c r="L49" s="8">
        <f t="shared" si="12"/>
        <v>1.5382952210219303</v>
      </c>
      <c r="M49" s="10">
        <f t="shared" si="13"/>
        <v>218.69238148984121</v>
      </c>
      <c r="N49" s="6">
        <f t="shared" si="8"/>
        <v>0.21084019067532003</v>
      </c>
      <c r="O49" s="6">
        <f t="shared" si="14"/>
        <v>0.21565000250105271</v>
      </c>
      <c r="P49" s="10" cm="1">
        <f t="array" ref="P49">AVERAGE(E48:E50/178)</f>
        <v>6.7700751237385814</v>
      </c>
      <c r="Q49" s="8">
        <f t="shared" si="15"/>
        <v>7.1699714053921113</v>
      </c>
      <c r="R49" s="8">
        <f t="shared" si="16"/>
        <v>5.6090905004422948</v>
      </c>
      <c r="S49">
        <v>0</v>
      </c>
      <c r="T49" s="8">
        <f t="shared" si="20"/>
        <v>1.2507570726831669</v>
      </c>
      <c r="U49" s="8">
        <f t="shared" si="6"/>
        <v>5.9194756554307117</v>
      </c>
      <c r="V49" s="10">
        <v>4.5645428910340966</v>
      </c>
      <c r="X49">
        <v>0.95</v>
      </c>
      <c r="Y49">
        <v>0.1</v>
      </c>
    </row>
    <row r="50" spans="1:68" x14ac:dyDescent="0.2">
      <c r="A50">
        <f t="shared" si="4"/>
        <v>49</v>
      </c>
      <c r="B50" s="2">
        <f t="shared" si="5"/>
        <v>44536</v>
      </c>
      <c r="C50" s="1">
        <f>verzamel!E50</f>
        <v>4387</v>
      </c>
      <c r="D50" s="1">
        <v>3147.4957043045929</v>
      </c>
      <c r="E50" s="1">
        <f t="shared" si="2"/>
        <v>1239.5042956954071</v>
      </c>
      <c r="F50">
        <f>Corona!E50</f>
        <v>1055</v>
      </c>
      <c r="G50">
        <f>verzamel!F50</f>
        <v>3512</v>
      </c>
      <c r="H50" s="1">
        <f>('311 cov wlz'!D50+'312 cov nwlz'!D50)*1.07</f>
        <v>793.94</v>
      </c>
      <c r="I50" s="6">
        <f t="shared" si="3"/>
        <v>0.80054707089126964</v>
      </c>
      <c r="J50" s="8">
        <f t="shared" si="18"/>
        <v>7.3532598394863538</v>
      </c>
      <c r="K50" s="8">
        <f t="shared" si="19"/>
        <v>5.5716112653886523</v>
      </c>
      <c r="L50" s="8">
        <f t="shared" si="12"/>
        <v>1.7816485740977015</v>
      </c>
      <c r="M50" s="10">
        <f t="shared" si="13"/>
        <v>253.88025142857094</v>
      </c>
      <c r="N50" s="6">
        <f t="shared" si="8"/>
        <v>0.2422937055114531</v>
      </c>
      <c r="O50" s="6">
        <f t="shared" si="14"/>
        <v>0.27134467827719266</v>
      </c>
      <c r="P50" s="10" cm="1">
        <f t="array" ref="P50">AVERAGE(E49:E51/178)</f>
        <v>6.3779449387547045</v>
      </c>
      <c r="Q50" s="8">
        <f t="shared" si="15"/>
        <v>7.021225524521121</v>
      </c>
      <c r="R50" s="8">
        <f t="shared" si="16"/>
        <v>5.0808111475433604</v>
      </c>
      <c r="S50">
        <v>0</v>
      </c>
      <c r="T50" s="8">
        <f t="shared" si="20"/>
        <v>1.5570290524537826</v>
      </c>
      <c r="U50" s="8">
        <f t="shared" si="6"/>
        <v>5.4625468164794011</v>
      </c>
      <c r="V50" s="10">
        <v>4.4320021782143577</v>
      </c>
      <c r="X50">
        <v>0.95</v>
      </c>
      <c r="Y50">
        <v>0.1</v>
      </c>
    </row>
    <row r="51" spans="1:68" x14ac:dyDescent="0.2">
      <c r="A51">
        <f t="shared" si="4"/>
        <v>50</v>
      </c>
      <c r="B51" s="2">
        <f t="shared" si="5"/>
        <v>44543</v>
      </c>
      <c r="C51" s="1">
        <f>verzamel!E51</f>
        <v>4058</v>
      </c>
      <c r="D51" s="1">
        <v>3168.0957711128763</v>
      </c>
      <c r="E51" s="1">
        <f t="shared" si="2"/>
        <v>889.90422888712374</v>
      </c>
      <c r="F51">
        <f>Corona!E51</f>
        <v>782</v>
      </c>
      <c r="G51">
        <f>verzamel!F51</f>
        <v>3279</v>
      </c>
      <c r="H51" s="1">
        <f>('311 cov wlz'!D51+'312 cov nwlz'!D51)*1.07</f>
        <v>562.82000000000005</v>
      </c>
      <c r="I51" s="6">
        <f t="shared" si="3"/>
        <v>0.80803351404632828</v>
      </c>
      <c r="J51" s="8">
        <f t="shared" si="18"/>
        <v>6.4143921189655426</v>
      </c>
      <c r="K51" s="8">
        <f t="shared" si="19"/>
        <v>3.9130927831518929</v>
      </c>
      <c r="L51" s="8">
        <f t="shared" si="12"/>
        <v>2.5012993358136497</v>
      </c>
      <c r="M51" s="10">
        <f t="shared" si="13"/>
        <v>359.76179717586655</v>
      </c>
      <c r="N51" s="6">
        <f t="shared" si="8"/>
        <v>0.38995111141054434</v>
      </c>
      <c r="O51" s="6">
        <f t="shared" si="14"/>
        <v>0.37924662751914096</v>
      </c>
      <c r="P51" s="10" cm="1">
        <f t="array" ref="P51">AVERAGE(E50:E52/178)</f>
        <v>5.0811246528373539</v>
      </c>
      <c r="Q51" s="8">
        <f t="shared" si="15"/>
        <v>6.4667421046789419</v>
      </c>
      <c r="R51" s="8">
        <f t="shared" si="16"/>
        <v>4.1101112206697152</v>
      </c>
      <c r="S51">
        <v>0</v>
      </c>
      <c r="T51" s="8">
        <f t="shared" si="20"/>
        <v>1.9074642897755987</v>
      </c>
      <c r="U51" s="8">
        <f t="shared" si="6"/>
        <v>4.5561797752808992</v>
      </c>
      <c r="V51" s="10">
        <v>3.0177317566529909</v>
      </c>
      <c r="X51">
        <v>0.95</v>
      </c>
      <c r="Y51">
        <v>0.1</v>
      </c>
    </row>
    <row r="52" spans="1:68" x14ac:dyDescent="0.2">
      <c r="A52">
        <f t="shared" si="4"/>
        <v>51</v>
      </c>
      <c r="B52" s="2">
        <f t="shared" si="5"/>
        <v>44550</v>
      </c>
      <c r="C52" s="1">
        <f>verzamel!E52</f>
        <v>3770</v>
      </c>
      <c r="D52" s="1">
        <v>3186.0879599673835</v>
      </c>
      <c r="E52" s="1">
        <f t="shared" si="2"/>
        <v>583.91204003261646</v>
      </c>
      <c r="F52">
        <f>Corona!E52</f>
        <v>596</v>
      </c>
      <c r="G52">
        <f>verzamel!F52</f>
        <v>3090</v>
      </c>
      <c r="H52" s="1">
        <f>('311 cov wlz'!D52+'312 cov nwlz'!D52)*1.07</f>
        <v>415.16</v>
      </c>
      <c r="I52" s="6">
        <f t="shared" si="3"/>
        <v>0.81962864721485407</v>
      </c>
      <c r="J52" s="8">
        <f t="shared" si="18"/>
        <v>5.6325743555849277</v>
      </c>
      <c r="K52" s="8">
        <f t="shared" si="19"/>
        <v>2.8456296134686014</v>
      </c>
      <c r="L52" s="8">
        <f t="shared" si="12"/>
        <v>2.7869447421163263</v>
      </c>
      <c r="M52" s="10">
        <f t="shared" si="13"/>
        <v>406.59823529411716</v>
      </c>
      <c r="N52" s="6">
        <f t="shared" si="8"/>
        <v>0.49479058174402202</v>
      </c>
      <c r="O52" s="6">
        <f t="shared" si="14"/>
        <v>0.47628040424190543</v>
      </c>
      <c r="P52" s="10" cm="1">
        <f t="array" ref="P52">AVERAGE(E51:E53/178)</f>
        <v>3.6659254104479557</v>
      </c>
      <c r="Q52" s="8">
        <f t="shared" si="15"/>
        <v>5.3903110772893834</v>
      </c>
      <c r="R52" s="8">
        <f t="shared" si="16"/>
        <v>2.9050587264150036</v>
      </c>
      <c r="S52">
        <v>0</v>
      </c>
      <c r="T52" s="8">
        <f t="shared" si="20"/>
        <v>2.035621768922284</v>
      </c>
      <c r="U52" s="8">
        <f t="shared" si="6"/>
        <v>3.3558052434456931</v>
      </c>
      <c r="V52" s="10">
        <v>1.4367271680212341</v>
      </c>
      <c r="X52">
        <v>0.95</v>
      </c>
      <c r="Y52">
        <v>0.1</v>
      </c>
    </row>
    <row r="53" spans="1:68" x14ac:dyDescent="0.2">
      <c r="A53">
        <f t="shared" si="4"/>
        <v>52</v>
      </c>
      <c r="B53" s="2">
        <f t="shared" si="5"/>
        <v>44557</v>
      </c>
      <c r="C53" s="1">
        <f>verzamel!E53</f>
        <v>3685</v>
      </c>
      <c r="D53" s="1">
        <v>3201.2120997405318</v>
      </c>
      <c r="E53" s="1">
        <f t="shared" si="2"/>
        <v>483.78790025946819</v>
      </c>
      <c r="F53">
        <f>Corona!E53</f>
        <v>414</v>
      </c>
      <c r="G53">
        <f>verzamel!F53</f>
        <v>3057</v>
      </c>
      <c r="H53" s="1">
        <f>('311 cov wlz'!D53+'312 cov nwlz'!D53)*1.07</f>
        <v>288.90000000000003</v>
      </c>
      <c r="I53" s="6">
        <f t="shared" si="3"/>
        <v>0.82957937584803254</v>
      </c>
      <c r="J53" s="8">
        <f t="shared" si="18"/>
        <v>4.1239667573176826</v>
      </c>
      <c r="K53" s="8">
        <f t="shared" si="19"/>
        <v>1.9564537826245167</v>
      </c>
      <c r="L53" s="8">
        <f t="shared" si="12"/>
        <v>2.1675129746931656</v>
      </c>
      <c r="M53" s="10">
        <f t="shared" si="13"/>
        <v>320.06608280254744</v>
      </c>
      <c r="N53" s="6">
        <f t="shared" si="8"/>
        <v>0.52558934206903329</v>
      </c>
      <c r="O53" s="6">
        <f t="shared" si="14"/>
        <v>0.55899703811976353</v>
      </c>
      <c r="P53" s="10" cm="1">
        <f t="array" ref="P53">AVERAGE(E52:E54/178)</f>
        <v>2.3379293675908461</v>
      </c>
      <c r="Q53" s="8">
        <f t="shared" si="15"/>
        <v>4.5513647811604754</v>
      </c>
      <c r="R53" s="8">
        <f t="shared" si="16"/>
        <v>2.0034170953518444</v>
      </c>
      <c r="S53">
        <v>0</v>
      </c>
      <c r="T53" s="8">
        <f t="shared" si="20"/>
        <v>2.1064019881843321</v>
      </c>
      <c r="U53" s="8">
        <f t="shared" si="6"/>
        <v>2.4456928838951311</v>
      </c>
      <c r="V53" s="10">
        <v>0.68469081851798619</v>
      </c>
      <c r="X53">
        <v>0.95</v>
      </c>
      <c r="Y53">
        <v>0.1</v>
      </c>
    </row>
    <row r="54" spans="1:68" x14ac:dyDescent="0.2">
      <c r="A54">
        <v>1</v>
      </c>
      <c r="B54" s="2">
        <f t="shared" si="5"/>
        <v>44564</v>
      </c>
      <c r="C54" s="1">
        <f>verzamel!E54</f>
        <v>3436</v>
      </c>
      <c r="D54" s="1">
        <v>3255.2456579985728</v>
      </c>
      <c r="E54" s="1">
        <f t="shared" si="2"/>
        <v>180.75434200142718</v>
      </c>
      <c r="F54">
        <f>Corona!E54</f>
        <v>296</v>
      </c>
      <c r="G54">
        <f>verzamel!F54</f>
        <v>2855</v>
      </c>
      <c r="H54" s="1">
        <f>('311 cov wlz'!D54+'312 cov nwlz'!D54)*1.07</f>
        <v>178.69</v>
      </c>
      <c r="I54" s="6">
        <f t="shared" si="3"/>
        <v>0.83090803259604196</v>
      </c>
      <c r="J54" s="8">
        <f t="shared" si="18"/>
        <v>3.8975532305788172</v>
      </c>
      <c r="K54" s="8">
        <f t="shared" si="19"/>
        <v>1.2081678899624155</v>
      </c>
      <c r="L54" s="8">
        <f t="shared" si="12"/>
        <v>2.6893853406164014</v>
      </c>
      <c r="M54" s="10">
        <f t="shared" si="13"/>
        <v>397.76447504302945</v>
      </c>
      <c r="N54" s="6">
        <f t="shared" si="8"/>
        <v>0.69001888659696553</v>
      </c>
      <c r="O54" s="6">
        <f t="shared" si="14"/>
        <v>0.65112831524810755</v>
      </c>
      <c r="P54" s="10" cm="1">
        <f t="array" ref="P54">AVERAGE(E53:E55/178)</f>
        <v>1.0456992469411266</v>
      </c>
      <c r="Q54" s="8">
        <f t="shared" si="15"/>
        <v>3.6923504169334875</v>
      </c>
      <c r="R54" s="8">
        <f t="shared" si="16"/>
        <v>1.3615614893346859</v>
      </c>
      <c r="S54">
        <v>0</v>
      </c>
      <c r="T54" s="8">
        <f t="shared" si="20"/>
        <v>1.9398194396321948</v>
      </c>
      <c r="U54" s="8">
        <f t="shared" si="6"/>
        <v>1.752808988764045</v>
      </c>
      <c r="V54" s="10">
        <v>0.4337441251291711</v>
      </c>
      <c r="X54">
        <v>0.95</v>
      </c>
      <c r="Y54">
        <v>0.1</v>
      </c>
    </row>
    <row r="55" spans="1:68" x14ac:dyDescent="0.2">
      <c r="A55">
        <f t="shared" ref="A55:A105" si="21">A54+1</f>
        <v>2</v>
      </c>
      <c r="B55" s="2">
        <f t="shared" si="5"/>
        <v>44571</v>
      </c>
      <c r="C55" s="1">
        <f>verzamel!E55</f>
        <v>3158</v>
      </c>
      <c r="D55" s="1">
        <v>3264.1388443943338</v>
      </c>
      <c r="E55" s="1">
        <f t="shared" si="2"/>
        <v>-106.13884439433377</v>
      </c>
      <c r="F55">
        <f>Corona!E55</f>
        <v>226</v>
      </c>
      <c r="G55">
        <f>verzamel!F55</f>
        <v>2641</v>
      </c>
      <c r="H55" s="1">
        <f>('311 cov wlz'!D55+'312 cov nwlz'!D55)*1.07</f>
        <v>136.96</v>
      </c>
      <c r="I55" s="6">
        <f t="shared" si="3"/>
        <v>0.83628879037365422</v>
      </c>
      <c r="J55" s="8">
        <f t="shared" si="18"/>
        <v>3.0555312629039619</v>
      </c>
      <c r="K55" s="8">
        <f t="shared" si="19"/>
        <v>0.92006279541712577</v>
      </c>
      <c r="L55" s="8">
        <f t="shared" si="12"/>
        <v>2.1354684674868363</v>
      </c>
      <c r="M55" s="10">
        <f t="shared" si="13"/>
        <v>317.88456479690524</v>
      </c>
      <c r="N55" s="6">
        <f t="shared" si="8"/>
        <v>0.6988861457294655</v>
      </c>
      <c r="O55" s="6">
        <f t="shared" si="14"/>
        <v>0.70389412355996583</v>
      </c>
      <c r="P55" s="10" cm="1">
        <f t="array" ref="P55">AVERAGE(E54:E56/178)</f>
        <v>-3.7202165215881231E-3</v>
      </c>
      <c r="Q55" s="8">
        <f t="shared" si="15"/>
        <v>3.1939735401094516</v>
      </c>
      <c r="R55" s="8">
        <f t="shared" si="16"/>
        <v>0.94794616015099165</v>
      </c>
      <c r="S55">
        <v>0</v>
      </c>
      <c r="T55" s="8">
        <f t="shared" si="20"/>
        <v>1.8833802341857502</v>
      </c>
      <c r="U55" s="8">
        <f t="shared" si="6"/>
        <v>1.3127340823970037</v>
      </c>
      <c r="V55" s="10">
        <v>0.28215756959288507</v>
      </c>
      <c r="X55">
        <v>0.95</v>
      </c>
      <c r="Y55">
        <v>0.1</v>
      </c>
    </row>
    <row r="56" spans="1:68" x14ac:dyDescent="0.2">
      <c r="A56">
        <f t="shared" si="21"/>
        <v>3</v>
      </c>
      <c r="B56" s="2">
        <f t="shared" si="5"/>
        <v>44578</v>
      </c>
      <c r="C56" s="1">
        <f>verzamel!E56</f>
        <v>3193</v>
      </c>
      <c r="D56" s="1">
        <v>3269.6020932296215</v>
      </c>
      <c r="E56" s="1">
        <f t="shared" si="2"/>
        <v>-76.60209322962146</v>
      </c>
      <c r="F56">
        <f>Corona!E56</f>
        <v>179</v>
      </c>
      <c r="G56">
        <f>verzamel!F56</f>
        <v>2709</v>
      </c>
      <c r="H56" s="1">
        <f>('311 cov wlz'!D56+'312 cov nwlz'!D56)*1.07</f>
        <v>108.07000000000001</v>
      </c>
      <c r="I56" s="6">
        <f t="shared" si="3"/>
        <v>0.84841841528343254</v>
      </c>
      <c r="J56" s="8">
        <f t="shared" si="18"/>
        <v>2.6288361268455755</v>
      </c>
      <c r="K56" s="8">
        <f t="shared" si="19"/>
        <v>0.71560779507343386</v>
      </c>
      <c r="L56" s="8">
        <f t="shared" si="12"/>
        <v>1.9132283317721417</v>
      </c>
      <c r="M56" s="10">
        <f t="shared" si="13"/>
        <v>288.93283057851244</v>
      </c>
      <c r="N56" s="6">
        <f t="shared" si="8"/>
        <v>0.72778531618396669</v>
      </c>
      <c r="O56" s="6">
        <f t="shared" si="14"/>
        <v>0.70045579348718989</v>
      </c>
      <c r="P56" s="10" cm="1">
        <f t="array" ref="P56">AVERAGE(E55:E57/178)</f>
        <v>-0.47059705333933294</v>
      </c>
      <c r="Q56" s="8">
        <f t="shared" si="15"/>
        <v>2.6771649538047746</v>
      </c>
      <c r="R56" s="8">
        <f t="shared" si="16"/>
        <v>0.82111553673999882</v>
      </c>
      <c r="S56">
        <v>0</v>
      </c>
      <c r="T56" s="8">
        <f t="shared" si="20"/>
        <v>1.5725169940342059</v>
      </c>
      <c r="U56" s="8">
        <f t="shared" si="6"/>
        <v>1.1067415730337078</v>
      </c>
      <c r="V56" s="10">
        <v>0.22451840801639103</v>
      </c>
      <c r="X56">
        <v>0.95</v>
      </c>
      <c r="Y56">
        <v>0.1</v>
      </c>
    </row>
    <row r="57" spans="1:68" x14ac:dyDescent="0.2">
      <c r="A57">
        <f t="shared" si="21"/>
        <v>4</v>
      </c>
      <c r="B57" s="2">
        <f t="shared" si="5"/>
        <v>44585</v>
      </c>
      <c r="C57" s="1">
        <f>verzamel!E57</f>
        <v>3203</v>
      </c>
      <c r="D57" s="1">
        <v>3271.5578888592486</v>
      </c>
      <c r="E57" s="1">
        <f t="shared" si="2"/>
        <v>-68.557888859248578</v>
      </c>
      <c r="F57">
        <f>Corona!E57</f>
        <v>186</v>
      </c>
      <c r="G57">
        <f>verzamel!F57</f>
        <v>2745</v>
      </c>
      <c r="H57" s="1">
        <f>('311 cov wlz'!D57+'312 cov nwlz'!D57)*1.07</f>
        <v>126.26</v>
      </c>
      <c r="I57" s="6">
        <f t="shared" si="3"/>
        <v>0.85700905401186389</v>
      </c>
      <c r="J57" s="8">
        <f t="shared" si="18"/>
        <v>2.3471274716647859</v>
      </c>
      <c r="K57" s="8">
        <f t="shared" si="19"/>
        <v>0.82767601972943661</v>
      </c>
      <c r="L57" s="8">
        <f t="shared" si="12"/>
        <v>1.5194514519353493</v>
      </c>
      <c r="M57" s="10">
        <f t="shared" si="13"/>
        <v>231.78868995633187</v>
      </c>
      <c r="N57" s="6">
        <f t="shared" si="8"/>
        <v>0.64736639585136069</v>
      </c>
      <c r="O57" s="6">
        <f t="shared" si="14"/>
        <v>0.66504751638966142</v>
      </c>
      <c r="P57" s="10" cm="1">
        <f t="array" ref="P57">AVERAGE(E56:E58/178)</f>
        <v>-0.23996224412168174</v>
      </c>
      <c r="Q57" s="8">
        <f t="shared" si="15"/>
        <v>2.6281348699154385</v>
      </c>
      <c r="R57" s="8">
        <f t="shared" si="16"/>
        <v>0.86569785087686191</v>
      </c>
      <c r="S57">
        <v>0</v>
      </c>
      <c r="T57" s="8">
        <f t="shared" si="20"/>
        <v>1.4978730944458101</v>
      </c>
      <c r="U57" s="8">
        <f t="shared" si="6"/>
        <v>1.1310861423220975</v>
      </c>
      <c r="V57" s="10">
        <v>0.30197232692290543</v>
      </c>
      <c r="X57">
        <v>0.95</v>
      </c>
      <c r="Y57">
        <v>0.1</v>
      </c>
    </row>
    <row r="58" spans="1:68" x14ac:dyDescent="0.2">
      <c r="A58">
        <f t="shared" si="21"/>
        <v>5</v>
      </c>
      <c r="B58" s="2">
        <f t="shared" si="5"/>
        <v>44592</v>
      </c>
      <c r="C58" s="1">
        <f>verzamel!E58</f>
        <v>3287</v>
      </c>
      <c r="D58" s="1">
        <v>3269.979856272108</v>
      </c>
      <c r="E58" s="1">
        <f t="shared" si="2"/>
        <v>17.020143727891991</v>
      </c>
      <c r="F58">
        <f>Corona!E58</f>
        <v>239</v>
      </c>
      <c r="G58">
        <f>verzamel!F58</f>
        <v>2775</v>
      </c>
      <c r="H58" s="1">
        <f>('311 cov wlz'!D58+'312 cov nwlz'!D58)*1.07</f>
        <v>158.36000000000001</v>
      </c>
      <c r="I58" s="6">
        <f t="shared" si="3"/>
        <v>0.84423486461819286</v>
      </c>
      <c r="J58" s="8">
        <f t="shared" si="18"/>
        <v>2.9084410112359542</v>
      </c>
      <c r="K58" s="8">
        <f t="shared" si="19"/>
        <v>1.0538097378277154</v>
      </c>
      <c r="L58" s="8">
        <f t="shared" si="12"/>
        <v>1.8546312734082389</v>
      </c>
      <c r="M58" s="10">
        <f t="shared" si="13"/>
        <v>278.70249999999987</v>
      </c>
      <c r="N58" s="6">
        <f t="shared" si="8"/>
        <v>0.63767195767195761</v>
      </c>
      <c r="O58" s="6">
        <f t="shared" si="14"/>
        <v>0.66430596741269254</v>
      </c>
      <c r="P58" s="10" cm="1">
        <f t="array" ref="P58">AVERAGE(E57:E59/178)</f>
        <v>-0.1131664733358404</v>
      </c>
      <c r="Q58" s="8">
        <f t="shared" si="15"/>
        <v>3.1131514042609738</v>
      </c>
      <c r="R58" s="8">
        <f t="shared" si="16"/>
        <v>0.98856734921931944</v>
      </c>
      <c r="S58">
        <v>0</v>
      </c>
      <c r="T58" s="8">
        <f t="shared" si="20"/>
        <v>1.8055593580910219</v>
      </c>
      <c r="U58" s="8">
        <f t="shared" si="6"/>
        <v>1.3089887640449438</v>
      </c>
      <c r="V58" s="10">
        <v>0.36575560697955867</v>
      </c>
      <c r="X58">
        <v>0.95</v>
      </c>
      <c r="Y58">
        <v>0.1</v>
      </c>
    </row>
    <row r="59" spans="1:68" x14ac:dyDescent="0.2">
      <c r="A59">
        <f t="shared" si="21"/>
        <v>6</v>
      </c>
      <c r="B59" s="2">
        <f t="shared" si="5"/>
        <v>44599</v>
      </c>
      <c r="C59" s="1">
        <f>verzamel!E59</f>
        <v>3256</v>
      </c>
      <c r="D59" s="1">
        <v>3264.8931516299822</v>
      </c>
      <c r="E59" s="1">
        <f t="shared" si="2"/>
        <v>-8.8931516299821851</v>
      </c>
      <c r="F59">
        <f>Corona!E59</f>
        <v>274</v>
      </c>
      <c r="G59">
        <f>verzamel!F59</f>
        <v>2762</v>
      </c>
      <c r="H59" s="1">
        <f>('311 cov wlz'!D59+'312 cov nwlz'!D59)*1.07</f>
        <v>163.71</v>
      </c>
      <c r="I59" s="6">
        <f t="shared" si="3"/>
        <v>0.84828009828009832</v>
      </c>
      <c r="J59" s="8">
        <f t="shared" si="18"/>
        <v>4.0838857298821827</v>
      </c>
      <c r="K59" s="8">
        <f t="shared" si="19"/>
        <v>1.0842162901008063</v>
      </c>
      <c r="L59" s="8">
        <f t="shared" si="12"/>
        <v>2.9996694397813766</v>
      </c>
      <c r="M59" s="10">
        <f t="shared" si="13"/>
        <v>452.9316599190285</v>
      </c>
      <c r="N59" s="6">
        <f t="shared" si="8"/>
        <v>0.73451355845549449</v>
      </c>
      <c r="O59" s="6">
        <f t="shared" si="14"/>
        <v>0.68636331408864248</v>
      </c>
      <c r="P59" s="10" cm="1">
        <f t="array" ref="P59">AVERAGE(E58:E60/178)</f>
        <v>0.24298294144587207</v>
      </c>
      <c r="Q59" s="8">
        <f t="shared" si="15"/>
        <v>3.5063767351215134</v>
      </c>
      <c r="R59" s="8">
        <f t="shared" si="16"/>
        <v>1.1373563437002956</v>
      </c>
      <c r="S59">
        <v>0</v>
      </c>
      <c r="T59" s="8">
        <f t="shared" si="20"/>
        <v>1.9997383027408469</v>
      </c>
      <c r="U59" s="8">
        <f t="shared" si="6"/>
        <v>1.5056179775280898</v>
      </c>
      <c r="V59" s="10">
        <v>0.29090342749395443</v>
      </c>
      <c r="X59">
        <v>0.95</v>
      </c>
      <c r="Y59">
        <v>0.1</v>
      </c>
      <c r="BP59">
        <f>200*1080/1920</f>
        <v>112.5</v>
      </c>
    </row>
    <row r="60" spans="1:68" x14ac:dyDescent="0.2">
      <c r="A60">
        <f t="shared" si="21"/>
        <v>7</v>
      </c>
      <c r="B60" s="2">
        <f t="shared" si="5"/>
        <v>44606</v>
      </c>
      <c r="C60" s="1">
        <f>verzamel!E60</f>
        <v>3378</v>
      </c>
      <c r="D60" s="1">
        <v>3256.3741013658141</v>
      </c>
      <c r="E60" s="1">
        <f t="shared" si="2"/>
        <v>121.62589863418589</v>
      </c>
      <c r="F60">
        <f>Corona!E60</f>
        <v>291</v>
      </c>
      <c r="G60">
        <f>verzamel!F60</f>
        <v>2837</v>
      </c>
      <c r="H60" s="1">
        <f>('311 cov wlz'!D60+'312 cov nwlz'!D60)*1.07</f>
        <v>190.46</v>
      </c>
      <c r="I60" s="6">
        <f t="shared" si="3"/>
        <v>0.83984606275902907</v>
      </c>
      <c r="J60" s="8">
        <f t="shared" si="18"/>
        <v>3.5268034642464028</v>
      </c>
      <c r="K60" s="8">
        <f t="shared" si="19"/>
        <v>1.2740430031723651</v>
      </c>
      <c r="L60" s="8">
        <f t="shared" si="12"/>
        <v>2.2527604610740379</v>
      </c>
      <c r="M60" s="10">
        <f t="shared" si="13"/>
        <v>336.77101663585978</v>
      </c>
      <c r="N60" s="6">
        <f t="shared" si="8"/>
        <v>0.63875418177162346</v>
      </c>
      <c r="O60" s="6">
        <f t="shared" si="14"/>
        <v>0.68124447081332185</v>
      </c>
      <c r="P60" s="10" cm="1">
        <f t="array" ref="P60">AVERAGE(E59:E61/178)</f>
        <v>0.41420159548035002</v>
      </c>
      <c r="Q60" s="8">
        <f t="shared" si="15"/>
        <v>3.750360817518517</v>
      </c>
      <c r="R60" s="8">
        <f t="shared" si="16"/>
        <v>1.1344041589312568</v>
      </c>
      <c r="S60">
        <v>0</v>
      </c>
      <c r="T60" s="8">
        <f t="shared" si="20"/>
        <v>2.2194378120030067</v>
      </c>
      <c r="U60" s="8">
        <f t="shared" si="6"/>
        <v>1.5299625468164793</v>
      </c>
      <c r="V60" s="10">
        <v>0.22786901037866605</v>
      </c>
      <c r="X60">
        <v>0.95</v>
      </c>
      <c r="Y60">
        <v>0.1</v>
      </c>
    </row>
    <row r="61" spans="1:68" x14ac:dyDescent="0.2">
      <c r="A61">
        <f t="shared" si="21"/>
        <v>8</v>
      </c>
      <c r="B61" s="2">
        <f t="shared" si="5"/>
        <v>44613</v>
      </c>
      <c r="C61" s="1">
        <f>verzamel!E61</f>
        <v>3353</v>
      </c>
      <c r="D61" s="1">
        <v>3244.5490950176968</v>
      </c>
      <c r="E61" s="1">
        <f t="shared" si="2"/>
        <v>108.4509049823032</v>
      </c>
      <c r="F61">
        <f>Corona!E61</f>
        <v>252</v>
      </c>
      <c r="G61">
        <f>verzamel!F61</f>
        <v>2874</v>
      </c>
      <c r="H61" s="1">
        <f>('311 cov wlz'!D61+'312 cov nwlz'!D61)*1.07</f>
        <v>159.43</v>
      </c>
      <c r="I61" s="6">
        <f t="shared" si="3"/>
        <v>0.8571428571428571</v>
      </c>
      <c r="J61" s="8">
        <f t="shared" si="18"/>
        <v>3.6403932584269647</v>
      </c>
      <c r="K61" s="8">
        <f t="shared" si="19"/>
        <v>1.0449531835205994</v>
      </c>
      <c r="L61" s="8">
        <f t="shared" si="12"/>
        <v>2.5954400749063655</v>
      </c>
      <c r="M61" s="10">
        <f t="shared" si="13"/>
        <v>395.98999999999972</v>
      </c>
      <c r="N61" s="6">
        <f t="shared" si="8"/>
        <v>0.71295596125454597</v>
      </c>
      <c r="O61" s="6">
        <f t="shared" si="14"/>
        <v>0.67298706568564781</v>
      </c>
      <c r="P61" s="10" cm="1">
        <f t="array" ref="P61">AVERAGE(E60:E62/178)</f>
        <v>0.43910871864822293</v>
      </c>
      <c r="Q61" s="8">
        <f t="shared" si="15"/>
        <v>3.3417289840925548</v>
      </c>
      <c r="R61" s="8">
        <f t="shared" si="16"/>
        <v>1.128073378736042</v>
      </c>
      <c r="S61">
        <v>0</v>
      </c>
      <c r="T61" s="8">
        <f t="shared" si="20"/>
        <v>1.8851123714389775</v>
      </c>
      <c r="U61" s="8">
        <f t="shared" si="6"/>
        <v>1.4569288389513106</v>
      </c>
      <c r="V61" s="10">
        <v>0.32607502633969776</v>
      </c>
      <c r="X61">
        <v>0.95</v>
      </c>
      <c r="Y61">
        <v>0.1</v>
      </c>
    </row>
    <row r="62" spans="1:68" x14ac:dyDescent="0.2">
      <c r="A62">
        <f t="shared" si="21"/>
        <v>9</v>
      </c>
      <c r="B62" s="2">
        <f t="shared" si="5"/>
        <v>44620</v>
      </c>
      <c r="C62" s="1">
        <f>verzamel!E62</f>
        <v>3234</v>
      </c>
      <c r="D62" s="1">
        <v>3229.592747858338</v>
      </c>
      <c r="E62" s="1">
        <f t="shared" si="2"/>
        <v>4.4072521416619566</v>
      </c>
      <c r="F62">
        <f>Corona!E62</f>
        <v>235</v>
      </c>
      <c r="G62">
        <f>verzamel!F62</f>
        <v>2774</v>
      </c>
      <c r="H62" s="1">
        <f>('311 cov wlz'!D62+'312 cov nwlz'!D62)*1.07</f>
        <v>162.64000000000001</v>
      </c>
      <c r="I62" s="6">
        <f t="shared" si="3"/>
        <v>0.85776128633271487</v>
      </c>
      <c r="J62" s="8">
        <f t="shared" si="18"/>
        <v>2.8579902296042974</v>
      </c>
      <c r="K62" s="8">
        <f t="shared" si="19"/>
        <v>1.065223949515161</v>
      </c>
      <c r="L62" s="8">
        <f t="shared" si="12"/>
        <v>1.7927662800891364</v>
      </c>
      <c r="M62" s="10">
        <f t="shared" si="13"/>
        <v>273.72226086956493</v>
      </c>
      <c r="N62" s="6">
        <f t="shared" si="8"/>
        <v>0.62728215846187607</v>
      </c>
      <c r="O62" s="6">
        <f t="shared" si="14"/>
        <v>0.5989598322372478</v>
      </c>
      <c r="P62" s="10" cm="1">
        <f t="array" ref="P62">AVERAGE(E61:E63/178)</f>
        <v>0.54331984474482387</v>
      </c>
      <c r="Q62" s="8">
        <f t="shared" si="15"/>
        <v>3.0934277884030266</v>
      </c>
      <c r="R62" s="8">
        <f t="shared" si="16"/>
        <v>1.233512098493889</v>
      </c>
      <c r="S62">
        <v>0</v>
      </c>
      <c r="T62" s="8">
        <f t="shared" si="20"/>
        <v>1.592793625711596</v>
      </c>
      <c r="U62" s="8">
        <f t="shared" si="6"/>
        <v>1.5</v>
      </c>
      <c r="V62" s="10">
        <v>0.61228543134567359</v>
      </c>
      <c r="X62">
        <v>0.95</v>
      </c>
      <c r="Y62">
        <v>0.1</v>
      </c>
    </row>
    <row r="63" spans="1:68" x14ac:dyDescent="0.2">
      <c r="A63">
        <f t="shared" si="21"/>
        <v>10</v>
      </c>
      <c r="B63" s="2">
        <f t="shared" si="5"/>
        <v>44627</v>
      </c>
      <c r="C63" s="1">
        <f>verzamel!E63</f>
        <v>3389</v>
      </c>
      <c r="D63" s="1">
        <v>3211.7253600302292</v>
      </c>
      <c r="E63" s="1">
        <f t="shared" si="2"/>
        <v>177.27463996977076</v>
      </c>
      <c r="F63">
        <f>Corona!E63</f>
        <v>314</v>
      </c>
      <c r="G63">
        <f>verzamel!F63</f>
        <v>2895</v>
      </c>
      <c r="H63" s="1">
        <f>('311 cov wlz'!D63+'312 cov nwlz'!D63)*1.07</f>
        <v>241.82000000000002</v>
      </c>
      <c r="I63" s="6">
        <f t="shared" si="3"/>
        <v>0.85423428740041307</v>
      </c>
      <c r="J63" s="8">
        <f t="shared" si="18"/>
        <v>2.7818998771778181</v>
      </c>
      <c r="K63" s="8">
        <f t="shared" si="19"/>
        <v>1.5903591624459066</v>
      </c>
      <c r="L63" s="8">
        <f t="shared" si="12"/>
        <v>1.1915407147319115</v>
      </c>
      <c r="M63" s="10">
        <f t="shared" si="13"/>
        <v>181.1781781376516</v>
      </c>
      <c r="N63" s="6">
        <f t="shared" si="8"/>
        <v>0.42831905077069338</v>
      </c>
      <c r="O63" s="6">
        <f t="shared" si="14"/>
        <v>0.48823086824575834</v>
      </c>
      <c r="P63" s="10" cm="1">
        <f t="array" ref="P63">AVERAGE(E62:E64/178)</f>
        <v>1.1188617658284057</v>
      </c>
      <c r="Q63" s="8">
        <f t="shared" si="15"/>
        <v>3.1645379139040455</v>
      </c>
      <c r="R63" s="8">
        <f t="shared" si="16"/>
        <v>1.5672993267242763</v>
      </c>
      <c r="S63">
        <v>0</v>
      </c>
      <c r="T63" s="8">
        <f t="shared" si="20"/>
        <v>1.368179729755606</v>
      </c>
      <c r="U63" s="8">
        <f t="shared" si="6"/>
        <v>1.7958801498127341</v>
      </c>
      <c r="V63" s="10">
        <v>1.0358574765548454</v>
      </c>
      <c r="X63">
        <v>0.95</v>
      </c>
      <c r="Y63">
        <v>0.1</v>
      </c>
    </row>
    <row r="64" spans="1:68" x14ac:dyDescent="0.2">
      <c r="A64">
        <f t="shared" si="21"/>
        <v>11</v>
      </c>
      <c r="B64" s="2">
        <f t="shared" si="5"/>
        <v>44634</v>
      </c>
      <c r="C64" s="1">
        <f>verzamel!E64</f>
        <v>3607</v>
      </c>
      <c r="D64" s="1">
        <v>3191.209709159064</v>
      </c>
      <c r="E64" s="1">
        <f t="shared" si="2"/>
        <v>415.790290840936</v>
      </c>
      <c r="F64">
        <f>Corona!E64</f>
        <v>410</v>
      </c>
      <c r="G64">
        <f>verzamel!F64</f>
        <v>3094</v>
      </c>
      <c r="H64" s="1">
        <f>('311 cov wlz'!D64+'312 cov nwlz'!D64)*1.07</f>
        <v>312.44</v>
      </c>
      <c r="I64" s="6">
        <f t="shared" si="3"/>
        <v>0.85777654560576655</v>
      </c>
      <c r="J64" s="8">
        <f t="shared" si="18"/>
        <v>3.8537236349300215</v>
      </c>
      <c r="K64" s="8">
        <f t="shared" si="19"/>
        <v>2.0463148682117618</v>
      </c>
      <c r="L64" s="8">
        <f t="shared" si="12"/>
        <v>1.8074087667182597</v>
      </c>
      <c r="M64" s="10">
        <f t="shared" si="13"/>
        <v>275.96280701754381</v>
      </c>
      <c r="N64" s="6">
        <f t="shared" si="8"/>
        <v>0.46900321297977038</v>
      </c>
      <c r="O64" s="6">
        <f t="shared" si="14"/>
        <v>0.43104490711092436</v>
      </c>
      <c r="P64" s="10" cm="1">
        <f t="array" ref="P64">AVERAGE(E63:E65/178)</f>
        <v>1.9769994525628374</v>
      </c>
      <c r="Q64" s="8">
        <f t="shared" si="15"/>
        <v>3.2630491621667712</v>
      </c>
      <c r="R64" s="8">
        <f t="shared" si="16"/>
        <v>1.8872321194286181</v>
      </c>
      <c r="S64">
        <v>0</v>
      </c>
      <c r="T64" s="8">
        <f t="shared" si="20"/>
        <v>1.1785712994859903</v>
      </c>
      <c r="U64" s="8">
        <f t="shared" si="6"/>
        <v>2.0842696629213484</v>
      </c>
      <c r="V64" s="10">
        <v>1.4117231034331506</v>
      </c>
      <c r="X64">
        <v>0.95</v>
      </c>
      <c r="Y64">
        <v>0.1</v>
      </c>
    </row>
    <row r="65" spans="1:25" x14ac:dyDescent="0.2">
      <c r="A65">
        <f t="shared" si="21"/>
        <v>12</v>
      </c>
      <c r="B65" s="2">
        <f t="shared" si="5"/>
        <v>44641</v>
      </c>
      <c r="C65" s="1">
        <f>verzamel!E65</f>
        <v>3631</v>
      </c>
      <c r="D65" s="1">
        <v>3168.3472231421515</v>
      </c>
      <c r="E65" s="1">
        <f t="shared" si="2"/>
        <v>462.65277685784849</v>
      </c>
      <c r="F65">
        <f>Corona!E65</f>
        <v>389</v>
      </c>
      <c r="G65">
        <f>verzamel!F65</f>
        <v>3115</v>
      </c>
      <c r="H65" s="1">
        <f>('311 cov wlz'!D65+'312 cov nwlz'!D65)*1.07</f>
        <v>309.23</v>
      </c>
      <c r="I65" s="6">
        <f t="shared" si="3"/>
        <v>0.85789038832277609</v>
      </c>
      <c r="J65" s="8">
        <f t="shared" si="18"/>
        <v>3.1535239743924737</v>
      </c>
      <c r="K65" s="8">
        <f t="shared" si="19"/>
        <v>2.0250223276281858</v>
      </c>
      <c r="L65" s="8">
        <f t="shared" si="12"/>
        <v>1.1285016467642879</v>
      </c>
      <c r="M65" s="10">
        <f t="shared" si="13"/>
        <v>172.3272674418603</v>
      </c>
      <c r="N65" s="6">
        <f t="shared" si="8"/>
        <v>0.35785415171346324</v>
      </c>
      <c r="O65" s="6">
        <f t="shared" si="14"/>
        <v>0.36001890376893897</v>
      </c>
      <c r="P65" s="10" cm="1">
        <f t="array" ref="P65">AVERAGE(E64:E66/178)</f>
        <v>2.4400177506476064</v>
      </c>
      <c r="Q65" s="8">
        <f t="shared" si="15"/>
        <v>3.1587945963659245</v>
      </c>
      <c r="R65" s="8">
        <f t="shared" si="16"/>
        <v>1.9699815468585831</v>
      </c>
      <c r="S65">
        <v>0</v>
      </c>
      <c r="T65" s="8">
        <f t="shared" si="20"/>
        <v>1.0206088440773853</v>
      </c>
      <c r="U65" s="8">
        <f t="shared" si="6"/>
        <v>2.1385767790262173</v>
      </c>
      <c r="V65" s="10">
        <v>1.6270311399074431</v>
      </c>
      <c r="X65">
        <v>0.95</v>
      </c>
      <c r="Y65">
        <v>0.1</v>
      </c>
    </row>
    <row r="66" spans="1:25" x14ac:dyDescent="0.2">
      <c r="A66">
        <f t="shared" si="21"/>
        <v>13</v>
      </c>
      <c r="B66" s="2">
        <f t="shared" si="5"/>
        <v>44648</v>
      </c>
      <c r="C66" s="1">
        <f>verzamel!E66</f>
        <v>3568</v>
      </c>
      <c r="D66" s="1">
        <v>3143.4735888529626</v>
      </c>
      <c r="E66" s="1">
        <f t="shared" si="2"/>
        <v>424.52641114703738</v>
      </c>
      <c r="F66">
        <f>Corona!E66</f>
        <v>343</v>
      </c>
      <c r="G66">
        <f>verzamel!F66</f>
        <v>3068</v>
      </c>
      <c r="H66" s="1">
        <f>('311 cov wlz'!D66+'312 cov nwlz'!D66)*1.07</f>
        <v>281.41000000000003</v>
      </c>
      <c r="I66" s="6">
        <f t="shared" si="3"/>
        <v>0.85986547085201792</v>
      </c>
      <c r="J66" s="8">
        <f t="shared" si="18"/>
        <v>2.4691361797752798</v>
      </c>
      <c r="K66" s="8">
        <f t="shared" si="19"/>
        <v>1.8386074447358016</v>
      </c>
      <c r="L66" s="8">
        <f t="shared" si="12"/>
        <v>0.63052873503947815</v>
      </c>
      <c r="M66" s="10">
        <f t="shared" si="13"/>
        <v>96.506239999999778</v>
      </c>
      <c r="N66" s="6">
        <f t="shared" si="8"/>
        <v>0.25536409866905907</v>
      </c>
      <c r="O66" s="6">
        <f t="shared" si="14"/>
        <v>0.31384250784636369</v>
      </c>
      <c r="P66" s="10" cm="1">
        <f t="array" ref="P66">AVERAGE(E65:E67/178)</f>
        <v>2.5191485529388626</v>
      </c>
      <c r="Q66" s="8">
        <f t="shared" si="15"/>
        <v>2.7003530101907494</v>
      </c>
      <c r="R66" s="8">
        <f t="shared" si="16"/>
        <v>1.7944714971550371</v>
      </c>
      <c r="S66">
        <v>0</v>
      </c>
      <c r="T66" s="8">
        <f t="shared" si="20"/>
        <v>0.78264591539067763</v>
      </c>
      <c r="U66" s="8">
        <f t="shared" si="6"/>
        <v>1.9176029962546814</v>
      </c>
      <c r="V66" s="10">
        <v>1.6770519398547199</v>
      </c>
      <c r="X66">
        <v>0.95</v>
      </c>
      <c r="Y66">
        <v>0.1</v>
      </c>
    </row>
    <row r="67" spans="1:25" x14ac:dyDescent="0.2">
      <c r="A67">
        <f t="shared" si="21"/>
        <v>14</v>
      </c>
      <c r="B67" s="2">
        <f t="shared" si="5"/>
        <v>44655</v>
      </c>
      <c r="C67" s="1">
        <f>verzamel!E67</f>
        <v>3575</v>
      </c>
      <c r="D67" s="1">
        <v>3116.953860735533</v>
      </c>
      <c r="E67" s="1">
        <f t="shared" ref="E67:E105" si="22">C67-D67</f>
        <v>458.046139264467</v>
      </c>
      <c r="F67">
        <f>Corona!E67</f>
        <v>292</v>
      </c>
      <c r="G67">
        <f>verzamel!F67</f>
        <v>3125</v>
      </c>
      <c r="H67" s="1">
        <f>('311 cov wlz'!D67+'312 cov nwlz'!D67)*1.07</f>
        <v>236.47000000000003</v>
      </c>
      <c r="I67" s="6">
        <f t="shared" ref="I67:I105" si="23">G67/C67</f>
        <v>0.87412587412587417</v>
      </c>
      <c r="J67" s="8">
        <f t="shared" si="18"/>
        <v>2.4783988764044937</v>
      </c>
      <c r="K67" s="8">
        <f t="shared" si="19"/>
        <v>1.5197847191011238</v>
      </c>
      <c r="L67" s="8">
        <f t="shared" si="12"/>
        <v>0.95861415730336996</v>
      </c>
      <c r="M67" s="10">
        <f t="shared" si="13"/>
        <v>149.15499999999989</v>
      </c>
      <c r="N67" s="6">
        <f t="shared" si="8"/>
        <v>0.38678768233387334</v>
      </c>
      <c r="O67" s="6">
        <f t="shared" si="14"/>
        <v>0.31013108997135169</v>
      </c>
      <c r="P67" s="10" cm="1">
        <f t="array" ref="P67">AVERAGE(E66:E68/178)</f>
        <v>2.4520513293043851</v>
      </c>
      <c r="Q67" s="8">
        <f t="shared" si="15"/>
        <v>2.1710651640518468</v>
      </c>
      <c r="R67" s="8">
        <f t="shared" si="16"/>
        <v>1.5309274994788407</v>
      </c>
      <c r="S67">
        <v>0</v>
      </c>
      <c r="T67" s="8">
        <f t="shared" si="20"/>
        <v>0.55703832648912266</v>
      </c>
      <c r="U67" s="8">
        <f t="shared" si="6"/>
        <v>1.6142322097378277</v>
      </c>
      <c r="V67" s="10">
        <v>1.5556207298419864</v>
      </c>
      <c r="X67">
        <v>0.95</v>
      </c>
      <c r="Y67">
        <v>0.1</v>
      </c>
    </row>
    <row r="68" spans="1:25" x14ac:dyDescent="0.2">
      <c r="A68">
        <f t="shared" si="21"/>
        <v>15</v>
      </c>
      <c r="B68" s="2">
        <f t="shared" ref="B68:B105" si="24">B67+7</f>
        <v>44662</v>
      </c>
      <c r="C68" s="1">
        <f>verzamel!E68</f>
        <v>3516</v>
      </c>
      <c r="D68" s="1">
        <v>3089.1771405629629</v>
      </c>
      <c r="E68" s="1">
        <f t="shared" si="22"/>
        <v>426.8228594370371</v>
      </c>
      <c r="F68">
        <f>Corona!E68</f>
        <v>227</v>
      </c>
      <c r="G68">
        <f>verzamel!F68</f>
        <v>3082</v>
      </c>
      <c r="H68" s="1">
        <f>('311 cov wlz'!D68+'312 cov nwlz'!D68)*1.07</f>
        <v>192.60000000000002</v>
      </c>
      <c r="I68" s="6">
        <f t="shared" si="23"/>
        <v>0.87656427758816835</v>
      </c>
      <c r="J68" s="8">
        <f t="shared" si="18"/>
        <v>1.5656604359757662</v>
      </c>
      <c r="K68" s="8">
        <f t="shared" si="19"/>
        <v>1.2343903345995961</v>
      </c>
      <c r="L68" s="8">
        <f t="shared" si="12"/>
        <v>0.33127010137617008</v>
      </c>
      <c r="M68" s="10">
        <f t="shared" si="13"/>
        <v>51.6875576036864</v>
      </c>
      <c r="N68" s="6">
        <f t="shared" si="8"/>
        <v>0.21158489654860102</v>
      </c>
      <c r="O68" s="6">
        <f t="shared" si="14"/>
        <v>0.1772397955682935</v>
      </c>
      <c r="P68" s="10" cm="1">
        <f t="array" ref="P68">AVERAGE(E67:E69/178)</f>
        <v>1.9837417468262055</v>
      </c>
      <c r="Q68" s="8">
        <f t="shared" si="15"/>
        <v>1.6385819153349654</v>
      </c>
      <c r="R68" s="8">
        <f t="shared" si="16"/>
        <v>1.2379667764301141</v>
      </c>
      <c r="S68">
        <v>0</v>
      </c>
      <c r="T68" s="8">
        <f t="shared" si="20"/>
        <v>0.35171914855007036</v>
      </c>
      <c r="U68" s="8">
        <f t="shared" ref="U68:U105" si="25">AVERAGE(F67:F69)/178</f>
        <v>1.2883895131086143</v>
      </c>
      <c r="V68" s="10">
        <v>1.3629995368838281</v>
      </c>
      <c r="X68">
        <v>0.95</v>
      </c>
      <c r="Y68">
        <v>0.1</v>
      </c>
    </row>
    <row r="69" spans="1:25" x14ac:dyDescent="0.2">
      <c r="A69">
        <f t="shared" si="21"/>
        <v>16</v>
      </c>
      <c r="B69" s="2">
        <f t="shared" si="24"/>
        <v>44669</v>
      </c>
      <c r="C69" s="1">
        <f>verzamel!E69</f>
        <v>3235</v>
      </c>
      <c r="D69" s="1">
        <v>3060.5509058963103</v>
      </c>
      <c r="E69" s="1">
        <f t="shared" si="22"/>
        <v>174.44909410368973</v>
      </c>
      <c r="F69">
        <f>Corona!E69</f>
        <v>169</v>
      </c>
      <c r="G69">
        <f>verzamel!F69</f>
        <v>2857</v>
      </c>
      <c r="H69" s="1">
        <f>('311 cov wlz'!D69+'312 cov nwlz'!D69)*1.07</f>
        <v>150.87</v>
      </c>
      <c r="I69" s="6">
        <f t="shared" si="23"/>
        <v>0.8831530139103555</v>
      </c>
      <c r="J69" s="8">
        <f t="shared" si="18"/>
        <v>0.87168643362463571</v>
      </c>
      <c r="K69" s="8">
        <f t="shared" si="19"/>
        <v>0.95972527558962217</v>
      </c>
      <c r="L69" s="8">
        <f t="shared" si="12"/>
        <v>-8.8038841964986458E-2</v>
      </c>
      <c r="M69" s="10">
        <f t="shared" si="13"/>
        <v>-13.839814814814838</v>
      </c>
      <c r="N69" s="6">
        <f t="shared" ref="N69:N105" si="26">(J69-K69)/J69</f>
        <v>-0.10099829315790133</v>
      </c>
      <c r="O69" s="6">
        <f t="shared" si="14"/>
        <v>7.8195803662489849E-2</v>
      </c>
      <c r="P69" s="10" cm="1">
        <f t="array" ref="P69">AVERAGE(E68:E70/178)</f>
        <v>1.3329155124131085</v>
      </c>
      <c r="Q69" s="8">
        <f t="shared" si="15"/>
        <v>1.1071451814228102</v>
      </c>
      <c r="R69" s="8">
        <f t="shared" si="16"/>
        <v>0.93671770121499309</v>
      </c>
      <c r="S69">
        <v>0</v>
      </c>
      <c r="T69" s="8">
        <f t="shared" si="20"/>
        <v>0.15041285969592086</v>
      </c>
      <c r="U69" s="8">
        <f t="shared" si="25"/>
        <v>0.95692883895131087</v>
      </c>
      <c r="V69" s="10">
        <v>1.2025180689678823</v>
      </c>
      <c r="X69">
        <v>0.95</v>
      </c>
      <c r="Y69">
        <v>0.1</v>
      </c>
    </row>
    <row r="70" spans="1:25" x14ac:dyDescent="0.2">
      <c r="A70">
        <f t="shared" si="21"/>
        <v>17</v>
      </c>
      <c r="B70" s="2">
        <f t="shared" si="24"/>
        <v>44676</v>
      </c>
      <c r="C70" s="1">
        <f>verzamel!E70</f>
        <v>3142</v>
      </c>
      <c r="D70" s="1">
        <v>3031.4950699121268</v>
      </c>
      <c r="E70" s="1">
        <f t="shared" si="22"/>
        <v>110.50493008787316</v>
      </c>
      <c r="F70">
        <f>Corona!E70</f>
        <v>115</v>
      </c>
      <c r="G70">
        <f>verzamel!F70</f>
        <v>2790</v>
      </c>
      <c r="H70" s="1">
        <f>('311 cov wlz'!D70+'312 cov nwlz'!D70)*1.07</f>
        <v>97.37</v>
      </c>
      <c r="I70" s="6">
        <f t="shared" si="23"/>
        <v>0.88796944621260343</v>
      </c>
      <c r="J70" s="8">
        <f t="shared" si="18"/>
        <v>0.88408867466802832</v>
      </c>
      <c r="K70" s="8">
        <f t="shared" si="19"/>
        <v>0.61603749345576098</v>
      </c>
      <c r="L70" s="8">
        <f t="shared" ref="L70:L105" si="27">J70-K70</f>
        <v>0.26805118121226734</v>
      </c>
      <c r="M70" s="10">
        <f t="shared" ref="M70:M105" si="28">L70*I70*178</f>
        <v>42.367784090909041</v>
      </c>
      <c r="N70" s="6">
        <f t="shared" si="26"/>
        <v>0.30319490441716096</v>
      </c>
      <c r="O70" s="6">
        <f t="shared" ref="O70:O76" si="29">0.5*N70+0.25*(N69+N71)</f>
        <v>-3.1917937227224552E-2</v>
      </c>
      <c r="P70" s="10" cm="1">
        <f t="array" ref="P70">AVERAGE(E69:E71/178)</f>
        <v>0.7706332677857598</v>
      </c>
      <c r="Q70" s="8">
        <f t="shared" si="15"/>
        <v>0.67005807631901693</v>
      </c>
      <c r="R70" s="8">
        <f t="shared" si="16"/>
        <v>0.663737542515067</v>
      </c>
      <c r="S70">
        <v>0</v>
      </c>
      <c r="T70" s="8">
        <f t="shared" si="20"/>
        <v>5.6215126460159902E-3</v>
      </c>
      <c r="U70" s="8">
        <f t="shared" si="25"/>
        <v>0.66479400749063666</v>
      </c>
      <c r="V70" s="10">
        <v>1.0949505224619209</v>
      </c>
      <c r="X70">
        <v>0.95</v>
      </c>
      <c r="Y70">
        <v>0.1</v>
      </c>
    </row>
    <row r="71" spans="1:25" x14ac:dyDescent="0.2">
      <c r="A71">
        <f t="shared" si="21"/>
        <v>18</v>
      </c>
      <c r="B71" s="2">
        <f t="shared" si="24"/>
        <v>44683</v>
      </c>
      <c r="C71" s="1">
        <f>verzamel!E71</f>
        <v>3129</v>
      </c>
      <c r="D71" s="1">
        <v>3002.4358591939672</v>
      </c>
      <c r="E71" s="1">
        <f t="shared" si="22"/>
        <v>126.56414080603281</v>
      </c>
      <c r="F71">
        <f>Corona!E71</f>
        <v>71</v>
      </c>
      <c r="G71">
        <f>verzamel!F71</f>
        <v>2807</v>
      </c>
      <c r="H71" s="1">
        <f>('311 cov wlz'!D71+'312 cov nwlz'!D71)*1.07</f>
        <v>66.34</v>
      </c>
      <c r="I71" s="6">
        <f t="shared" si="23"/>
        <v>0.8970917225950783</v>
      </c>
      <c r="J71" s="8">
        <f t="shared" si="18"/>
        <v>0.25439912066438675</v>
      </c>
      <c r="K71" s="8">
        <f t="shared" si="19"/>
        <v>0.41544985849981786</v>
      </c>
      <c r="L71" s="8">
        <f t="shared" si="27"/>
        <v>-0.16105073783543111</v>
      </c>
      <c r="M71" s="10">
        <f t="shared" si="28"/>
        <v>-25.716956521739156</v>
      </c>
      <c r="N71" s="6">
        <f t="shared" si="26"/>
        <v>-0.63306326458531881</v>
      </c>
      <c r="O71" s="6">
        <f t="shared" si="29"/>
        <v>-0.12299491116539352</v>
      </c>
      <c r="P71" s="10" cm="1">
        <f t="array" ref="P71">AVERAGE(E70:E72/178)</f>
        <v>0.73271436731475281</v>
      </c>
      <c r="Q71" s="8">
        <f t="shared" si="15"/>
        <v>0.57399505593429101</v>
      </c>
      <c r="R71" s="8">
        <f t="shared" si="16"/>
        <v>0.4467284938275507</v>
      </c>
      <c r="S71">
        <v>0</v>
      </c>
      <c r="T71" s="8">
        <f t="shared" si="20"/>
        <v>0.11289986163737394</v>
      </c>
      <c r="U71" s="8">
        <f t="shared" si="25"/>
        <v>0.46254681647940071</v>
      </c>
      <c r="V71" s="10">
        <v>1.069596904303729</v>
      </c>
      <c r="X71">
        <v>0.95</v>
      </c>
      <c r="Y71">
        <v>0.1</v>
      </c>
    </row>
    <row r="72" spans="1:25" x14ac:dyDescent="0.2">
      <c r="A72">
        <f t="shared" si="21"/>
        <v>19</v>
      </c>
      <c r="B72" s="2">
        <f t="shared" si="24"/>
        <v>44690</v>
      </c>
      <c r="C72" s="1">
        <f>verzamel!E72</f>
        <v>3128</v>
      </c>
      <c r="D72" s="1">
        <v>2973.799598747828</v>
      </c>
      <c r="E72" s="1">
        <f t="shared" si="22"/>
        <v>154.20040125217201</v>
      </c>
      <c r="F72">
        <f>Corona!E72</f>
        <v>61</v>
      </c>
      <c r="G72">
        <f>verzamel!F72</f>
        <v>2741</v>
      </c>
      <c r="H72" s="1">
        <f>('311 cov wlz'!D72+'312 cov nwlz'!D72)*1.07</f>
        <v>48.150000000000006</v>
      </c>
      <c r="I72" s="6">
        <f t="shared" si="23"/>
        <v>0.87627877237851659</v>
      </c>
      <c r="J72" s="8">
        <f t="shared" si="18"/>
        <v>0.58349737247045796</v>
      </c>
      <c r="K72" s="8">
        <f t="shared" si="19"/>
        <v>0.30869812952707337</v>
      </c>
      <c r="L72" s="8">
        <f t="shared" si="27"/>
        <v>0.27479924294338459</v>
      </c>
      <c r="M72" s="10">
        <f t="shared" si="28"/>
        <v>42.86253229974151</v>
      </c>
      <c r="N72" s="6">
        <f t="shared" si="26"/>
        <v>0.47095198009190259</v>
      </c>
      <c r="O72" s="6">
        <f t="shared" si="29"/>
        <v>0.11383989401802372</v>
      </c>
      <c r="P72" s="10" cm="1">
        <f t="array" ref="P72">AVERAGE(E71:E73/178)</f>
        <v>0.73550196103642529</v>
      </c>
      <c r="Q72" s="8">
        <f t="shared" ref="Q72:Q105" si="30">AVERAGE(J71:J73)</f>
        <v>0.39334121396373556</v>
      </c>
      <c r="R72" s="8">
        <f t="shared" ref="R72:R105" si="31">AVERAGE(K71:K73)</f>
        <v>0.33871568332261442</v>
      </c>
      <c r="S72">
        <v>0</v>
      </c>
      <c r="T72" s="8">
        <f t="shared" si="20"/>
        <v>4.8408955747687755E-2</v>
      </c>
      <c r="U72" s="8">
        <f t="shared" si="25"/>
        <v>0.34644194756554308</v>
      </c>
      <c r="V72" s="10">
        <v>1.1150174977677492</v>
      </c>
      <c r="X72">
        <v>0.95</v>
      </c>
      <c r="Y72">
        <v>0.1</v>
      </c>
    </row>
    <row r="73" spans="1:25" x14ac:dyDescent="0.2">
      <c r="A73">
        <f t="shared" si="21"/>
        <v>20</v>
      </c>
      <c r="B73" s="2">
        <f t="shared" si="24"/>
        <v>44697</v>
      </c>
      <c r="C73" s="1">
        <f>verzamel!E73</f>
        <v>3058</v>
      </c>
      <c r="D73" s="1">
        <v>2946.0064948647537</v>
      </c>
      <c r="E73" s="1">
        <f t="shared" si="22"/>
        <v>111.99350513524632</v>
      </c>
      <c r="F73">
        <f>Corona!E73</f>
        <v>53</v>
      </c>
      <c r="G73">
        <f>verzamel!F73</f>
        <v>2707</v>
      </c>
      <c r="H73" s="1">
        <f>('311 cov wlz'!D73+'312 cov nwlz'!D73)*1.07</f>
        <v>46.010000000000005</v>
      </c>
      <c r="I73" s="6">
        <f t="shared" si="23"/>
        <v>0.88521909744931326</v>
      </c>
      <c r="J73" s="8">
        <f t="shared" si="18"/>
        <v>0.34212714875636197</v>
      </c>
      <c r="K73" s="8">
        <f t="shared" si="19"/>
        <v>0.2919990619409521</v>
      </c>
      <c r="L73" s="8">
        <f t="shared" si="27"/>
        <v>5.0128086815409867E-2</v>
      </c>
      <c r="M73" s="10">
        <f t="shared" si="28"/>
        <v>7.8986324786324333</v>
      </c>
      <c r="N73" s="6">
        <f t="shared" si="26"/>
        <v>0.14651888047360848</v>
      </c>
      <c r="O73" s="6">
        <f t="shared" si="29"/>
        <v>0.30300468905532429</v>
      </c>
      <c r="P73" s="10" cm="1">
        <f t="array" ref="P73">AVERAGE(E72:E74/178)</f>
        <v>0.50511123575226557</v>
      </c>
      <c r="Q73" s="8">
        <f t="shared" si="30"/>
        <v>0.43923859725134839</v>
      </c>
      <c r="R73" s="8">
        <f t="shared" si="31"/>
        <v>0.27237339873313643</v>
      </c>
      <c r="S73">
        <v>0</v>
      </c>
      <c r="T73" s="8">
        <f t="shared" si="20"/>
        <v>0.14741487555036567</v>
      </c>
      <c r="U73" s="8">
        <f t="shared" si="25"/>
        <v>0.29213483146067415</v>
      </c>
      <c r="V73" s="10">
        <v>1.1661754316735644</v>
      </c>
      <c r="X73">
        <v>0.95</v>
      </c>
      <c r="Y73">
        <v>0.1</v>
      </c>
    </row>
    <row r="74" spans="1:25" x14ac:dyDescent="0.2">
      <c r="A74">
        <f t="shared" si="21"/>
        <v>21</v>
      </c>
      <c r="B74" s="2">
        <f t="shared" si="24"/>
        <v>44704</v>
      </c>
      <c r="C74" s="1">
        <f>verzamel!E74</f>
        <v>2923</v>
      </c>
      <c r="D74" s="1">
        <v>2919.4645064957085</v>
      </c>
      <c r="E74" s="1">
        <f t="shared" si="22"/>
        <v>3.5354935042914803</v>
      </c>
      <c r="F74">
        <f>Corona!E74</f>
        <v>42</v>
      </c>
      <c r="G74">
        <f>verzamel!F74</f>
        <v>2598</v>
      </c>
      <c r="H74" s="1">
        <f>('311 cov wlz'!D74+'312 cov nwlz'!D74)*1.07</f>
        <v>34.24</v>
      </c>
      <c r="I74" s="6">
        <f t="shared" si="23"/>
        <v>0.88881286349640776</v>
      </c>
      <c r="J74" s="8">
        <f t="shared" si="18"/>
        <v>0.39209127052722531</v>
      </c>
      <c r="K74" s="8">
        <f t="shared" si="19"/>
        <v>0.21642300473138373</v>
      </c>
      <c r="L74" s="8">
        <f t="shared" si="27"/>
        <v>0.17566826579584158</v>
      </c>
      <c r="M74" s="10">
        <f t="shared" si="28"/>
        <v>27.792246153846101</v>
      </c>
      <c r="N74" s="6">
        <f t="shared" si="26"/>
        <v>0.44802901518217769</v>
      </c>
      <c r="O74" s="6">
        <f t="shared" si="29"/>
        <v>-0.20966750074494941</v>
      </c>
      <c r="P74" s="10" cm="1">
        <f t="array" ref="P74">AVERAGE(E73:E75/178)</f>
        <v>0.35012285414991345</v>
      </c>
      <c r="Q74" s="8">
        <f t="shared" si="30"/>
        <v>0.26503074986543851</v>
      </c>
      <c r="R74" s="8">
        <f t="shared" si="31"/>
        <v>0.22793820079771673</v>
      </c>
      <c r="S74">
        <v>0</v>
      </c>
      <c r="T74" s="8">
        <f t="shared" si="20"/>
        <v>3.2952168505983058E-2</v>
      </c>
      <c r="U74" s="8">
        <f t="shared" si="25"/>
        <v>0.23220973782771537</v>
      </c>
      <c r="V74" s="10">
        <v>1.1860913830100484</v>
      </c>
      <c r="X74">
        <v>0.95</v>
      </c>
      <c r="Y74">
        <v>0.1</v>
      </c>
    </row>
    <row r="75" spans="1:25" x14ac:dyDescent="0.2">
      <c r="A75">
        <f t="shared" si="21"/>
        <v>22</v>
      </c>
      <c r="B75" s="2">
        <f t="shared" si="24"/>
        <v>44711</v>
      </c>
      <c r="C75" s="1">
        <f>verzamel!E75</f>
        <v>2966</v>
      </c>
      <c r="D75" s="1">
        <v>2894.563394523484</v>
      </c>
      <c r="E75" s="1">
        <f t="shared" si="22"/>
        <v>71.436605476515979</v>
      </c>
      <c r="F75">
        <f>Corona!E75</f>
        <v>29</v>
      </c>
      <c r="G75">
        <f>verzamel!F75</f>
        <v>2643</v>
      </c>
      <c r="H75" s="1">
        <f>('311 cov wlz'!D75+'312 cov nwlz'!D75)*1.07</f>
        <v>27.82</v>
      </c>
      <c r="I75" s="6">
        <f t="shared" si="23"/>
        <v>0.89109912339851649</v>
      </c>
      <c r="J75" s="8">
        <f t="shared" si="18"/>
        <v>6.087383031272825E-2</v>
      </c>
      <c r="K75" s="8">
        <f t="shared" si="19"/>
        <v>0.17539253572081437</v>
      </c>
      <c r="L75" s="8">
        <f t="shared" si="27"/>
        <v>-0.11451870540808612</v>
      </c>
      <c r="M75" s="10">
        <f t="shared" si="28"/>
        <v>-18.16445820433437</v>
      </c>
      <c r="N75" s="6">
        <f t="shared" si="26"/>
        <v>-1.8812469138177614</v>
      </c>
      <c r="O75" s="6">
        <f t="shared" si="29"/>
        <v>-0.71103287711719088</v>
      </c>
      <c r="P75" s="10" cm="1">
        <f t="array" ref="P75">AVERAGE(E74:E76/178)</f>
        <v>0.27397577387332928</v>
      </c>
      <c r="Q75" s="8">
        <f t="shared" si="30"/>
        <v>0.24443975922803851</v>
      </c>
      <c r="R75" s="8">
        <f t="shared" si="31"/>
        <v>0.18010327033845588</v>
      </c>
      <c r="S75">
        <v>0</v>
      </c>
      <c r="T75" s="8">
        <f t="shared" si="20"/>
        <v>5.7270194051947762E-2</v>
      </c>
      <c r="U75" s="8">
        <f t="shared" si="25"/>
        <v>0.18726591760299627</v>
      </c>
      <c r="V75" s="10">
        <v>1.198525438437632</v>
      </c>
      <c r="X75">
        <v>0.95</v>
      </c>
      <c r="Y75">
        <v>0.1</v>
      </c>
    </row>
    <row r="76" spans="1:25" x14ac:dyDescent="0.2">
      <c r="A76">
        <f t="shared" si="21"/>
        <v>23</v>
      </c>
      <c r="B76" s="2">
        <f t="shared" si="24"/>
        <v>44718</v>
      </c>
      <c r="C76" s="1">
        <f>verzamel!E76</f>
        <v>2943</v>
      </c>
      <c r="D76" s="1">
        <v>2871.6690357324496</v>
      </c>
      <c r="E76" s="1">
        <f t="shared" si="22"/>
        <v>71.330964267550371</v>
      </c>
      <c r="F76">
        <f>Corona!E76</f>
        <v>29</v>
      </c>
      <c r="G76">
        <f>verzamel!F76</f>
        <v>2621</v>
      </c>
      <c r="H76" s="1">
        <f>('311 cov wlz'!D76+'312 cov nwlz'!D76)*1.07</f>
        <v>23.540000000000003</v>
      </c>
      <c r="I76" s="6">
        <f t="shared" si="23"/>
        <v>0.89058783554196397</v>
      </c>
      <c r="J76" s="8">
        <f t="shared" si="18"/>
        <v>0.28035417684416203</v>
      </c>
      <c r="K76" s="8">
        <f t="shared" si="19"/>
        <v>0.14849427056316958</v>
      </c>
      <c r="L76" s="8">
        <f t="shared" si="27"/>
        <v>0.13185990628099245</v>
      </c>
      <c r="M76" s="10">
        <f t="shared" si="28"/>
        <v>20.903043478260841</v>
      </c>
      <c r="N76" s="6">
        <f t="shared" si="26"/>
        <v>0.47033330398458173</v>
      </c>
      <c r="O76" s="6">
        <f t="shared" si="29"/>
        <v>-0.29236442775529886</v>
      </c>
      <c r="P76" s="10" cm="1">
        <f t="array" ref="P76">AVERAGE(E75:E77/178)</f>
        <v>0.57237731332818498</v>
      </c>
      <c r="Q76" s="8">
        <f t="shared" si="30"/>
        <v>0.22730864209958276</v>
      </c>
      <c r="R76" s="8">
        <f t="shared" si="31"/>
        <v>0.24752092703557796</v>
      </c>
      <c r="S76">
        <v>0</v>
      </c>
      <c r="T76" s="8">
        <f t="shared" si="20"/>
        <v>-1.8001506461906923E-2</v>
      </c>
      <c r="U76" s="8">
        <f t="shared" si="25"/>
        <v>0.24531835205992508</v>
      </c>
      <c r="V76" s="10">
        <v>1.2374225029835735</v>
      </c>
      <c r="X76">
        <v>0.95</v>
      </c>
      <c r="Y76">
        <v>0.1</v>
      </c>
    </row>
    <row r="77" spans="1:25" x14ac:dyDescent="0.2">
      <c r="A77">
        <f t="shared" si="21"/>
        <v>24</v>
      </c>
      <c r="B77" s="2">
        <f t="shared" si="24"/>
        <v>44725</v>
      </c>
      <c r="C77" s="1">
        <f>verzamel!E77</f>
        <v>3014</v>
      </c>
      <c r="D77" s="1">
        <v>2851.1180844268156</v>
      </c>
      <c r="E77" s="1">
        <f t="shared" si="22"/>
        <v>162.88191557318441</v>
      </c>
      <c r="F77">
        <f>Corona!E77</f>
        <v>73</v>
      </c>
      <c r="G77">
        <f>verzamel!F77</f>
        <v>2683</v>
      </c>
      <c r="H77" s="1">
        <f>('311 cov wlz'!D77+'312 cov nwlz'!D77)*1.07</f>
        <v>66.34</v>
      </c>
      <c r="I77" s="6">
        <f t="shared" si="23"/>
        <v>0.89017916390179164</v>
      </c>
      <c r="J77" s="8">
        <f t="shared" si="18"/>
        <v>0.34069791914185804</v>
      </c>
      <c r="K77" s="8">
        <f t="shared" si="19"/>
        <v>0.41867597482274999</v>
      </c>
      <c r="L77" s="8">
        <f t="shared" si="27"/>
        <v>-7.7978055680891945E-2</v>
      </c>
      <c r="M77" s="10">
        <f t="shared" si="28"/>
        <v>-12.355770392749267</v>
      </c>
      <c r="N77" s="6">
        <f t="shared" si="26"/>
        <v>-0.22887740517259761</v>
      </c>
      <c r="O77" s="6">
        <f t="shared" ref="O77:O89" si="32">0.5*N77+0.25*(N76+N78)</f>
        <v>-0.27356565324008825</v>
      </c>
      <c r="P77" s="10" cm="1">
        <f t="array" ref="P77">AVERAGE(E76:E78/178)</f>
        <v>1.0056176409229316</v>
      </c>
      <c r="Q77" s="8">
        <f t="shared" si="30"/>
        <v>0.27201742089719472</v>
      </c>
      <c r="R77" s="8">
        <f t="shared" si="31"/>
        <v>0.32600153746500132</v>
      </c>
      <c r="S77">
        <v>0</v>
      </c>
      <c r="T77" s="8">
        <f t="shared" si="20"/>
        <v>-4.8105341011196151E-2</v>
      </c>
      <c r="U77" s="8">
        <f t="shared" si="25"/>
        <v>0.3202247191011236</v>
      </c>
      <c r="V77" s="10">
        <v>1.3109512680838429</v>
      </c>
      <c r="X77">
        <v>0.95</v>
      </c>
      <c r="Y77">
        <v>0.1</v>
      </c>
    </row>
    <row r="78" spans="1:25" x14ac:dyDescent="0.2">
      <c r="A78">
        <f t="shared" si="21"/>
        <v>25</v>
      </c>
      <c r="B78" s="2">
        <f t="shared" si="24"/>
        <v>44732</v>
      </c>
      <c r="C78" s="1">
        <f>verzamel!E78</f>
        <v>3136</v>
      </c>
      <c r="D78" s="1">
        <v>2833.2130595878893</v>
      </c>
      <c r="E78" s="1">
        <f t="shared" si="22"/>
        <v>302.78694041211065</v>
      </c>
      <c r="F78">
        <f>Corona!E78</f>
        <v>69</v>
      </c>
      <c r="G78">
        <f>verzamel!F78</f>
        <v>2799</v>
      </c>
      <c r="H78" s="1">
        <f>('311 cov wlz'!D78+'312 cov nwlz'!D78)*1.07</f>
        <v>65.27000000000001</v>
      </c>
      <c r="I78" s="6">
        <f t="shared" si="23"/>
        <v>0.89253826530612246</v>
      </c>
      <c r="J78" s="8">
        <f t="shared" si="18"/>
        <v>0.19500016670556411</v>
      </c>
      <c r="K78" s="8">
        <f t="shared" si="19"/>
        <v>0.41083436700908438</v>
      </c>
      <c r="L78" s="8">
        <f t="shared" si="27"/>
        <v>-0.21583420030352027</v>
      </c>
      <c r="M78" s="10">
        <f t="shared" si="28"/>
        <v>-34.289970326409588</v>
      </c>
      <c r="N78" s="6">
        <f t="shared" si="26"/>
        <v>-1.1068411065997394</v>
      </c>
      <c r="O78" s="6">
        <f t="shared" si="32"/>
        <v>-0.56910017495416465</v>
      </c>
      <c r="P78" s="10" cm="1">
        <f t="array" ref="P78">AVERAGE(E77:E79/178)</f>
        <v>1.4053388140847041</v>
      </c>
      <c r="Q78" s="8">
        <f t="shared" si="30"/>
        <v>0.51232226641714718</v>
      </c>
      <c r="R78" s="8">
        <f t="shared" si="31"/>
        <v>0.55480310954442247</v>
      </c>
      <c r="S78">
        <v>0</v>
      </c>
      <c r="T78" s="8">
        <f t="shared" si="20"/>
        <v>-3.7784048042590002E-2</v>
      </c>
      <c r="U78" s="8">
        <f t="shared" si="25"/>
        <v>0.550561797752809</v>
      </c>
      <c r="V78" s="10">
        <v>1.3678882703873174</v>
      </c>
      <c r="X78">
        <v>0.95</v>
      </c>
      <c r="Y78">
        <v>0.1</v>
      </c>
    </row>
    <row r="79" spans="1:25" x14ac:dyDescent="0.2">
      <c r="A79">
        <f t="shared" si="21"/>
        <v>26</v>
      </c>
      <c r="B79" s="2">
        <f t="shared" si="24"/>
        <v>44739</v>
      </c>
      <c r="C79" s="1">
        <f>verzamel!E79</f>
        <v>3103</v>
      </c>
      <c r="D79" s="1">
        <v>2818.2179292640631</v>
      </c>
      <c r="E79" s="1">
        <f t="shared" si="22"/>
        <v>284.78207073593694</v>
      </c>
      <c r="F79">
        <f>Corona!E79</f>
        <v>152</v>
      </c>
      <c r="G79">
        <f>verzamel!F79</f>
        <v>2748</v>
      </c>
      <c r="H79" s="1">
        <f>('311 cov wlz'!D79+'312 cov nwlz'!D79)*1.07</f>
        <v>131.61000000000001</v>
      </c>
      <c r="I79" s="6">
        <f t="shared" si="23"/>
        <v>0.88559458588462781</v>
      </c>
      <c r="J79" s="8">
        <f t="shared" si="18"/>
        <v>1.0012687134040192</v>
      </c>
      <c r="K79" s="8">
        <f t="shared" si="19"/>
        <v>0.83489898680143282</v>
      </c>
      <c r="L79" s="8">
        <f t="shared" si="27"/>
        <v>0.16636972660258642</v>
      </c>
      <c r="M79" s="10">
        <f t="shared" si="28"/>
        <v>26.225830985915415</v>
      </c>
      <c r="N79" s="6">
        <f t="shared" si="26"/>
        <v>0.16615891855541781</v>
      </c>
      <c r="O79" s="6">
        <f t="shared" si="32"/>
        <v>-0.14203006508778629</v>
      </c>
      <c r="P79" s="10" cm="1">
        <f t="array" ref="P79">AVERAGE(E78:E80/178)</f>
        <v>1.4180051582466329</v>
      </c>
      <c r="Q79" s="8">
        <f t="shared" si="30"/>
        <v>0.63968282750987826</v>
      </c>
      <c r="R79" s="8">
        <f t="shared" si="31"/>
        <v>0.6064430237825591</v>
      </c>
      <c r="S79">
        <v>0</v>
      </c>
      <c r="T79" s="8">
        <f t="shared" si="20"/>
        <v>2.9571523937922044E-2</v>
      </c>
      <c r="U79" s="8">
        <f t="shared" si="25"/>
        <v>0.61048689138576784</v>
      </c>
      <c r="V79" s="10">
        <v>1.3632834590169054</v>
      </c>
      <c r="X79">
        <v>0.95</v>
      </c>
      <c r="Y79">
        <v>0.1</v>
      </c>
    </row>
    <row r="80" spans="1:25" x14ac:dyDescent="0.2">
      <c r="A80">
        <f t="shared" si="21"/>
        <v>27</v>
      </c>
      <c r="B80" s="2">
        <f t="shared" si="24"/>
        <v>44746</v>
      </c>
      <c r="C80" s="1">
        <f>verzamel!E80</f>
        <v>2976</v>
      </c>
      <c r="D80" s="1">
        <v>2806.3542566443457</v>
      </c>
      <c r="E80" s="1">
        <f t="shared" si="22"/>
        <v>169.6457433556543</v>
      </c>
      <c r="F80">
        <f>Corona!E80</f>
        <v>105</v>
      </c>
      <c r="G80">
        <f>verzamel!F80</f>
        <v>2651</v>
      </c>
      <c r="H80" s="1">
        <f>('311 cov wlz'!D80+'312 cov nwlz'!D80)*1.07</f>
        <v>90.95</v>
      </c>
      <c r="I80" s="6">
        <f t="shared" si="23"/>
        <v>0.89079301075268813</v>
      </c>
      <c r="J80" s="8">
        <f t="shared" si="18"/>
        <v>0.72277960242005146</v>
      </c>
      <c r="K80" s="8">
        <f t="shared" si="19"/>
        <v>0.57359571753715999</v>
      </c>
      <c r="L80" s="8">
        <f t="shared" si="27"/>
        <v>0.14918388488289147</v>
      </c>
      <c r="M80" s="10">
        <f t="shared" si="28"/>
        <v>23.654769230769176</v>
      </c>
      <c r="N80" s="6">
        <f t="shared" si="26"/>
        <v>0.20640300913775869</v>
      </c>
      <c r="O80" s="6">
        <f t="shared" si="32"/>
        <v>0.12916423438380686</v>
      </c>
      <c r="P80" s="10" cm="1">
        <f t="array" ref="P80">AVERAGE(E79:E81/178)</f>
        <v>1.39818323971724</v>
      </c>
      <c r="Q80" s="8">
        <f t="shared" si="30"/>
        <v>0.85142162933638021</v>
      </c>
      <c r="R80" s="8">
        <f t="shared" si="31"/>
        <v>0.76348013670621828</v>
      </c>
      <c r="S80">
        <v>0</v>
      </c>
      <c r="T80" s="8">
        <f t="shared" si="20"/>
        <v>7.8246466481878149E-2</v>
      </c>
      <c r="U80" s="8">
        <f t="shared" si="25"/>
        <v>0.77340823970037453</v>
      </c>
      <c r="V80" s="10">
        <v>1.3652589260742589</v>
      </c>
      <c r="X80">
        <v>0.95</v>
      </c>
      <c r="Y80">
        <v>0.1</v>
      </c>
    </row>
    <row r="81" spans="1:25" x14ac:dyDescent="0.2">
      <c r="A81">
        <f t="shared" si="21"/>
        <v>28</v>
      </c>
      <c r="B81" s="2">
        <f t="shared" si="24"/>
        <v>44753</v>
      </c>
      <c r="C81" s="1">
        <f>verzamel!E81</f>
        <v>3090</v>
      </c>
      <c r="D81" s="1">
        <v>2797.7979640825852</v>
      </c>
      <c r="E81" s="1">
        <f t="shared" si="22"/>
        <v>292.20203591741483</v>
      </c>
      <c r="F81">
        <f>Corona!E81</f>
        <v>156</v>
      </c>
      <c r="G81">
        <f>verzamel!F81</f>
        <v>2759</v>
      </c>
      <c r="H81" s="1">
        <f>('311 cov wlz'!D81+'312 cov nwlz'!D81)*1.07</f>
        <v>140.17000000000002</v>
      </c>
      <c r="I81" s="6">
        <f t="shared" si="23"/>
        <v>0.89288025889967637</v>
      </c>
      <c r="J81" s="8">
        <f t="shared" si="18"/>
        <v>0.83021657218506983</v>
      </c>
      <c r="K81" s="8">
        <f t="shared" si="19"/>
        <v>0.88194570578006204</v>
      </c>
      <c r="L81" s="8">
        <f t="shared" si="27"/>
        <v>-5.1729133594992205E-2</v>
      </c>
      <c r="M81" s="10">
        <f t="shared" si="28"/>
        <v>-8.2214501510575602</v>
      </c>
      <c r="N81" s="6">
        <f t="shared" si="26"/>
        <v>-6.2307999295707718E-2</v>
      </c>
      <c r="O81" s="6">
        <f t="shared" si="32"/>
        <v>7.3412497989623529E-2</v>
      </c>
      <c r="P81" s="10" cm="1">
        <f t="array" ref="P81">AVERAGE(E80:E82/178)</f>
        <v>1.6089344886492787</v>
      </c>
      <c r="Q81" s="8">
        <f t="shared" si="30"/>
        <v>0.94195289918648684</v>
      </c>
      <c r="R81" s="8">
        <f t="shared" si="31"/>
        <v>0.81957716574355421</v>
      </c>
      <c r="S81">
        <v>0</v>
      </c>
      <c r="T81" s="8">
        <f t="shared" si="20"/>
        <v>0.10893508938057803</v>
      </c>
      <c r="U81" s="8">
        <f t="shared" si="25"/>
        <v>0.83333333333333337</v>
      </c>
      <c r="V81" s="10">
        <v>1.3907847415300381</v>
      </c>
      <c r="X81">
        <v>0.95</v>
      </c>
      <c r="Y81">
        <v>0.1</v>
      </c>
    </row>
    <row r="82" spans="1:25" x14ac:dyDescent="0.2">
      <c r="A82">
        <f t="shared" si="21"/>
        <v>29</v>
      </c>
      <c r="B82" s="2">
        <f t="shared" si="24"/>
        <v>44760</v>
      </c>
      <c r="C82" s="1">
        <f>verzamel!E82</f>
        <v>3190</v>
      </c>
      <c r="D82" s="1">
        <v>2792.6767623343544</v>
      </c>
      <c r="E82" s="1">
        <f t="shared" si="22"/>
        <v>397.32323766564559</v>
      </c>
      <c r="F82">
        <f>Corona!E82</f>
        <v>184</v>
      </c>
      <c r="G82">
        <f>verzamel!F82</f>
        <v>2829</v>
      </c>
      <c r="H82" s="1">
        <f>('311 cov wlz'!D82+'312 cov nwlz'!D82)*1.07</f>
        <v>158.36000000000001</v>
      </c>
      <c r="I82" s="6">
        <f t="shared" si="23"/>
        <v>0.88683385579937302</v>
      </c>
      <c r="J82" s="8">
        <f t="shared" si="18"/>
        <v>1.2728625229543393</v>
      </c>
      <c r="K82" s="8">
        <f t="shared" si="19"/>
        <v>1.0031900739134407</v>
      </c>
      <c r="L82" s="8">
        <f t="shared" si="27"/>
        <v>0.2696724490408986</v>
      </c>
      <c r="M82" s="10">
        <f t="shared" si="28"/>
        <v>42.569529085872404</v>
      </c>
      <c r="N82" s="6">
        <f t="shared" si="26"/>
        <v>0.21186298141215082</v>
      </c>
      <c r="O82" s="6">
        <f t="shared" si="32"/>
        <v>0.12988595611681383</v>
      </c>
      <c r="P82" s="10" cm="1">
        <f t="array" ref="P82">AVERAGE(E81:E83/178)</f>
        <v>1.9353127172472504</v>
      </c>
      <c r="Q82" s="8">
        <f t="shared" si="30"/>
        <v>1.0997999621711017</v>
      </c>
      <c r="R82" s="8">
        <f t="shared" si="31"/>
        <v>0.96409577199086005</v>
      </c>
      <c r="S82">
        <v>0</v>
      </c>
      <c r="T82" s="8">
        <f t="shared" si="20"/>
        <v>0.12073277509283101</v>
      </c>
      <c r="U82" s="8">
        <f t="shared" si="25"/>
        <v>0.97940074906367047</v>
      </c>
      <c r="V82" s="10">
        <v>1.376422862901544</v>
      </c>
      <c r="X82">
        <v>0.95</v>
      </c>
      <c r="Y82">
        <v>0.1</v>
      </c>
    </row>
    <row r="83" spans="1:25" x14ac:dyDescent="0.2">
      <c r="A83">
        <f t="shared" si="21"/>
        <v>30</v>
      </c>
      <c r="B83" s="2">
        <f t="shared" si="24"/>
        <v>44767</v>
      </c>
      <c r="C83" s="1">
        <f>verzamel!E83</f>
        <v>3135</v>
      </c>
      <c r="D83" s="1">
        <v>2791.0682825730287</v>
      </c>
      <c r="E83" s="1">
        <f t="shared" si="22"/>
        <v>343.93171742697132</v>
      </c>
      <c r="F83">
        <f>Corona!E83</f>
        <v>183</v>
      </c>
      <c r="G83">
        <f>verzamel!F83</f>
        <v>2788</v>
      </c>
      <c r="H83" s="1">
        <f>('311 cov wlz'!D83+'312 cov nwlz'!D83)*1.07</f>
        <v>159.43</v>
      </c>
      <c r="I83" s="6">
        <f t="shared" si="23"/>
        <v>0.8893141945773525</v>
      </c>
      <c r="J83" s="8">
        <f t="shared" si="18"/>
        <v>1.1963207913738951</v>
      </c>
      <c r="K83" s="8">
        <f t="shared" si="19"/>
        <v>1.0071515362790773</v>
      </c>
      <c r="L83" s="8">
        <f t="shared" si="27"/>
        <v>0.18916925509481786</v>
      </c>
      <c r="M83" s="10">
        <f t="shared" si="28"/>
        <v>29.945100864553332</v>
      </c>
      <c r="N83" s="6">
        <f t="shared" si="26"/>
        <v>0.15812586093866138</v>
      </c>
      <c r="O83" s="6">
        <f t="shared" si="32"/>
        <v>3.4078422661743366E-2</v>
      </c>
      <c r="P83" s="10" cm="1">
        <f t="array" ref="P83">AVERAGE(E82:E84/178)</f>
        <v>1.706471941171176</v>
      </c>
      <c r="Q83" s="8">
        <f t="shared" si="30"/>
        <v>1.0259609314852292</v>
      </c>
      <c r="R83" s="8">
        <f t="shared" si="31"/>
        <v>0.95251005434295666</v>
      </c>
      <c r="S83">
        <v>0</v>
      </c>
      <c r="T83" s="8">
        <f t="shared" si="20"/>
        <v>6.5202024461843866E-2</v>
      </c>
      <c r="U83" s="8">
        <f t="shared" si="25"/>
        <v>0.9606741573033708</v>
      </c>
      <c r="V83" s="10">
        <v>1.3364669213669886</v>
      </c>
      <c r="X83">
        <v>0.95</v>
      </c>
      <c r="Y83">
        <v>0.1</v>
      </c>
    </row>
    <row r="84" spans="1:25" x14ac:dyDescent="0.2">
      <c r="A84">
        <f t="shared" si="21"/>
        <v>31</v>
      </c>
      <c r="B84" s="2">
        <f t="shared" si="24"/>
        <v>44774</v>
      </c>
      <c r="C84" s="1">
        <f>verzamel!E84</f>
        <v>2963</v>
      </c>
      <c r="D84" s="1">
        <v>2792.998938507209</v>
      </c>
      <c r="E84" s="1">
        <f t="shared" si="22"/>
        <v>170.001061492791</v>
      </c>
      <c r="F84">
        <f>Corona!E84</f>
        <v>146</v>
      </c>
      <c r="G84">
        <f>verzamel!F84</f>
        <v>2628</v>
      </c>
      <c r="H84" s="1">
        <f>('311 cov wlz'!D84+'312 cov nwlz'!D84)*1.07</f>
        <v>133.75</v>
      </c>
      <c r="I84" s="6">
        <f t="shared" si="23"/>
        <v>0.88693891326358421</v>
      </c>
      <c r="J84" s="8">
        <f t="shared" si="18"/>
        <v>0.60869948012745256</v>
      </c>
      <c r="K84" s="8">
        <f t="shared" si="19"/>
        <v>0.84718855283635186</v>
      </c>
      <c r="L84" s="8">
        <f t="shared" si="27"/>
        <v>-0.2384890727088993</v>
      </c>
      <c r="M84" s="10">
        <f t="shared" si="28"/>
        <v>-37.651492537313452</v>
      </c>
      <c r="N84" s="6">
        <f t="shared" si="26"/>
        <v>-0.39180101264250011</v>
      </c>
      <c r="O84" s="6">
        <f t="shared" si="32"/>
        <v>-0.1575197668534693</v>
      </c>
      <c r="P84" s="10" cm="1">
        <f t="array" ref="P84">AVERAGE(E83:E85/178)</f>
        <v>1.3155229281688059</v>
      </c>
      <c r="Q84" s="8">
        <f t="shared" si="30"/>
        <v>0.84599107008903329</v>
      </c>
      <c r="R84" s="8">
        <f t="shared" si="31"/>
        <v>0.86355557973712893</v>
      </c>
      <c r="S84">
        <v>0</v>
      </c>
      <c r="T84" s="8">
        <f t="shared" si="20"/>
        <v>-1.5609633300076357E-2</v>
      </c>
      <c r="U84" s="8">
        <f t="shared" si="25"/>
        <v>0.86142322097378288</v>
      </c>
      <c r="V84" s="10">
        <v>1.2866268939393939</v>
      </c>
      <c r="X84">
        <v>0.95</v>
      </c>
      <c r="Y84">
        <v>0.1</v>
      </c>
    </row>
    <row r="85" spans="1:25" x14ac:dyDescent="0.2">
      <c r="A85">
        <f t="shared" si="21"/>
        <v>32</v>
      </c>
      <c r="B85" s="2">
        <f t="shared" si="24"/>
        <v>44781</v>
      </c>
      <c r="C85" s="1">
        <f>verzamel!E85</f>
        <v>2987</v>
      </c>
      <c r="D85" s="1">
        <v>2798.44353527762</v>
      </c>
      <c r="E85" s="1">
        <f t="shared" si="22"/>
        <v>188.55646472238004</v>
      </c>
      <c r="F85">
        <f>Corona!E85</f>
        <v>131</v>
      </c>
      <c r="G85">
        <f>verzamel!F85</f>
        <v>2658</v>
      </c>
      <c r="H85" s="1">
        <f>('311 cov wlz'!D85+'312 cov nwlz'!D85)*1.07</f>
        <v>116.63000000000001</v>
      </c>
      <c r="I85" s="6">
        <f t="shared" si="23"/>
        <v>0.8898560428523602</v>
      </c>
      <c r="J85" s="8">
        <f t="shared" si="18"/>
        <v>0.73295293876575185</v>
      </c>
      <c r="K85" s="8">
        <f t="shared" si="19"/>
        <v>0.73632665009595799</v>
      </c>
      <c r="L85" s="8">
        <f t="shared" si="27"/>
        <v>-3.3737113302061417E-3</v>
      </c>
      <c r="M85" s="10">
        <f t="shared" si="28"/>
        <v>-0.53437689969616686</v>
      </c>
      <c r="N85" s="6">
        <f t="shared" si="26"/>
        <v>-4.6029030675383692E-3</v>
      </c>
      <c r="O85" s="6">
        <f t="shared" si="32"/>
        <v>-0.10274485084243773</v>
      </c>
      <c r="P85" s="10" cm="1">
        <f t="array" ref="P85">AVERAGE(E84:E86/178)</f>
        <v>1.1802095417453948</v>
      </c>
      <c r="Q85" s="8">
        <f t="shared" si="30"/>
        <v>0.63469409210275896</v>
      </c>
      <c r="R85" s="8">
        <f t="shared" si="31"/>
        <v>0.71718464655920622</v>
      </c>
      <c r="S85">
        <v>0</v>
      </c>
      <c r="T85" s="8">
        <f t="shared" si="20"/>
        <v>-7.3298905065423151E-2</v>
      </c>
      <c r="U85" s="8">
        <f t="shared" si="25"/>
        <v>0.7078651685393258</v>
      </c>
      <c r="V85" s="10">
        <v>1.2391668626401018</v>
      </c>
      <c r="X85">
        <v>0.95</v>
      </c>
      <c r="Y85">
        <v>0.1</v>
      </c>
    </row>
    <row r="86" spans="1:25" x14ac:dyDescent="0.2">
      <c r="A86">
        <f t="shared" si="21"/>
        <v>33</v>
      </c>
      <c r="B86" s="2">
        <f t="shared" si="24"/>
        <v>44788</v>
      </c>
      <c r="C86" s="1">
        <f>verzamel!E86</f>
        <v>3079</v>
      </c>
      <c r="D86" s="1">
        <v>2807.3256309231301</v>
      </c>
      <c r="E86" s="1">
        <f t="shared" si="22"/>
        <v>271.67436907686988</v>
      </c>
      <c r="F86">
        <f>Corona!E86</f>
        <v>101</v>
      </c>
      <c r="G86">
        <f>verzamel!F86</f>
        <v>2737</v>
      </c>
      <c r="H86" s="1">
        <f>('311 cov wlz'!D86+'312 cov nwlz'!D86)*1.07</f>
        <v>89.88000000000001</v>
      </c>
      <c r="I86" s="6">
        <f t="shared" si="23"/>
        <v>0.88892497564144202</v>
      </c>
      <c r="J86" s="8">
        <f t="shared" si="18"/>
        <v>0.56242985741507268</v>
      </c>
      <c r="K86" s="8">
        <f t="shared" si="19"/>
        <v>0.56803873674530891</v>
      </c>
      <c r="L86" s="8">
        <f t="shared" si="27"/>
        <v>-5.6088793302362383E-3</v>
      </c>
      <c r="M86" s="10">
        <f t="shared" si="28"/>
        <v>-0.88748538011707434</v>
      </c>
      <c r="N86" s="6">
        <f t="shared" si="26"/>
        <v>-9.9725845921741149E-3</v>
      </c>
      <c r="O86" s="6">
        <f t="shared" si="32"/>
        <v>-2.8658767147220994E-2</v>
      </c>
      <c r="P86" s="10" cm="1">
        <f t="array" ref="P86">AVERAGE(E85:E87/178)</f>
        <v>1.2822325628611122</v>
      </c>
      <c r="Q86" s="8">
        <f t="shared" si="30"/>
        <v>0.5775060862916428</v>
      </c>
      <c r="R86" s="8">
        <f t="shared" si="31"/>
        <v>0.59362702345395535</v>
      </c>
      <c r="S86">
        <v>0</v>
      </c>
      <c r="T86" s="8">
        <f t="shared" si="20"/>
        <v>-1.4303729447584309E-2</v>
      </c>
      <c r="U86" s="8">
        <f t="shared" si="25"/>
        <v>0.59176029962546817</v>
      </c>
      <c r="V86" s="10">
        <v>1.2182113562100019</v>
      </c>
      <c r="X86">
        <v>0.95</v>
      </c>
      <c r="Y86">
        <v>0.1</v>
      </c>
    </row>
    <row r="87" spans="1:25" x14ac:dyDescent="0.2">
      <c r="A87">
        <f t="shared" si="21"/>
        <v>34</v>
      </c>
      <c r="B87" s="2">
        <f t="shared" si="24"/>
        <v>44795</v>
      </c>
      <c r="C87" s="1">
        <f>verzamel!E87</f>
        <v>3044</v>
      </c>
      <c r="D87" s="1">
        <v>2819.518645231416</v>
      </c>
      <c r="E87" s="1">
        <f t="shared" si="22"/>
        <v>224.48135476858397</v>
      </c>
      <c r="F87">
        <f>Corona!E87</f>
        <v>84</v>
      </c>
      <c r="G87">
        <f>verzamel!F87</f>
        <v>2688</v>
      </c>
      <c r="H87" s="1">
        <f>('311 cov wlz'!D87+'312 cov nwlz'!D87)*1.07</f>
        <v>74.900000000000006</v>
      </c>
      <c r="I87" s="6">
        <f t="shared" si="23"/>
        <v>0.88304862023653086</v>
      </c>
      <c r="J87" s="8">
        <f t="shared" si="18"/>
        <v>0.43713546269410392</v>
      </c>
      <c r="K87" s="8">
        <f t="shared" si="19"/>
        <v>0.47651568352059931</v>
      </c>
      <c r="L87" s="8">
        <f t="shared" si="27"/>
        <v>-3.9380220826495393E-2</v>
      </c>
      <c r="M87" s="10">
        <f t="shared" si="28"/>
        <v>-6.1898876404495047</v>
      </c>
      <c r="N87" s="6">
        <f t="shared" si="26"/>
        <v>-9.0086996336997377E-2</v>
      </c>
      <c r="O87" s="6">
        <f t="shared" si="32"/>
        <v>-0.35865515752073757</v>
      </c>
      <c r="P87" s="10" cm="1">
        <f t="array" ref="P87">AVERAGE(E86:E88/178)</f>
        <v>1.1784794456095082</v>
      </c>
      <c r="Q87" s="8">
        <f t="shared" si="30"/>
        <v>0.38895000843420108</v>
      </c>
      <c r="R87" s="8">
        <f t="shared" si="31"/>
        <v>0.4733402001685531</v>
      </c>
      <c r="S87">
        <v>0</v>
      </c>
      <c r="T87" s="8">
        <f t="shared" si="20"/>
        <v>-7.506611462152124E-2</v>
      </c>
      <c r="U87" s="8">
        <f t="shared" si="25"/>
        <v>0.46441947565543074</v>
      </c>
      <c r="V87" s="10">
        <v>1.2112645112085954</v>
      </c>
      <c r="X87">
        <v>0.95</v>
      </c>
      <c r="Y87">
        <v>0.1</v>
      </c>
    </row>
    <row r="88" spans="1:25" x14ac:dyDescent="0.2">
      <c r="A88">
        <f t="shared" si="21"/>
        <v>35</v>
      </c>
      <c r="B88" s="2">
        <f t="shared" si="24"/>
        <v>44802</v>
      </c>
      <c r="C88" s="1">
        <f>verzamel!E88</f>
        <v>2968</v>
      </c>
      <c r="D88" s="1">
        <v>2834.8476998899764</v>
      </c>
      <c r="E88" s="1">
        <f t="shared" si="22"/>
        <v>133.15230011002359</v>
      </c>
      <c r="F88">
        <f>Corona!E88</f>
        <v>63</v>
      </c>
      <c r="G88">
        <f>verzamel!F88</f>
        <v>2661</v>
      </c>
      <c r="H88" s="1">
        <f>('311 cov wlz'!D88+'312 cov nwlz'!D88)*1.07</f>
        <v>59.92</v>
      </c>
      <c r="I88" s="6">
        <f t="shared" si="23"/>
        <v>0.89656334231805934</v>
      </c>
      <c r="J88" s="8">
        <f t="shared" si="18"/>
        <v>0.16728470519342675</v>
      </c>
      <c r="K88" s="8">
        <f t="shared" si="19"/>
        <v>0.37546618023975104</v>
      </c>
      <c r="L88" s="8">
        <f t="shared" si="27"/>
        <v>-0.20818147504632428</v>
      </c>
      <c r="M88" s="10">
        <f t="shared" si="28"/>
        <v>-33.223322475570036</v>
      </c>
      <c r="N88" s="6">
        <f t="shared" si="26"/>
        <v>-1.2444740528167815</v>
      </c>
      <c r="O88" s="6">
        <f t="shared" si="32"/>
        <v>-0.63808284685853678</v>
      </c>
      <c r="P88" s="10" cm="1">
        <f t="array" ref="P88">AVERAGE(E87:E89/178)</f>
        <v>0.83434736271900301</v>
      </c>
      <c r="Q88" s="8">
        <f t="shared" si="30"/>
        <v>0.33960337954115577</v>
      </c>
      <c r="R88" s="8">
        <f t="shared" si="31"/>
        <v>0.41843536100366729</v>
      </c>
      <c r="S88">
        <v>0</v>
      </c>
      <c r="T88" s="8">
        <f t="shared" si="20"/>
        <v>-7.0262041604533101E-2</v>
      </c>
      <c r="U88" s="8">
        <f t="shared" si="25"/>
        <v>0.4101123595505618</v>
      </c>
      <c r="V88" s="10">
        <v>1.2017403832958118</v>
      </c>
      <c r="X88">
        <v>0.95</v>
      </c>
      <c r="Y88">
        <v>0.1</v>
      </c>
    </row>
    <row r="89" spans="1:25" x14ac:dyDescent="0.2">
      <c r="A89">
        <f t="shared" si="21"/>
        <v>36</v>
      </c>
      <c r="B89" s="2">
        <f t="shared" si="24"/>
        <v>44809</v>
      </c>
      <c r="C89" s="1">
        <f>verzamel!E89</f>
        <v>2941</v>
      </c>
      <c r="D89" s="1">
        <v>2853.0921631866599</v>
      </c>
      <c r="E89" s="1">
        <f t="shared" si="22"/>
        <v>87.907836813340055</v>
      </c>
      <c r="F89">
        <f>Corona!E89</f>
        <v>72</v>
      </c>
      <c r="G89">
        <f>verzamel!F89</f>
        <v>2630</v>
      </c>
      <c r="H89" s="1">
        <f>('311 cov wlz'!D89+'312 cov nwlz'!D89)*1.07</f>
        <v>64.2</v>
      </c>
      <c r="I89" s="6">
        <f t="shared" si="23"/>
        <v>0.8942536552193131</v>
      </c>
      <c r="J89" s="8">
        <f t="shared" ref="J89:J105" si="33">(F89-H89)/(178*(1-I89))</f>
        <v>0.41438997073593664</v>
      </c>
      <c r="K89" s="8">
        <f t="shared" ref="K89:K105" si="34">H89/(178*I89)</f>
        <v>0.40332421925065159</v>
      </c>
      <c r="L89" s="8">
        <f t="shared" si="27"/>
        <v>1.1065751485285047E-2</v>
      </c>
      <c r="M89" s="10">
        <f t="shared" si="28"/>
        <v>1.7614147909967157</v>
      </c>
      <c r="N89" s="6">
        <f t="shared" si="26"/>
        <v>2.670371453641314E-2</v>
      </c>
      <c r="O89" s="6">
        <f t="shared" si="32"/>
        <v>-0.28234514809981609</v>
      </c>
      <c r="P89" s="10" cm="1">
        <f t="array" ref="P89">AVERAGE(E88:E90/178)</f>
        <v>0.31661287395521093</v>
      </c>
      <c r="Q89" s="8">
        <f t="shared" si="30"/>
        <v>0.30482000335039489</v>
      </c>
      <c r="R89" s="8">
        <f t="shared" si="31"/>
        <v>0.36368250902017724</v>
      </c>
      <c r="S89">
        <v>0</v>
      </c>
      <c r="T89" s="8">
        <f t="shared" si="20"/>
        <v>-5.2512402198510721E-2</v>
      </c>
      <c r="U89" s="8">
        <f t="shared" si="25"/>
        <v>0.35767790262172283</v>
      </c>
      <c r="V89" s="10">
        <v>1.1902388894462292</v>
      </c>
      <c r="X89">
        <v>0.95</v>
      </c>
      <c r="Y89">
        <v>0.1</v>
      </c>
    </row>
    <row r="90" spans="1:25" x14ac:dyDescent="0.2">
      <c r="A90">
        <f t="shared" si="21"/>
        <v>37</v>
      </c>
      <c r="B90" s="2">
        <f t="shared" si="24"/>
        <v>44816</v>
      </c>
      <c r="C90" s="1">
        <f>verzamel!E90</f>
        <v>2822</v>
      </c>
      <c r="D90" s="1">
        <v>2873.988862231281</v>
      </c>
      <c r="E90" s="1">
        <f t="shared" si="22"/>
        <v>-51.988862231281018</v>
      </c>
      <c r="F90">
        <f>Corona!E90</f>
        <v>56</v>
      </c>
      <c r="G90">
        <f>verzamel!F90</f>
        <v>2499</v>
      </c>
      <c r="H90" s="1">
        <f>('311 cov wlz'!D90+'312 cov nwlz'!D90)*1.07</f>
        <v>49.220000000000006</v>
      </c>
      <c r="I90" s="6">
        <f t="shared" si="23"/>
        <v>0.88554216867469882</v>
      </c>
      <c r="J90" s="8">
        <f t="shared" si="33"/>
        <v>0.33278533412182121</v>
      </c>
      <c r="K90" s="8">
        <f t="shared" si="34"/>
        <v>0.31225712757012919</v>
      </c>
      <c r="L90" s="8">
        <f t="shared" si="27"/>
        <v>2.0528206551692019E-2</v>
      </c>
      <c r="M90" s="10">
        <f t="shared" si="28"/>
        <v>3.2357894736841772</v>
      </c>
      <c r="N90" s="6">
        <f t="shared" si="26"/>
        <v>6.1686031344690667E-2</v>
      </c>
      <c r="O90" s="6">
        <f>0.5*N90+0.25*(N89+N91)</f>
        <v>0.11721639188544503</v>
      </c>
      <c r="P90" s="10" cm="1">
        <f t="array" ref="P90">AVERAGE(E89:E91/178)</f>
        <v>0.29341396751123089</v>
      </c>
      <c r="Q90" s="8">
        <f t="shared" si="30"/>
        <v>0.40080705193365312</v>
      </c>
      <c r="R90" s="8">
        <f t="shared" si="31"/>
        <v>0.34189982279985887</v>
      </c>
      <c r="S90">
        <v>0</v>
      </c>
      <c r="T90" s="8">
        <f t="shared" si="20"/>
        <v>5.2455825707410558E-2</v>
      </c>
      <c r="U90" s="8">
        <f t="shared" si="25"/>
        <v>0.34831460674157305</v>
      </c>
      <c r="V90" s="10">
        <v>1.3545024145230118</v>
      </c>
      <c r="X90">
        <v>0.95</v>
      </c>
      <c r="Y90">
        <v>0.1</v>
      </c>
    </row>
    <row r="91" spans="1:25" x14ac:dyDescent="0.2">
      <c r="A91">
        <f t="shared" si="21"/>
        <v>38</v>
      </c>
      <c r="B91" s="2">
        <f t="shared" si="24"/>
        <v>44823</v>
      </c>
      <c r="C91" s="1">
        <f>verzamel!E91</f>
        <v>3018</v>
      </c>
      <c r="D91" s="1">
        <v>2897.2359159310618</v>
      </c>
      <c r="E91" s="1">
        <f t="shared" si="22"/>
        <v>120.76408406893825</v>
      </c>
      <c r="F91">
        <f>Corona!E91</f>
        <v>58</v>
      </c>
      <c r="G91">
        <f>verzamel!F91</f>
        <v>2691</v>
      </c>
      <c r="H91" s="1">
        <f>('311 cov wlz'!D91+'312 cov nwlz'!D91)*1.07</f>
        <v>49.220000000000006</v>
      </c>
      <c r="I91" s="6">
        <f t="shared" si="23"/>
        <v>0.89165009940357853</v>
      </c>
      <c r="J91" s="8">
        <f t="shared" si="33"/>
        <v>0.45524585094320147</v>
      </c>
      <c r="K91" s="8">
        <f t="shared" si="34"/>
        <v>0.31011812157879581</v>
      </c>
      <c r="L91" s="8">
        <f t="shared" si="27"/>
        <v>0.14512772936440566</v>
      </c>
      <c r="M91" s="10">
        <f t="shared" si="28"/>
        <v>23.033761467889853</v>
      </c>
      <c r="N91" s="6">
        <f t="shared" si="26"/>
        <v>0.31878979031598564</v>
      </c>
      <c r="O91" s="6">
        <f t="shared" ref="O91:O105" si="35">AVERAGE(N89:N93)</f>
        <v>-2.3432354395032065E-2</v>
      </c>
      <c r="P91" s="10" cm="1">
        <f t="array" ref="P91">AVERAGE(E90:E92/178)</f>
        <v>0.66156945494938724</v>
      </c>
      <c r="Q91" s="8">
        <f t="shared" si="30"/>
        <v>0.39671549191143135</v>
      </c>
      <c r="R91" s="8">
        <f t="shared" si="31"/>
        <v>0.40953424141300826</v>
      </c>
      <c r="S91">
        <v>0</v>
      </c>
      <c r="T91" s="8">
        <f t="shared" si="20"/>
        <v>-1.1407042381566172E-2</v>
      </c>
      <c r="U91" s="8">
        <f t="shared" si="25"/>
        <v>0.40823970037453189</v>
      </c>
      <c r="V91" s="10">
        <v>1.8419128166561578</v>
      </c>
      <c r="X91">
        <v>0.95</v>
      </c>
      <c r="Y91">
        <v>0.1</v>
      </c>
    </row>
    <row r="92" spans="1:25" x14ac:dyDescent="0.2">
      <c r="A92">
        <f t="shared" si="21"/>
        <v>39</v>
      </c>
      <c r="B92" s="2">
        <f t="shared" si="24"/>
        <v>44830</v>
      </c>
      <c r="C92" s="1">
        <f>verzamel!E92</f>
        <v>3207</v>
      </c>
      <c r="D92" s="1">
        <v>2922.4971328946845</v>
      </c>
      <c r="E92" s="1">
        <f t="shared" si="22"/>
        <v>284.50286710531554</v>
      </c>
      <c r="F92">
        <f>Corona!E92</f>
        <v>104</v>
      </c>
      <c r="G92">
        <f>verzamel!F92</f>
        <v>2862</v>
      </c>
      <c r="H92" s="1">
        <f>('311 cov wlz'!D92+'312 cov nwlz'!D92)*1.07</f>
        <v>96.300000000000011</v>
      </c>
      <c r="I92" s="6">
        <f t="shared" si="23"/>
        <v>0.89242282507015902</v>
      </c>
      <c r="J92" s="8">
        <f t="shared" si="33"/>
        <v>0.40211529066927149</v>
      </c>
      <c r="K92" s="8">
        <f t="shared" si="34"/>
        <v>0.60622747509009967</v>
      </c>
      <c r="L92" s="8">
        <f t="shared" si="27"/>
        <v>-0.20411218442082818</v>
      </c>
      <c r="M92" s="10">
        <f t="shared" si="28"/>
        <v>-32.423478260869665</v>
      </c>
      <c r="N92" s="6">
        <f t="shared" si="26"/>
        <v>-0.50759617740750052</v>
      </c>
      <c r="O92" s="6">
        <f t="shared" si="35"/>
        <v>-9.1002328545630687E-2</v>
      </c>
      <c r="P92" s="10" cm="1">
        <f t="array" ref="P92">AVERAGE(E91:E93/178)</f>
        <v>1.4360674924706915</v>
      </c>
      <c r="Q92" s="8">
        <f t="shared" si="30"/>
        <v>0.59945305293229156</v>
      </c>
      <c r="R92" s="8">
        <f t="shared" si="31"/>
        <v>0.6243669162334734</v>
      </c>
      <c r="S92">
        <v>0</v>
      </c>
      <c r="T92" s="8">
        <f t="shared" si="20"/>
        <v>-2.2225246491209626E-2</v>
      </c>
      <c r="U92" s="8">
        <f t="shared" si="25"/>
        <v>0.62172284644194764</v>
      </c>
      <c r="V92" s="10">
        <v>2.3808583600866933</v>
      </c>
      <c r="X92">
        <v>0.95</v>
      </c>
      <c r="Y92">
        <v>0.1</v>
      </c>
    </row>
    <row r="93" spans="1:25" x14ac:dyDescent="0.2">
      <c r="A93">
        <f t="shared" si="21"/>
        <v>40</v>
      </c>
      <c r="B93" s="2">
        <f t="shared" si="24"/>
        <v>44837</v>
      </c>
      <c r="C93" s="1">
        <f>verzamel!E93</f>
        <v>3311</v>
      </c>
      <c r="D93" s="1">
        <v>2949.4069101949044</v>
      </c>
      <c r="E93" s="1">
        <f t="shared" si="22"/>
        <v>361.59308980509559</v>
      </c>
      <c r="F93">
        <f>Corona!E93</f>
        <v>170</v>
      </c>
      <c r="G93">
        <f>verzamel!F93</f>
        <v>2954</v>
      </c>
      <c r="H93" s="1">
        <f>('311 cov wlz'!D93+'312 cov nwlz'!D93)*1.07</f>
        <v>151.94</v>
      </c>
      <c r="I93" s="6">
        <f t="shared" si="23"/>
        <v>0.89217758985200846</v>
      </c>
      <c r="J93" s="8">
        <f t="shared" si="33"/>
        <v>0.94099801718440201</v>
      </c>
      <c r="K93" s="8">
        <f t="shared" si="34"/>
        <v>0.95675515203152461</v>
      </c>
      <c r="L93" s="8">
        <f t="shared" si="27"/>
        <v>-1.57571348471226E-2</v>
      </c>
      <c r="M93" s="10">
        <f t="shared" si="28"/>
        <v>-2.5023529411764507</v>
      </c>
      <c r="N93" s="6">
        <f t="shared" si="26"/>
        <v>-1.6745130764749278E-2</v>
      </c>
      <c r="O93" s="6">
        <f t="shared" si="35"/>
        <v>-8.8123483735390487E-2</v>
      </c>
      <c r="P93" s="10" cm="1">
        <f t="array" ref="P93">AVERAGE(E92:E94/178)</f>
        <v>1.8324351971952204</v>
      </c>
      <c r="Q93" s="8">
        <f t="shared" si="30"/>
        <v>0.73438514756171125</v>
      </c>
      <c r="R93" s="8">
        <f t="shared" si="31"/>
        <v>0.89687452213006491</v>
      </c>
      <c r="S93">
        <v>0</v>
      </c>
      <c r="T93" s="8">
        <f t="shared" si="20"/>
        <v>-0.14545543790770421</v>
      </c>
      <c r="U93" s="8">
        <f t="shared" si="25"/>
        <v>0.88014981273408233</v>
      </c>
      <c r="V93" s="10">
        <v>2.6885997938484323</v>
      </c>
      <c r="X93">
        <v>0.95</v>
      </c>
      <c r="Y93">
        <v>0.1</v>
      </c>
    </row>
    <row r="94" spans="1:25" x14ac:dyDescent="0.2">
      <c r="A94">
        <f t="shared" si="21"/>
        <v>41</v>
      </c>
      <c r="B94" s="2">
        <f t="shared" si="24"/>
        <v>44844</v>
      </c>
      <c r="C94" s="1">
        <f>verzamel!E94</f>
        <v>3310</v>
      </c>
      <c r="D94" s="1">
        <v>2977.5755616081633</v>
      </c>
      <c r="E94" s="1">
        <f t="shared" si="22"/>
        <v>332.4244383918367</v>
      </c>
      <c r="F94">
        <f>Corona!E94</f>
        <v>196</v>
      </c>
      <c r="G94">
        <f>verzamel!F94</f>
        <v>2982</v>
      </c>
      <c r="H94" s="1">
        <f>('311 cov wlz'!D94+'312 cov nwlz'!D94)*1.07</f>
        <v>180.83</v>
      </c>
      <c r="I94" s="6">
        <f t="shared" si="23"/>
        <v>0.90090634441087614</v>
      </c>
      <c r="J94" s="8">
        <f t="shared" si="33"/>
        <v>0.86004213483146008</v>
      </c>
      <c r="K94" s="8">
        <f t="shared" si="34"/>
        <v>1.1276409392685705</v>
      </c>
      <c r="L94" s="8">
        <f t="shared" si="27"/>
        <v>-0.26759880443711037</v>
      </c>
      <c r="M94" s="10">
        <f t="shared" si="28"/>
        <v>-42.912500000000129</v>
      </c>
      <c r="N94" s="6">
        <f t="shared" si="26"/>
        <v>-0.31114615621657993</v>
      </c>
      <c r="O94" s="6">
        <f t="shared" si="35"/>
        <v>-8.3899732899591156E-2</v>
      </c>
      <c r="P94" s="10" cm="1">
        <f t="array" ref="P94">AVERAGE(E93:E95/178)</f>
        <v>1.978319345540499</v>
      </c>
      <c r="Q94" s="8">
        <f t="shared" si="30"/>
        <v>1.0542574289491073</v>
      </c>
      <c r="R94" s="8">
        <f t="shared" si="31"/>
        <v>1.1141757658442617</v>
      </c>
      <c r="S94">
        <v>0</v>
      </c>
      <c r="T94" s="8">
        <f t="shared" si="20"/>
        <v>-5.3562498120544283E-2</v>
      </c>
      <c r="U94" s="8">
        <f t="shared" si="25"/>
        <v>1.1086142322097379</v>
      </c>
      <c r="V94" s="10">
        <v>2.7610196209216893</v>
      </c>
      <c r="X94">
        <v>0.95</v>
      </c>
      <c r="Y94">
        <v>0.1</v>
      </c>
    </row>
    <row r="95" spans="1:25" x14ac:dyDescent="0.2">
      <c r="A95">
        <f t="shared" si="21"/>
        <v>42</v>
      </c>
      <c r="B95" s="2">
        <f t="shared" si="24"/>
        <v>44851</v>
      </c>
      <c r="C95" s="1">
        <f>verzamel!E95</f>
        <v>3369</v>
      </c>
      <c r="D95" s="1">
        <v>3006.5949976783058</v>
      </c>
      <c r="E95" s="1">
        <f t="shared" si="22"/>
        <v>362.40500232169416</v>
      </c>
      <c r="F95">
        <f>Corona!E95</f>
        <v>226</v>
      </c>
      <c r="G95">
        <f>verzamel!F95</f>
        <v>2994</v>
      </c>
      <c r="H95" s="1">
        <f>('311 cov wlz'!D95+'312 cov nwlz'!D95)*1.07</f>
        <v>199.02</v>
      </c>
      <c r="I95" s="6">
        <f t="shared" si="23"/>
        <v>0.88869100623330366</v>
      </c>
      <c r="J95" s="8">
        <f t="shared" si="33"/>
        <v>1.3617321348314604</v>
      </c>
      <c r="K95" s="8">
        <f t="shared" si="34"/>
        <v>1.2581312062326901</v>
      </c>
      <c r="L95" s="8">
        <f t="shared" si="27"/>
        <v>0.10360092859877024</v>
      </c>
      <c r="M95" s="10">
        <f t="shared" si="28"/>
        <v>16.388319999999947</v>
      </c>
      <c r="N95" s="6">
        <f t="shared" si="26"/>
        <v>7.6080255395891624E-2</v>
      </c>
      <c r="O95" s="6">
        <f t="shared" si="35"/>
        <v>7.3147707574013301E-2</v>
      </c>
      <c r="P95" s="10" cm="1">
        <f t="array" ref="P95">AVERAGE(E94:E96/178)</f>
        <v>1.8142036814638274</v>
      </c>
      <c r="Q95" s="8">
        <f t="shared" si="30"/>
        <v>1.2154739379637234</v>
      </c>
      <c r="R95" s="8">
        <f t="shared" si="31"/>
        <v>1.1087232721841784</v>
      </c>
      <c r="S95">
        <v>0</v>
      </c>
      <c r="T95" s="8">
        <f t="shared" si="20"/>
        <v>9.5296923838623274E-2</v>
      </c>
      <c r="U95" s="8">
        <f t="shared" si="25"/>
        <v>1.1217228464419475</v>
      </c>
      <c r="V95" s="10">
        <v>2.6617178639590411</v>
      </c>
      <c r="X95">
        <v>0.95</v>
      </c>
      <c r="Y95">
        <v>0.1</v>
      </c>
    </row>
    <row r="96" spans="1:25" x14ac:dyDescent="0.2">
      <c r="A96">
        <f t="shared" si="21"/>
        <v>43</v>
      </c>
      <c r="B96" s="2">
        <f t="shared" si="24"/>
        <v>44858</v>
      </c>
      <c r="C96" s="1">
        <f>verzamel!E96</f>
        <v>3310</v>
      </c>
      <c r="D96" s="1">
        <v>3036.044674811847</v>
      </c>
      <c r="E96" s="1">
        <f t="shared" si="22"/>
        <v>273.95532518815298</v>
      </c>
      <c r="F96">
        <f>Corona!E96</f>
        <v>177</v>
      </c>
      <c r="G96">
        <f>verzamel!F96</f>
        <v>2941</v>
      </c>
      <c r="H96" s="1">
        <f>('311 cov wlz'!D96+'312 cov nwlz'!D96)*1.07</f>
        <v>148.73000000000002</v>
      </c>
      <c r="I96" s="6">
        <f t="shared" si="23"/>
        <v>0.88851963746223561</v>
      </c>
      <c r="J96" s="8">
        <f t="shared" si="33"/>
        <v>1.4246475442282498</v>
      </c>
      <c r="K96" s="8">
        <f t="shared" si="34"/>
        <v>0.94039767105127448</v>
      </c>
      <c r="L96" s="8">
        <f t="shared" si="27"/>
        <v>0.48424987317697532</v>
      </c>
      <c r="M96" s="10">
        <f t="shared" si="28"/>
        <v>76.587262872628472</v>
      </c>
      <c r="N96" s="6">
        <f t="shared" si="26"/>
        <v>0.33990854449498231</v>
      </c>
      <c r="O96" s="6">
        <f t="shared" si="35"/>
        <v>0.12526559844662549</v>
      </c>
      <c r="P96" s="10" cm="1">
        <f t="array" ref="P96">AVERAGE(E95:E97/178)</f>
        <v>1.5072333348885445</v>
      </c>
      <c r="Q96" s="8">
        <f t="shared" si="30"/>
        <v>1.2044312463957509</v>
      </c>
      <c r="R96" s="8">
        <f t="shared" si="31"/>
        <v>0.93195255673447663</v>
      </c>
      <c r="S96">
        <v>0</v>
      </c>
      <c r="T96" s="8">
        <f t="shared" si="20"/>
        <v>0.24185219789229015</v>
      </c>
      <c r="U96" s="8">
        <f t="shared" si="25"/>
        <v>0.96254681647940077</v>
      </c>
      <c r="V96" s="10">
        <v>2.3465376900670898</v>
      </c>
      <c r="X96">
        <v>0.95</v>
      </c>
      <c r="Y96">
        <v>0.1</v>
      </c>
    </row>
    <row r="97" spans="1:25" x14ac:dyDescent="0.2">
      <c r="A97">
        <f t="shared" si="21"/>
        <v>44</v>
      </c>
      <c r="B97" s="2">
        <f t="shared" si="24"/>
        <v>44865</v>
      </c>
      <c r="C97" s="1">
        <f>verzamel!E97</f>
        <v>3234</v>
      </c>
      <c r="D97" s="1">
        <v>3065.4977266793644</v>
      </c>
      <c r="E97" s="1">
        <f t="shared" si="22"/>
        <v>168.5022733206356</v>
      </c>
      <c r="F97">
        <f>Corona!E97</f>
        <v>111</v>
      </c>
      <c r="G97">
        <f>verzamel!F97</f>
        <v>2864</v>
      </c>
      <c r="H97" s="1">
        <f>('311 cov wlz'!D97+'312 cov nwlz'!D97)*1.07</f>
        <v>94.160000000000011</v>
      </c>
      <c r="I97" s="6">
        <f t="shared" si="23"/>
        <v>0.88559059987631417</v>
      </c>
      <c r="J97" s="8">
        <f t="shared" si="33"/>
        <v>0.82691406012754276</v>
      </c>
      <c r="K97" s="8">
        <f t="shared" si="34"/>
        <v>0.59732879291946528</v>
      </c>
      <c r="L97" s="8">
        <f t="shared" si="27"/>
        <v>0.22958526720807748</v>
      </c>
      <c r="M97" s="10">
        <f t="shared" si="28"/>
        <v>36.190702702702609</v>
      </c>
      <c r="N97" s="6">
        <f t="shared" si="26"/>
        <v>0.27764102496052173</v>
      </c>
      <c r="O97" s="6">
        <f t="shared" si="35"/>
        <v>0.18303812105385536</v>
      </c>
      <c r="P97" s="10" cm="1">
        <f t="array" ref="P97">AVERAGE(E96:E98/178)</f>
        <v>0.97177979396965541</v>
      </c>
      <c r="Q97" s="8">
        <f t="shared" si="30"/>
        <v>0.98508823059072748</v>
      </c>
      <c r="R97" s="8">
        <f t="shared" si="31"/>
        <v>0.68994518267401206</v>
      </c>
      <c r="S97">
        <v>0</v>
      </c>
      <c r="T97" s="8">
        <f t="shared" si="20"/>
        <v>0.262340178886382</v>
      </c>
      <c r="U97" s="8">
        <f t="shared" si="25"/>
        <v>0.72284644194756553</v>
      </c>
      <c r="V97" s="10">
        <v>1.8676332593281197</v>
      </c>
      <c r="X97">
        <v>0.95</v>
      </c>
      <c r="Y97">
        <v>0.1</v>
      </c>
    </row>
    <row r="98" spans="1:25" x14ac:dyDescent="0.2">
      <c r="A98">
        <f t="shared" si="21"/>
        <v>45</v>
      </c>
      <c r="B98" s="2">
        <f t="shared" si="24"/>
        <v>44872</v>
      </c>
      <c r="C98" s="1">
        <f>verzamel!E98</f>
        <v>3171</v>
      </c>
      <c r="D98" s="1">
        <v>3094.5271885289926</v>
      </c>
      <c r="E98" s="1">
        <f t="shared" si="22"/>
        <v>76.47281147100739</v>
      </c>
      <c r="F98">
        <f>Corona!E98</f>
        <v>98</v>
      </c>
      <c r="G98">
        <f>verzamel!F98</f>
        <v>2830</v>
      </c>
      <c r="H98" s="1">
        <f>('311 cov wlz'!D98+'312 cov nwlz'!D98)*1.07</f>
        <v>84.53</v>
      </c>
      <c r="I98" s="6">
        <f t="shared" si="23"/>
        <v>0.89246294544307792</v>
      </c>
      <c r="J98" s="8">
        <f t="shared" si="33"/>
        <v>0.70370308741638943</v>
      </c>
      <c r="K98" s="8">
        <f t="shared" si="34"/>
        <v>0.53210908405129631</v>
      </c>
      <c r="L98" s="8">
        <f t="shared" si="27"/>
        <v>0.17159400336509312</v>
      </c>
      <c r="M98" s="10">
        <f t="shared" si="28"/>
        <v>27.259149560117315</v>
      </c>
      <c r="N98" s="6">
        <f t="shared" si="26"/>
        <v>0.24384432359831174</v>
      </c>
      <c r="O98" s="6">
        <f t="shared" si="35"/>
        <v>0.10599757082482845</v>
      </c>
      <c r="P98" s="10" cm="1">
        <f t="array" ref="P98">AVERAGE(E97:E99/178)</f>
        <v>0.64468700587806527</v>
      </c>
      <c r="Q98" s="8">
        <f t="shared" si="30"/>
        <v>0.65156145042503921</v>
      </c>
      <c r="R98" s="8">
        <f t="shared" si="31"/>
        <v>0.52098493351589847</v>
      </c>
      <c r="S98">
        <v>0</v>
      </c>
      <c r="T98" s="8">
        <f t="shared" si="20"/>
        <v>0.11662037183951257</v>
      </c>
      <c r="U98" s="8">
        <f t="shared" si="25"/>
        <v>0.53558052434456926</v>
      </c>
      <c r="V98" s="10">
        <v>1.4739296828031534</v>
      </c>
      <c r="X98">
        <v>0.95</v>
      </c>
      <c r="Y98">
        <v>0.1</v>
      </c>
    </row>
    <row r="99" spans="1:25" x14ac:dyDescent="0.2">
      <c r="A99">
        <f t="shared" si="21"/>
        <v>46</v>
      </c>
      <c r="B99" s="2">
        <f t="shared" si="24"/>
        <v>44879</v>
      </c>
      <c r="C99" s="1">
        <f>verzamel!E99</f>
        <v>3222</v>
      </c>
      <c r="D99" s="1">
        <v>3122.7122236527562</v>
      </c>
      <c r="E99" s="1">
        <f t="shared" si="22"/>
        <v>99.287776347243835</v>
      </c>
      <c r="F99">
        <f>Corona!E99</f>
        <v>77</v>
      </c>
      <c r="G99">
        <f>verzamel!F99</f>
        <v>2904</v>
      </c>
      <c r="H99" s="1">
        <f>('311 cov wlz'!D99+'312 cov nwlz'!D99)*1.07</f>
        <v>69.55</v>
      </c>
      <c r="I99" s="6">
        <f t="shared" si="23"/>
        <v>0.9013035381750466</v>
      </c>
      <c r="J99" s="8">
        <f t="shared" si="33"/>
        <v>0.42406720373118545</v>
      </c>
      <c r="K99" s="8">
        <f t="shared" si="34"/>
        <v>0.43351692357693378</v>
      </c>
      <c r="L99" s="8">
        <f t="shared" si="27"/>
        <v>-9.4497198457483278E-3</v>
      </c>
      <c r="M99" s="10">
        <f t="shared" si="28"/>
        <v>-1.5160377358489945</v>
      </c>
      <c r="N99" s="6">
        <f t="shared" si="26"/>
        <v>-2.228354318043059E-2</v>
      </c>
      <c r="O99" s="6">
        <f t="shared" si="35"/>
        <v>-0.10548735016740682</v>
      </c>
      <c r="P99" s="10" cm="1">
        <f t="array" ref="P99">AVERAGE(E98:E100/178)</f>
        <v>0.8148245816735189</v>
      </c>
      <c r="Q99" s="8">
        <f t="shared" si="30"/>
        <v>0.47254975849956898</v>
      </c>
      <c r="R99" s="8">
        <f t="shared" si="31"/>
        <v>0.4483710356957466</v>
      </c>
      <c r="S99">
        <v>0</v>
      </c>
      <c r="T99" s="8">
        <f t="shared" si="20"/>
        <v>2.1734016663034168E-2</v>
      </c>
      <c r="U99" s="8">
        <f t="shared" si="25"/>
        <v>0.45131086142322097</v>
      </c>
      <c r="V99" s="10">
        <v>1.2331314886495013</v>
      </c>
      <c r="X99">
        <v>0.95</v>
      </c>
      <c r="Y99">
        <v>0.1</v>
      </c>
    </row>
    <row r="100" spans="1:25" x14ac:dyDescent="0.2">
      <c r="A100">
        <f t="shared" si="21"/>
        <v>47</v>
      </c>
      <c r="B100" s="2">
        <f t="shared" si="24"/>
        <v>44886</v>
      </c>
      <c r="C100" s="1">
        <f>verzamel!E100</f>
        <v>3409</v>
      </c>
      <c r="D100" s="1">
        <v>3149.6442612045921</v>
      </c>
      <c r="E100" s="1">
        <f t="shared" si="22"/>
        <v>259.35573879540789</v>
      </c>
      <c r="F100">
        <f>Corona!E100</f>
        <v>66</v>
      </c>
      <c r="G100">
        <f>verzamel!F100</f>
        <v>3078</v>
      </c>
      <c r="H100" s="1">
        <f>('311 cov wlz'!D100+'312 cov nwlz'!D100)*1.07</f>
        <v>60.99</v>
      </c>
      <c r="I100" s="6">
        <f t="shared" si="23"/>
        <v>0.90290407744206513</v>
      </c>
      <c r="J100" s="8">
        <f t="shared" si="33"/>
        <v>0.28987898435113196</v>
      </c>
      <c r="K100" s="8">
        <f t="shared" si="34"/>
        <v>0.3794870994590096</v>
      </c>
      <c r="L100" s="8">
        <f t="shared" si="27"/>
        <v>-8.9608115107877639E-2</v>
      </c>
      <c r="M100" s="10">
        <f t="shared" si="28"/>
        <v>-14.401540785498513</v>
      </c>
      <c r="N100" s="6">
        <f t="shared" si="26"/>
        <v>-0.30912249574924289</v>
      </c>
      <c r="O100" s="6">
        <f t="shared" si="35"/>
        <v>-0.10711021852041369</v>
      </c>
      <c r="P100" s="10" cm="1">
        <f t="array" ref="P100">AVERAGE(E99:E101/178)</f>
        <v>1.1492707102835231</v>
      </c>
      <c r="Q100" s="8">
        <f t="shared" si="30"/>
        <v>0.33230503735415917</v>
      </c>
      <c r="R100" s="8">
        <f t="shared" si="31"/>
        <v>0.43300256486156857</v>
      </c>
      <c r="S100">
        <v>0</v>
      </c>
      <c r="T100" s="8">
        <f t="shared" ref="T100:T105" si="36">AVERAGE( L99:L101)*AVERAGE(I99:I101)</f>
        <v>-9.086686651891597E-2</v>
      </c>
      <c r="U100" s="8">
        <f t="shared" si="25"/>
        <v>0.42322097378277151</v>
      </c>
      <c r="V100" s="10">
        <v>1.1199898094698479</v>
      </c>
      <c r="X100">
        <v>0.95</v>
      </c>
      <c r="Y100">
        <v>0.1</v>
      </c>
    </row>
    <row r="101" spans="1:25" x14ac:dyDescent="0.2">
      <c r="A101">
        <f t="shared" si="21"/>
        <v>48</v>
      </c>
      <c r="B101" s="2">
        <f t="shared" si="24"/>
        <v>44893</v>
      </c>
      <c r="C101" s="1">
        <f>verzamel!E101</f>
        <v>3430</v>
      </c>
      <c r="D101" s="1">
        <v>3174.9329558512504</v>
      </c>
      <c r="E101" s="1">
        <f t="shared" si="22"/>
        <v>255.06704414874957</v>
      </c>
      <c r="F101">
        <f>Corona!E101</f>
        <v>83</v>
      </c>
      <c r="G101">
        <f>verzamel!F101</f>
        <v>3097</v>
      </c>
      <c r="H101" s="1">
        <f>('311 cov wlz'!D101+'312 cov nwlz'!D101)*1.07</f>
        <v>78.11</v>
      </c>
      <c r="I101" s="6">
        <f t="shared" si="23"/>
        <v>0.90291545189504374</v>
      </c>
      <c r="J101" s="8">
        <f t="shared" si="33"/>
        <v>0.28296892398015999</v>
      </c>
      <c r="K101" s="8">
        <f t="shared" si="34"/>
        <v>0.48600367154876234</v>
      </c>
      <c r="L101" s="8">
        <f t="shared" si="27"/>
        <v>-0.20303474756860235</v>
      </c>
      <c r="M101" s="10">
        <f t="shared" si="28"/>
        <v>-32.631531531531529</v>
      </c>
      <c r="N101" s="6">
        <f t="shared" si="26"/>
        <v>-0.71751606046619409</v>
      </c>
      <c r="O101" s="6">
        <f t="shared" si="35"/>
        <v>-0.18065673370114452</v>
      </c>
      <c r="P101" s="10" cm="1">
        <f t="array" ref="P101">AVERAGE(E100:E102/178)</f>
        <v>1.7457132970393359</v>
      </c>
      <c r="Q101" s="8">
        <f t="shared" si="30"/>
        <v>0.41533257689781394</v>
      </c>
      <c r="R101" s="8">
        <f t="shared" si="31"/>
        <v>0.45240291815167338</v>
      </c>
      <c r="S101">
        <v>0</v>
      </c>
      <c r="T101" s="8">
        <f t="shared" si="36"/>
        <v>-3.3341585091151212E-2</v>
      </c>
      <c r="U101" s="8">
        <f t="shared" si="25"/>
        <v>0.449438202247191</v>
      </c>
      <c r="V101" s="10">
        <v>1.0950501614886246</v>
      </c>
      <c r="X101">
        <v>0.95</v>
      </c>
      <c r="Y101">
        <v>0.1</v>
      </c>
    </row>
    <row r="102" spans="1:25" x14ac:dyDescent="0.2">
      <c r="A102">
        <f t="shared" si="21"/>
        <v>49</v>
      </c>
      <c r="B102" s="2">
        <f t="shared" si="24"/>
        <v>44900</v>
      </c>
      <c r="C102" s="1">
        <f>verzamel!E102</f>
        <v>3616</v>
      </c>
      <c r="D102" s="1">
        <v>3198.2118823251521</v>
      </c>
      <c r="E102" s="1">
        <f t="shared" si="22"/>
        <v>417.78811767484785</v>
      </c>
      <c r="F102">
        <f>Corona!E102</f>
        <v>91</v>
      </c>
      <c r="G102">
        <f>verzamel!F102</f>
        <v>3227</v>
      </c>
      <c r="H102" s="1">
        <f>('311 cov wlz'!D102+'312 cov nwlz'!D102)*1.07</f>
        <v>78.11</v>
      </c>
      <c r="I102" s="6">
        <f t="shared" si="23"/>
        <v>0.89242256637168138</v>
      </c>
      <c r="J102" s="8">
        <f t="shared" si="33"/>
        <v>0.67314982236214993</v>
      </c>
      <c r="K102" s="8">
        <f t="shared" si="34"/>
        <v>0.49171798344724815</v>
      </c>
      <c r="L102" s="8">
        <f t="shared" si="27"/>
        <v>0.18143183891490178</v>
      </c>
      <c r="M102" s="10">
        <f t="shared" si="28"/>
        <v>28.820668380462681</v>
      </c>
      <c r="N102" s="6">
        <f t="shared" si="26"/>
        <v>0.26952668319548734</v>
      </c>
      <c r="O102" s="6">
        <f t="shared" si="35"/>
        <v>-0.12035543055337569</v>
      </c>
      <c r="P102" s="10" cm="1">
        <f t="array" ref="P102">AVERAGE(E101:E103/178)</f>
        <v>2.7148151311223869</v>
      </c>
      <c r="Q102" s="8">
        <f t="shared" si="30"/>
        <v>0.51594059870051312</v>
      </c>
      <c r="R102" s="8">
        <f t="shared" si="31"/>
        <v>0.54757658715788393</v>
      </c>
      <c r="S102">
        <v>0</v>
      </c>
      <c r="T102" s="8">
        <f t="shared" si="36"/>
        <v>-2.8369392462806706E-2</v>
      </c>
      <c r="U102" s="8">
        <f t="shared" si="25"/>
        <v>0.5449438202247191</v>
      </c>
      <c r="V102" s="10">
        <v>1.1053674780851757</v>
      </c>
      <c r="X102">
        <v>0.95</v>
      </c>
      <c r="Y102">
        <v>0.1</v>
      </c>
    </row>
    <row r="103" spans="1:25" x14ac:dyDescent="0.2">
      <c r="A103">
        <f t="shared" si="21"/>
        <v>50</v>
      </c>
      <c r="B103" s="2">
        <f t="shared" si="24"/>
        <v>44907</v>
      </c>
      <c r="C103" s="1">
        <f>verzamel!E103</f>
        <v>3996</v>
      </c>
      <c r="D103" s="1">
        <v>3219.1438818042429</v>
      </c>
      <c r="E103" s="1">
        <f t="shared" si="22"/>
        <v>776.85611819575706</v>
      </c>
      <c r="F103">
        <f>Corona!E103</f>
        <v>117</v>
      </c>
      <c r="G103">
        <f>verzamel!F103</f>
        <v>3576</v>
      </c>
      <c r="H103" s="1">
        <f>('311 cov wlz'!D103+'312 cov nwlz'!D103)*1.07</f>
        <v>105.93</v>
      </c>
      <c r="I103" s="6">
        <f t="shared" si="23"/>
        <v>0.89489489489489493</v>
      </c>
      <c r="J103" s="8">
        <f t="shared" si="33"/>
        <v>0.59170304975922938</v>
      </c>
      <c r="K103" s="8">
        <f t="shared" si="34"/>
        <v>0.6650081064776413</v>
      </c>
      <c r="L103" s="8">
        <f t="shared" si="27"/>
        <v>-7.3305056718411921E-2</v>
      </c>
      <c r="M103" s="10">
        <f t="shared" si="28"/>
        <v>-11.676857142857184</v>
      </c>
      <c r="N103" s="6">
        <f t="shared" si="26"/>
        <v>-0.1238882523053423</v>
      </c>
      <c r="O103" s="6">
        <f t="shared" si="35"/>
        <v>-6.2200664644524563E-3</v>
      </c>
      <c r="P103" s="10" cm="1">
        <f t="array" ref="P103">AVERAGE(E102:E104/178)</f>
        <v>4.043479875952924</v>
      </c>
      <c r="Q103" s="8">
        <f t="shared" si="30"/>
        <v>0.79644082937254168</v>
      </c>
      <c r="R103" s="8">
        <f t="shared" si="31"/>
        <v>0.65573931906368188</v>
      </c>
      <c r="S103">
        <v>0</v>
      </c>
      <c r="T103" s="8">
        <f t="shared" si="36"/>
        <v>0.12591599793382924</v>
      </c>
      <c r="U103" s="8">
        <f t="shared" si="25"/>
        <v>0.67041198501872656</v>
      </c>
      <c r="V103" s="10">
        <v>1.138291354195438</v>
      </c>
      <c r="X103">
        <v>0.95</v>
      </c>
      <c r="Y103">
        <v>0.1</v>
      </c>
    </row>
    <row r="104" spans="1:25" x14ac:dyDescent="0.2">
      <c r="A104">
        <f t="shared" si="21"/>
        <v>51</v>
      </c>
      <c r="B104" s="2">
        <f t="shared" si="24"/>
        <v>44914</v>
      </c>
      <c r="C104" s="1">
        <f>verzamel!E104</f>
        <v>4202</v>
      </c>
      <c r="D104" s="1">
        <v>3237.4259821117435</v>
      </c>
      <c r="E104" s="1">
        <f t="shared" si="22"/>
        <v>964.57401788825655</v>
      </c>
      <c r="F104">
        <f>Corona!E104</f>
        <v>150</v>
      </c>
      <c r="G104">
        <f>verzamel!F104</f>
        <v>3771</v>
      </c>
      <c r="H104" s="1">
        <f>('311 cov wlz'!D104+'312 cov nwlz'!D104)*1.07</f>
        <v>129.47</v>
      </c>
      <c r="I104" s="6">
        <f t="shared" si="23"/>
        <v>0.89742979533555445</v>
      </c>
      <c r="J104" s="8">
        <f t="shared" si="33"/>
        <v>1.1244696159962455</v>
      </c>
      <c r="K104" s="8">
        <f t="shared" si="34"/>
        <v>0.81049186726615607</v>
      </c>
      <c r="L104" s="8">
        <f t="shared" si="27"/>
        <v>0.31397774873008943</v>
      </c>
      <c r="M104" s="10">
        <f t="shared" si="28"/>
        <v>50.15559164733169</v>
      </c>
      <c r="N104" s="6">
        <f t="shared" si="26"/>
        <v>0.2792229725584135</v>
      </c>
      <c r="O104" s="6">
        <f t="shared" si="35"/>
        <v>0.17160393203598295</v>
      </c>
      <c r="P104" s="10" cm="1">
        <f t="array" ref="P104">AVERAGE(E103:E105/178)</f>
        <v>4.9113039628262971</v>
      </c>
      <c r="Q104" s="8">
        <f t="shared" si="30"/>
        <v>0.96136399773828496</v>
      </c>
      <c r="R104" s="8">
        <f t="shared" si="31"/>
        <v>0.7793149834036216</v>
      </c>
      <c r="S104">
        <v>0</v>
      </c>
      <c r="T104" s="8">
        <f t="shared" si="36"/>
        <v>0.1633255076254245</v>
      </c>
      <c r="U104" s="8">
        <f t="shared" si="25"/>
        <v>0.797752808988764</v>
      </c>
      <c r="V104" s="10">
        <v>1.176562701094259</v>
      </c>
      <c r="X104">
        <v>0.95</v>
      </c>
      <c r="Y104">
        <v>0.1</v>
      </c>
    </row>
    <row r="105" spans="1:25" x14ac:dyDescent="0.2">
      <c r="A105">
        <f t="shared" si="21"/>
        <v>52</v>
      </c>
      <c r="B105" s="2">
        <f t="shared" si="24"/>
        <v>44921</v>
      </c>
      <c r="C105" s="1">
        <f>verzamel!E105</f>
        <v>4134</v>
      </c>
      <c r="D105" s="1">
        <v>3252.7938199347709</v>
      </c>
      <c r="E105" s="1">
        <f t="shared" si="22"/>
        <v>881.20618006522909</v>
      </c>
      <c r="F105">
        <f>Corona!E105</f>
        <v>159</v>
      </c>
      <c r="G105">
        <f>verzamel!F105</f>
        <v>3717</v>
      </c>
      <c r="H105" s="1">
        <f>('311 cov wlz'!D105+'312 cov nwlz'!D105)*1.07</f>
        <v>138.03</v>
      </c>
      <c r="I105" s="6">
        <f t="shared" si="23"/>
        <v>0.89912917271407833</v>
      </c>
      <c r="J105" s="8">
        <f t="shared" si="33"/>
        <v>1.1679193274593802</v>
      </c>
      <c r="K105" s="8">
        <f t="shared" si="34"/>
        <v>0.86244497646706753</v>
      </c>
      <c r="L105" s="8">
        <f t="shared" si="27"/>
        <v>0.30547435099231268</v>
      </c>
      <c r="M105" s="10">
        <f t="shared" si="28"/>
        <v>48.889640287769687</v>
      </c>
      <c r="N105" s="6">
        <f t="shared" si="26"/>
        <v>0.26155432469537326</v>
      </c>
      <c r="O105" s="6">
        <f t="shared" si="35"/>
        <v>0.13896301498281483</v>
      </c>
      <c r="P105" s="10" cm="1">
        <f t="array" ref="P105">AVERAGE(E104:E106/178)</f>
        <v>3.456517224631996</v>
      </c>
      <c r="Q105" s="8">
        <f t="shared" si="30"/>
        <v>1.1461944717278127</v>
      </c>
      <c r="R105" s="8">
        <f t="shared" si="31"/>
        <v>0.83646842186661186</v>
      </c>
      <c r="S105">
        <v>0</v>
      </c>
      <c r="T105" s="8">
        <f t="shared" si="36"/>
        <v>0.27822055625836423</v>
      </c>
      <c r="U105" s="8">
        <f t="shared" si="25"/>
        <v>0.8679775280898876</v>
      </c>
      <c r="V105" s="10">
        <v>1.2388183600441995</v>
      </c>
      <c r="X105">
        <v>0.95</v>
      </c>
      <c r="Y105">
        <v>0.1</v>
      </c>
    </row>
    <row r="106" spans="1:25" x14ac:dyDescent="0.2">
      <c r="B106" s="2"/>
    </row>
    <row r="107" spans="1:25" x14ac:dyDescent="0.2">
      <c r="M107" s="10"/>
      <c r="P107" s="10"/>
      <c r="Q107" s="10"/>
      <c r="R107" s="10"/>
      <c r="S107" s="10"/>
      <c r="T107" s="10"/>
      <c r="U107" s="10"/>
    </row>
    <row r="108" spans="1:25" x14ac:dyDescent="0.2">
      <c r="E108" s="1"/>
      <c r="M108" s="11"/>
    </row>
    <row r="109" spans="1:25" x14ac:dyDescent="0.2">
      <c r="M109" s="11"/>
    </row>
    <row r="110" spans="1:25" x14ac:dyDescent="0.2">
      <c r="V110" s="10"/>
    </row>
    <row r="111" spans="1:25" x14ac:dyDescent="0.2">
      <c r="J111" s="8"/>
      <c r="K111" s="8"/>
      <c r="V111" s="10"/>
    </row>
    <row r="112" spans="1:25" x14ac:dyDescent="0.2">
      <c r="F112" s="1"/>
      <c r="G112" s="1"/>
      <c r="H112" s="1"/>
      <c r="V112" s="10"/>
    </row>
    <row r="113" spans="4:22" x14ac:dyDescent="0.2">
      <c r="M113" s="12"/>
      <c r="V113" s="10"/>
    </row>
    <row r="114" spans="4:22" x14ac:dyDescent="0.2">
      <c r="V114" s="10"/>
    </row>
    <row r="115" spans="4:22" x14ac:dyDescent="0.2">
      <c r="E115" s="1"/>
      <c r="V115" s="10"/>
    </row>
    <row r="116" spans="4:22" x14ac:dyDescent="0.2">
      <c r="V116" s="10"/>
    </row>
    <row r="117" spans="4:22" x14ac:dyDescent="0.2">
      <c r="V117" s="10"/>
    </row>
    <row r="118" spans="4:22" x14ac:dyDescent="0.2">
      <c r="V118" s="10"/>
    </row>
    <row r="119" spans="4:22" x14ac:dyDescent="0.2">
      <c r="E119" s="1"/>
      <c r="V119" s="10"/>
    </row>
    <row r="120" spans="4:22" x14ac:dyDescent="0.2">
      <c r="V120" s="10"/>
    </row>
    <row r="121" spans="4:22" x14ac:dyDescent="0.2">
      <c r="D121" s="1"/>
      <c r="V121" s="10"/>
    </row>
    <row r="122" spans="4:22" x14ac:dyDescent="0.2">
      <c r="D122" s="1"/>
      <c r="V122" s="10"/>
    </row>
    <row r="123" spans="4:22" x14ac:dyDescent="0.2">
      <c r="D123" s="1"/>
      <c r="V123" s="10"/>
    </row>
    <row r="124" spans="4:22" x14ac:dyDescent="0.2">
      <c r="D124" s="1"/>
      <c r="V124" s="10"/>
    </row>
    <row r="125" spans="4:22" x14ac:dyDescent="0.2">
      <c r="D125" s="1"/>
      <c r="V125" s="10"/>
    </row>
    <row r="126" spans="4:22" x14ac:dyDescent="0.2">
      <c r="D126" s="1"/>
      <c r="V126" s="10"/>
    </row>
    <row r="127" spans="4:22" x14ac:dyDescent="0.2">
      <c r="D127" s="1"/>
      <c r="V127" s="10"/>
    </row>
    <row r="128" spans="4:22" x14ac:dyDescent="0.2">
      <c r="D128" s="1"/>
      <c r="V128" s="10"/>
    </row>
    <row r="129" spans="4:22" x14ac:dyDescent="0.2">
      <c r="D129" s="1"/>
      <c r="V129" s="10"/>
    </row>
    <row r="130" spans="4:22" x14ac:dyDescent="0.2">
      <c r="D130" s="1"/>
      <c r="V130" s="10"/>
    </row>
    <row r="131" spans="4:22" x14ac:dyDescent="0.2">
      <c r="D131" s="1"/>
      <c r="V131" s="10"/>
    </row>
    <row r="132" spans="4:22" x14ac:dyDescent="0.2">
      <c r="D132" s="1"/>
      <c r="V132" s="10"/>
    </row>
    <row r="133" spans="4:22" x14ac:dyDescent="0.2">
      <c r="D133" s="1"/>
      <c r="V133" s="10"/>
    </row>
    <row r="134" spans="4:22" x14ac:dyDescent="0.2">
      <c r="D134" s="1"/>
      <c r="V134" s="10"/>
    </row>
    <row r="135" spans="4:22" x14ac:dyDescent="0.2">
      <c r="D135" s="1"/>
      <c r="V135" s="10"/>
    </row>
    <row r="136" spans="4:22" x14ac:dyDescent="0.2">
      <c r="D136" s="1"/>
      <c r="V136" s="10"/>
    </row>
    <row r="137" spans="4:22" x14ac:dyDescent="0.2">
      <c r="D137" s="1"/>
      <c r="V137" s="10"/>
    </row>
    <row r="138" spans="4:22" x14ac:dyDescent="0.2">
      <c r="D138" s="1"/>
      <c r="V138" s="10"/>
    </row>
    <row r="139" spans="4:22" x14ac:dyDescent="0.2">
      <c r="D139" s="1"/>
      <c r="V139" s="10"/>
    </row>
    <row r="140" spans="4:22" x14ac:dyDescent="0.2">
      <c r="D140" s="1"/>
      <c r="V140" s="10"/>
    </row>
    <row r="141" spans="4:22" x14ac:dyDescent="0.2">
      <c r="D141" s="1"/>
      <c r="V141" s="10"/>
    </row>
    <row r="142" spans="4:22" x14ac:dyDescent="0.2">
      <c r="D142" s="1"/>
      <c r="V142" s="10"/>
    </row>
    <row r="143" spans="4:22" x14ac:dyDescent="0.2">
      <c r="D143" s="1"/>
      <c r="V143" s="10"/>
    </row>
    <row r="144" spans="4:22" x14ac:dyDescent="0.2">
      <c r="D144" s="1"/>
      <c r="V144" s="10"/>
    </row>
    <row r="145" spans="4:22" x14ac:dyDescent="0.2">
      <c r="D145" s="1"/>
      <c r="V145" s="10"/>
    </row>
    <row r="146" spans="4:22" x14ac:dyDescent="0.2">
      <c r="D146" s="1"/>
      <c r="V146" s="10"/>
    </row>
    <row r="147" spans="4:22" x14ac:dyDescent="0.2">
      <c r="D147" s="1"/>
      <c r="V147" s="10"/>
    </row>
    <row r="148" spans="4:22" x14ac:dyDescent="0.2">
      <c r="D148" s="1"/>
      <c r="V148" s="10"/>
    </row>
    <row r="149" spans="4:22" x14ac:dyDescent="0.2">
      <c r="D149" s="1"/>
      <c r="V149" s="10"/>
    </row>
    <row r="150" spans="4:22" x14ac:dyDescent="0.2">
      <c r="D150" s="1"/>
      <c r="V150" s="10"/>
    </row>
    <row r="151" spans="4:22" x14ac:dyDescent="0.2">
      <c r="D151" s="1"/>
      <c r="V151" s="10"/>
    </row>
    <row r="152" spans="4:22" x14ac:dyDescent="0.2">
      <c r="D152" s="1"/>
      <c r="V152" s="10"/>
    </row>
    <row r="153" spans="4:22" x14ac:dyDescent="0.2">
      <c r="D153" s="1"/>
      <c r="V153" s="10"/>
    </row>
    <row r="154" spans="4:22" x14ac:dyDescent="0.2">
      <c r="D154" s="1"/>
      <c r="V154" s="10"/>
    </row>
    <row r="155" spans="4:22" x14ac:dyDescent="0.2">
      <c r="D155" s="1"/>
      <c r="V155" s="10"/>
    </row>
    <row r="156" spans="4:22" x14ac:dyDescent="0.2">
      <c r="D156" s="1"/>
      <c r="V156" s="10"/>
    </row>
    <row r="157" spans="4:22" x14ac:dyDescent="0.2">
      <c r="D157" s="1"/>
      <c r="V157" s="10"/>
    </row>
    <row r="158" spans="4:22" x14ac:dyDescent="0.2">
      <c r="D158" s="1"/>
      <c r="V158" s="10"/>
    </row>
    <row r="159" spans="4:22" x14ac:dyDescent="0.2">
      <c r="D159" s="1"/>
      <c r="V159" s="10"/>
    </row>
    <row r="160" spans="4:22" x14ac:dyDescent="0.2">
      <c r="D160" s="1"/>
      <c r="V160" s="10"/>
    </row>
    <row r="161" spans="4:22" x14ac:dyDescent="0.2">
      <c r="D161" s="1"/>
      <c r="V161" s="10"/>
    </row>
    <row r="162" spans="4:22" x14ac:dyDescent="0.2">
      <c r="D162" s="1"/>
      <c r="V162" s="10"/>
    </row>
    <row r="163" spans="4:22" x14ac:dyDescent="0.2">
      <c r="D163" s="1"/>
      <c r="V163" s="10"/>
    </row>
    <row r="164" spans="4:22" x14ac:dyDescent="0.2">
      <c r="D164" s="1"/>
      <c r="V164" s="10"/>
    </row>
    <row r="165" spans="4:22" x14ac:dyDescent="0.2">
      <c r="D165" s="1"/>
      <c r="V165" s="10"/>
    </row>
    <row r="166" spans="4:22" x14ac:dyDescent="0.2">
      <c r="D166" s="1"/>
      <c r="V166" s="10"/>
    </row>
    <row r="167" spans="4:22" x14ac:dyDescent="0.2">
      <c r="D167" s="1"/>
      <c r="V167" s="10"/>
    </row>
    <row r="168" spans="4:22" x14ac:dyDescent="0.2">
      <c r="D168" s="1"/>
      <c r="V168" s="10"/>
    </row>
    <row r="169" spans="4:22" x14ac:dyDescent="0.2">
      <c r="D169" s="1"/>
      <c r="V169" s="10"/>
    </row>
    <row r="170" spans="4:22" x14ac:dyDescent="0.2">
      <c r="D170" s="1"/>
      <c r="V170" s="10"/>
    </row>
    <row r="171" spans="4:22" x14ac:dyDescent="0.2">
      <c r="D171" s="1"/>
      <c r="V171" s="10"/>
    </row>
    <row r="172" spans="4:22" x14ac:dyDescent="0.2">
      <c r="D172" s="1"/>
      <c r="V172" s="10"/>
    </row>
    <row r="173" spans="4:22" x14ac:dyDescent="0.2">
      <c r="D173" s="1"/>
      <c r="V173" s="10"/>
    </row>
    <row r="174" spans="4:22" x14ac:dyDescent="0.2">
      <c r="D174" s="1"/>
      <c r="V174" s="10"/>
    </row>
    <row r="175" spans="4:22" x14ac:dyDescent="0.2">
      <c r="D175" s="1"/>
      <c r="V175" s="10"/>
    </row>
    <row r="176" spans="4:22" x14ac:dyDescent="0.2">
      <c r="D176" s="1"/>
      <c r="V176" s="10"/>
    </row>
    <row r="177" spans="4:22" x14ac:dyDescent="0.2">
      <c r="D177" s="1"/>
      <c r="V177" s="10"/>
    </row>
    <row r="178" spans="4:22" x14ac:dyDescent="0.2">
      <c r="D178" s="1"/>
      <c r="V178" s="10"/>
    </row>
    <row r="179" spans="4:22" x14ac:dyDescent="0.2">
      <c r="D179" s="1"/>
      <c r="V179" s="10"/>
    </row>
    <row r="180" spans="4:22" x14ac:dyDescent="0.2">
      <c r="D180" s="1"/>
      <c r="V180" s="10"/>
    </row>
    <row r="181" spans="4:22" x14ac:dyDescent="0.2">
      <c r="D181" s="1"/>
      <c r="V181" s="10"/>
    </row>
    <row r="182" spans="4:22" x14ac:dyDescent="0.2">
      <c r="D182" s="1"/>
      <c r="V182" s="10"/>
    </row>
    <row r="183" spans="4:22" x14ac:dyDescent="0.2">
      <c r="D183" s="1"/>
      <c r="V183" s="10"/>
    </row>
    <row r="184" spans="4:22" x14ac:dyDescent="0.2">
      <c r="D184" s="1"/>
      <c r="V184" s="10"/>
    </row>
    <row r="185" spans="4:22" x14ac:dyDescent="0.2">
      <c r="D185" s="1"/>
      <c r="V185" s="10"/>
    </row>
    <row r="186" spans="4:22" x14ac:dyDescent="0.2">
      <c r="D186" s="1"/>
      <c r="V186" s="10"/>
    </row>
    <row r="187" spans="4:22" x14ac:dyDescent="0.2">
      <c r="D187" s="1"/>
      <c r="V187" s="10"/>
    </row>
    <row r="188" spans="4:22" x14ac:dyDescent="0.2">
      <c r="D188" s="1"/>
      <c r="V188" s="10"/>
    </row>
    <row r="189" spans="4:22" x14ac:dyDescent="0.2">
      <c r="D189" s="1"/>
      <c r="V189" s="10"/>
    </row>
    <row r="190" spans="4:22" x14ac:dyDescent="0.2">
      <c r="D190" s="1"/>
      <c r="V190" s="10"/>
    </row>
    <row r="191" spans="4:22" x14ac:dyDescent="0.2">
      <c r="D191" s="1"/>
      <c r="V191" s="10"/>
    </row>
    <row r="192" spans="4:22" x14ac:dyDescent="0.2">
      <c r="D192" s="1"/>
      <c r="V192" s="10"/>
    </row>
    <row r="193" spans="4:22" x14ac:dyDescent="0.2">
      <c r="D193" s="1"/>
      <c r="V193" s="10"/>
    </row>
    <row r="194" spans="4:22" x14ac:dyDescent="0.2">
      <c r="D194" s="1"/>
      <c r="V194" s="10"/>
    </row>
    <row r="195" spans="4:22" x14ac:dyDescent="0.2">
      <c r="D195" s="1"/>
      <c r="V195" s="10"/>
    </row>
    <row r="196" spans="4:22" x14ac:dyDescent="0.2">
      <c r="D196" s="1"/>
      <c r="V196" s="10"/>
    </row>
    <row r="197" spans="4:22" x14ac:dyDescent="0.2">
      <c r="D197" s="1"/>
      <c r="V197" s="10"/>
    </row>
    <row r="198" spans="4:22" x14ac:dyDescent="0.2">
      <c r="D198" s="1"/>
      <c r="V198" s="10"/>
    </row>
    <row r="199" spans="4:22" x14ac:dyDescent="0.2">
      <c r="D199" s="1"/>
      <c r="V199" s="10"/>
    </row>
    <row r="200" spans="4:22" x14ac:dyDescent="0.2">
      <c r="D200" s="1"/>
      <c r="V200" s="10"/>
    </row>
    <row r="201" spans="4:22" x14ac:dyDescent="0.2">
      <c r="D201" s="1"/>
      <c r="V201" s="10"/>
    </row>
    <row r="202" spans="4:22" x14ac:dyDescent="0.2">
      <c r="D202" s="1"/>
      <c r="V202" s="10"/>
    </row>
    <row r="203" spans="4:22" x14ac:dyDescent="0.2">
      <c r="D203" s="1"/>
      <c r="V203" s="10"/>
    </row>
    <row r="204" spans="4:22" x14ac:dyDescent="0.2">
      <c r="D204" s="1"/>
      <c r="V204" s="10"/>
    </row>
    <row r="205" spans="4:22" x14ac:dyDescent="0.2">
      <c r="D205" s="1"/>
      <c r="V205" s="10"/>
    </row>
    <row r="206" spans="4:22" x14ac:dyDescent="0.2">
      <c r="D206" s="1"/>
      <c r="V206" s="10"/>
    </row>
    <row r="207" spans="4:22" x14ac:dyDescent="0.2">
      <c r="D207" s="1"/>
      <c r="V207" s="10"/>
    </row>
    <row r="208" spans="4:22" x14ac:dyDescent="0.2">
      <c r="D208" s="1"/>
      <c r="V208" s="10"/>
    </row>
    <row r="209" spans="4:22" x14ac:dyDescent="0.2">
      <c r="D209" s="1"/>
      <c r="V209" s="10"/>
    </row>
    <row r="210" spans="4:22" x14ac:dyDescent="0.2">
      <c r="D210" s="1"/>
      <c r="V210" s="10"/>
    </row>
    <row r="211" spans="4:22" x14ac:dyDescent="0.2">
      <c r="D211" s="1"/>
      <c r="V211" s="10"/>
    </row>
    <row r="212" spans="4:22" x14ac:dyDescent="0.2">
      <c r="D212" s="1"/>
      <c r="V212" s="10"/>
    </row>
    <row r="213" spans="4:22" x14ac:dyDescent="0.2">
      <c r="D213" s="1"/>
      <c r="V213" s="10"/>
    </row>
    <row r="214" spans="4:22" x14ac:dyDescent="0.2">
      <c r="D214" s="1"/>
    </row>
    <row r="215" spans="4:22" x14ac:dyDescent="0.2">
      <c r="D215" s="1"/>
    </row>
    <row r="216" spans="4:22" x14ac:dyDescent="0.2">
      <c r="D216" s="1"/>
    </row>
    <row r="217" spans="4:22" x14ac:dyDescent="0.2">
      <c r="D217" s="1"/>
    </row>
    <row r="218" spans="4:22" x14ac:dyDescent="0.2">
      <c r="D218" s="1"/>
    </row>
    <row r="219" spans="4:22" x14ac:dyDescent="0.2">
      <c r="D219" s="1"/>
    </row>
    <row r="220" spans="4:22" x14ac:dyDescent="0.2">
      <c r="D220" s="1"/>
    </row>
    <row r="221" spans="4:22" x14ac:dyDescent="0.2">
      <c r="D221" s="1"/>
    </row>
    <row r="222" spans="4:22" x14ac:dyDescent="0.2">
      <c r="D222" s="1"/>
    </row>
    <row r="223" spans="4:22" x14ac:dyDescent="0.2">
      <c r="D223" s="1"/>
    </row>
    <row r="224" spans="4:22" x14ac:dyDescent="0.2">
      <c r="D22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D0D3-2542-BF4E-A4D5-9229E6B6C07F}">
  <dimension ref="A1:AF105"/>
  <sheetViews>
    <sheetView zoomScale="90" zoomScaleNormal="90" workbookViewId="0">
      <pane xSplit="2" ySplit="1" topLeftCell="Q65" activePane="bottomRight" state="frozen"/>
      <selection pane="topRight" activeCell="C1" sqref="C1"/>
      <selection pane="bottomLeft" activeCell="A2" sqref="A2"/>
      <selection pane="bottomRight" activeCell="AD91" sqref="AD91"/>
    </sheetView>
  </sheetViews>
  <sheetFormatPr baseColWidth="10" defaultRowHeight="16" x14ac:dyDescent="0.2"/>
  <cols>
    <col min="2" max="2" width="11.33203125" bestFit="1" customWidth="1"/>
    <col min="3" max="4" width="11.33203125" style="1" customWidth="1"/>
    <col min="30" max="30" width="16.5" bestFit="1" customWidth="1"/>
  </cols>
  <sheetData>
    <row r="1" spans="1:30" x14ac:dyDescent="0.2">
      <c r="A1" t="s">
        <v>59</v>
      </c>
      <c r="B1" t="s">
        <v>63</v>
      </c>
      <c r="C1" s="1" t="s">
        <v>93</v>
      </c>
      <c r="D1" s="1" t="s">
        <v>101</v>
      </c>
      <c r="E1" t="s">
        <v>87</v>
      </c>
      <c r="G1" t="s">
        <v>113</v>
      </c>
      <c r="H1" t="s">
        <v>115</v>
      </c>
      <c r="I1">
        <f>S1</f>
        <v>0.89</v>
      </c>
      <c r="J1" t="s">
        <v>112</v>
      </c>
      <c r="K1" t="s">
        <v>114</v>
      </c>
      <c r="L1" t="s">
        <v>116</v>
      </c>
      <c r="M1" t="s">
        <v>117</v>
      </c>
      <c r="N1" t="s">
        <v>105</v>
      </c>
      <c r="O1" t="s">
        <v>118</v>
      </c>
      <c r="P1" s="6">
        <v>0.02</v>
      </c>
      <c r="R1" t="s">
        <v>138</v>
      </c>
      <c r="S1">
        <v>0.89</v>
      </c>
      <c r="AD1" t="s">
        <v>109</v>
      </c>
    </row>
    <row r="2" spans="1:30" x14ac:dyDescent="0.2">
      <c r="A2">
        <v>1</v>
      </c>
      <c r="B2" s="2">
        <v>44200</v>
      </c>
      <c r="C2" s="13">
        <f>VE!C2</f>
        <v>4144</v>
      </c>
      <c r="D2" s="13">
        <f>VE!D2</f>
        <v>3203.6250573735506</v>
      </c>
      <c r="E2" s="6">
        <f>verzamel!I2</f>
        <v>0</v>
      </c>
      <c r="H2" s="1">
        <v>33759</v>
      </c>
      <c r="N2">
        <v>0</v>
      </c>
    </row>
    <row r="3" spans="1:30" x14ac:dyDescent="0.2">
      <c r="A3">
        <f>A2+1</f>
        <v>2</v>
      </c>
      <c r="B3" s="2">
        <f>B2+7</f>
        <v>44207</v>
      </c>
      <c r="C3" s="13">
        <f>VE!C3</f>
        <v>3852</v>
      </c>
      <c r="D3" s="13">
        <f>VE!D3</f>
        <v>3212.3772185836724</v>
      </c>
      <c r="E3" s="6">
        <f>verzamel!I3</f>
        <v>0</v>
      </c>
      <c r="H3" s="1">
        <v>43203</v>
      </c>
      <c r="N3">
        <v>0</v>
      </c>
    </row>
    <row r="4" spans="1:30" x14ac:dyDescent="0.2">
      <c r="A4">
        <f t="shared" ref="A4:A53" si="0">A3+1</f>
        <v>3</v>
      </c>
      <c r="B4" s="2">
        <f t="shared" ref="B4:B67" si="1">B3+7</f>
        <v>44214</v>
      </c>
      <c r="C4" s="13">
        <f>VE!C4</f>
        <v>3862</v>
      </c>
      <c r="D4" s="13">
        <f>VE!D4</f>
        <v>3217.7538330399079</v>
      </c>
      <c r="E4" s="6">
        <f>verzamel!I4</f>
        <v>2.0182992465016146E-3</v>
      </c>
      <c r="H4" s="1">
        <v>87587</v>
      </c>
      <c r="N4">
        <v>0</v>
      </c>
    </row>
    <row r="5" spans="1:30" x14ac:dyDescent="0.2">
      <c r="A5">
        <f t="shared" si="0"/>
        <v>4</v>
      </c>
      <c r="B5" s="2">
        <f t="shared" si="1"/>
        <v>44221</v>
      </c>
      <c r="C5" s="13">
        <f>VE!C5</f>
        <v>3716</v>
      </c>
      <c r="D5" s="13">
        <f>VE!D5</f>
        <v>3219.6786143143349</v>
      </c>
      <c r="E5" s="6">
        <f>verzamel!I5</f>
        <v>2.244108672507767E-2</v>
      </c>
      <c r="F5" s="6">
        <f t="shared" ref="F5:F68" si="2">0.5*E5+0.25*(E4+E6)</f>
        <v>3.1449542735629679E-2</v>
      </c>
      <c r="G5" s="1">
        <f t="shared" ref="G5:G50" si="3">D5*I$1</f>
        <v>2865.513966739758</v>
      </c>
      <c r="H5" s="1">
        <v>155343</v>
      </c>
      <c r="I5" s="6">
        <f t="shared" ref="I5:I54" si="4">((C5*E5)-G5)/G5</f>
        <v>-0.97089838708227727</v>
      </c>
      <c r="J5" s="1">
        <f t="shared" ref="J5:J54" si="5">C5*E5</f>
        <v>83.391078270388618</v>
      </c>
      <c r="K5" s="6">
        <f t="shared" ref="K5:K54" si="6">((C5*(1-E5))-D5*(1-I$1))/(D5-G5)</f>
        <v>9.256836605818167</v>
      </c>
      <c r="L5" s="6">
        <f>Corona!D5/(D5*(I$1-P$1))/4</f>
        <v>7.1400001369459928E-4</v>
      </c>
      <c r="M5" s="6">
        <f>(Corona!E5-Corona!D5)/((1-I$1+P$1)*D5)/4</f>
        <v>0.48619281701753986</v>
      </c>
      <c r="N5">
        <v>0</v>
      </c>
    </row>
    <row r="6" spans="1:30" x14ac:dyDescent="0.2">
      <c r="A6">
        <f t="shared" si="0"/>
        <v>5</v>
      </c>
      <c r="B6" s="2">
        <f t="shared" si="1"/>
        <v>44228</v>
      </c>
      <c r="C6" s="13">
        <f>VE!C6</f>
        <v>3654</v>
      </c>
      <c r="D6" s="13">
        <f>VE!D6</f>
        <v>3218.1256056419807</v>
      </c>
      <c r="E6" s="6">
        <f>verzamel!I6</f>
        <v>7.8897698245861764E-2</v>
      </c>
      <c r="F6" s="6">
        <f t="shared" si="2"/>
        <v>8.3407188823702086E-2</v>
      </c>
      <c r="G6" s="1">
        <f t="shared" si="3"/>
        <v>2864.1317890213627</v>
      </c>
      <c r="H6" s="1">
        <v>192897</v>
      </c>
      <c r="I6" s="6">
        <f t="shared" si="4"/>
        <v>-0.89934395110747167</v>
      </c>
      <c r="J6" s="1">
        <f t="shared" si="5"/>
        <v>288.29218939037889</v>
      </c>
      <c r="K6" s="6">
        <f t="shared" si="6"/>
        <v>8.5078152571707637</v>
      </c>
      <c r="L6" s="6">
        <f>Corona!D6/(D6*(I$1-P$1))/4</f>
        <v>2.9466713804037329E-3</v>
      </c>
      <c r="M6" s="6">
        <f>(Corona!E6-Corona!D6)/((1-I$1+P$1)*D6)/4</f>
        <v>0.41949885288293154</v>
      </c>
      <c r="N6">
        <v>0</v>
      </c>
      <c r="AD6" s="6">
        <f t="shared" ref="AD6:AD34" si="7">(1+$I6)/(1+$K6)-1</f>
        <v>-0.98941333564336831</v>
      </c>
    </row>
    <row r="7" spans="1:30" x14ac:dyDescent="0.2">
      <c r="A7">
        <f t="shared" si="0"/>
        <v>6</v>
      </c>
      <c r="B7" s="2">
        <f t="shared" si="1"/>
        <v>44235</v>
      </c>
      <c r="C7" s="13">
        <f>VE!C7</f>
        <v>3550</v>
      </c>
      <c r="D7" s="13">
        <f>VE!D7</f>
        <v>3213.1195642665989</v>
      </c>
      <c r="E7" s="6">
        <f>verzamel!I7</f>
        <v>0.15339227207800715</v>
      </c>
      <c r="F7" s="6">
        <f t="shared" si="2"/>
        <v>0.14818577032735902</v>
      </c>
      <c r="G7" s="1">
        <f t="shared" si="3"/>
        <v>2859.6764121972728</v>
      </c>
      <c r="H7" s="1">
        <v>198545</v>
      </c>
      <c r="I7" s="6">
        <f t="shared" si="4"/>
        <v>-0.80957895671191749</v>
      </c>
      <c r="J7" s="1">
        <f t="shared" si="5"/>
        <v>544.54256587692544</v>
      </c>
      <c r="K7" s="6">
        <f t="shared" si="6"/>
        <v>7.5033686931740853</v>
      </c>
      <c r="L7" s="6">
        <f>Corona!D7/(D7*(I$1-P$1))/4</f>
        <v>1.1357888227820464E-2</v>
      </c>
      <c r="M7" s="6">
        <f>(Corona!E7-Corona!D7)/((1-I$1+P$1)*D7)/4</f>
        <v>0.33755836436262543</v>
      </c>
      <c r="N7">
        <v>0</v>
      </c>
      <c r="AD7" s="6">
        <f t="shared" si="7"/>
        <v>-0.97760639928021242</v>
      </c>
    </row>
    <row r="8" spans="1:30" x14ac:dyDescent="0.2">
      <c r="A8">
        <f t="shared" si="0"/>
        <v>7</v>
      </c>
      <c r="B8" s="2">
        <f t="shared" si="1"/>
        <v>44242</v>
      </c>
      <c r="C8" s="13">
        <f>VE!C8</f>
        <v>3528</v>
      </c>
      <c r="D8" s="13">
        <f>VE!D8</f>
        <v>3204.7356062619997</v>
      </c>
      <c r="E8" s="6">
        <f>verzamel!I8</f>
        <v>0.20706083890756</v>
      </c>
      <c r="F8" s="6">
        <f t="shared" si="2"/>
        <v>0.19987858819618098</v>
      </c>
      <c r="G8" s="1">
        <f t="shared" si="3"/>
        <v>2852.2146895731798</v>
      </c>
      <c r="H8" s="1">
        <v>216728</v>
      </c>
      <c r="I8" s="6">
        <f t="shared" si="4"/>
        <v>-0.743879504464936</v>
      </c>
      <c r="J8" s="1">
        <f t="shared" si="5"/>
        <v>730.51063966587162</v>
      </c>
      <c r="K8" s="6">
        <f t="shared" si="6"/>
        <v>6.9356691415946559</v>
      </c>
      <c r="L8" s="6">
        <f>Corona!D8/(D8*(I$1-P$1))/4</f>
        <v>1.5691577246989871E-2</v>
      </c>
      <c r="M8" s="6">
        <f>(Corona!E8-Corona!D8)/((1-I$1+P$1)*D8)/4</f>
        <v>0.28623506117487152</v>
      </c>
      <c r="N8">
        <v>0</v>
      </c>
      <c r="AD8" s="6">
        <f t="shared" si="7"/>
        <v>-0.96772540652021222</v>
      </c>
    </row>
    <row r="9" spans="1:30" x14ac:dyDescent="0.2">
      <c r="A9">
        <f t="shared" si="0"/>
        <v>8</v>
      </c>
      <c r="B9" s="2">
        <f t="shared" si="1"/>
        <v>44249</v>
      </c>
      <c r="C9" s="13">
        <f>VE!C9</f>
        <v>3207</v>
      </c>
      <c r="D9" s="13">
        <f>VE!D9</f>
        <v>3193.0981169231086</v>
      </c>
      <c r="E9" s="6">
        <f>verzamel!I9</f>
        <v>0.23200040289159685</v>
      </c>
      <c r="F9" s="6">
        <f t="shared" si="2"/>
        <v>0.23112782848299435</v>
      </c>
      <c r="G9" s="1">
        <f t="shared" si="3"/>
        <v>2841.8573240615665</v>
      </c>
      <c r="H9" s="1">
        <v>307720</v>
      </c>
      <c r="I9" s="6">
        <f t="shared" si="4"/>
        <v>-0.73819048346523097</v>
      </c>
      <c r="J9" s="1">
        <f t="shared" si="5"/>
        <v>744.02529207335112</v>
      </c>
      <c r="K9" s="6">
        <f t="shared" si="6"/>
        <v>6.0122114457745948</v>
      </c>
      <c r="L9" s="6">
        <f>Corona!D9/(D9*(I$1-P$1))/4</f>
        <v>1.1789076559035789E-2</v>
      </c>
      <c r="M9" s="6">
        <f>(Corona!E9-Corona!D9)/((1-I$1+P$1)*D9)/4</f>
        <v>0.22343865184732722</v>
      </c>
      <c r="N9">
        <v>0</v>
      </c>
      <c r="AD9" s="6">
        <f t="shared" si="7"/>
        <v>-0.96266377325336794</v>
      </c>
    </row>
    <row r="10" spans="1:30" x14ac:dyDescent="0.2">
      <c r="A10">
        <f t="shared" si="0"/>
        <v>9</v>
      </c>
      <c r="B10" s="2">
        <f t="shared" si="1"/>
        <v>44256</v>
      </c>
      <c r="C10" s="13">
        <f>VE!C10</f>
        <v>3105</v>
      </c>
      <c r="D10" s="13">
        <f>VE!D10</f>
        <v>3178.37894253184</v>
      </c>
      <c r="E10" s="6">
        <f>verzamel!I10</f>
        <v>0.2534496692412237</v>
      </c>
      <c r="F10" s="6">
        <f t="shared" si="2"/>
        <v>0.25393494057022326</v>
      </c>
      <c r="G10" s="1">
        <f t="shared" si="3"/>
        <v>2828.7572588533376</v>
      </c>
      <c r="H10" s="1">
        <v>252543</v>
      </c>
      <c r="I10" s="6">
        <f t="shared" si="4"/>
        <v>-0.72179966289755049</v>
      </c>
      <c r="J10" s="1">
        <f t="shared" si="5"/>
        <v>786.96122299399963</v>
      </c>
      <c r="K10" s="6">
        <f t="shared" si="6"/>
        <v>5.6301344716867519</v>
      </c>
      <c r="L10" s="6">
        <f>Corona!D10/(D10*(I$1-P$1))/4</f>
        <v>9.6738390836081361E-3</v>
      </c>
      <c r="M10" s="6">
        <f>(Corona!E10-Corona!D10)/((1-I$1+P$1)*D10)/4</f>
        <v>0.19119567511614299</v>
      </c>
      <c r="N10">
        <v>0</v>
      </c>
      <c r="AD10" s="6">
        <f t="shared" si="7"/>
        <v>-0.95804001588648424</v>
      </c>
    </row>
    <row r="11" spans="1:30" x14ac:dyDescent="0.2">
      <c r="A11">
        <f t="shared" si="0"/>
        <v>10</v>
      </c>
      <c r="B11" s="2">
        <f t="shared" si="1"/>
        <v>44263</v>
      </c>
      <c r="C11" s="13">
        <f>VE!C11</f>
        <v>3245</v>
      </c>
      <c r="D11" s="13">
        <f>VE!D11</f>
        <v>3160.7948897844562</v>
      </c>
      <c r="E11" s="6">
        <f>verzamel!I11</f>
        <v>0.27684002090684884</v>
      </c>
      <c r="F11" s="6">
        <f t="shared" si="2"/>
        <v>0.2750714328546382</v>
      </c>
      <c r="G11" s="1">
        <f t="shared" si="3"/>
        <v>2813.1074519081662</v>
      </c>
      <c r="H11" s="1">
        <v>243920</v>
      </c>
      <c r="I11" s="6">
        <f t="shared" si="4"/>
        <v>-0.68065710848216432</v>
      </c>
      <c r="J11" s="1">
        <f t="shared" si="5"/>
        <v>898.34586784272449</v>
      </c>
      <c r="K11" s="6">
        <f t="shared" si="6"/>
        <v>5.7493210180122585</v>
      </c>
      <c r="L11" s="6">
        <f>Corona!D11/(D11*(I$1-P$1))/4</f>
        <v>8.3639661955408322E-3</v>
      </c>
      <c r="M11" s="6">
        <f>(Corona!E11-Corona!D11)/((1-I$1+P$1)*D11)/4</f>
        <v>0.17826577114592926</v>
      </c>
      <c r="N11">
        <v>0</v>
      </c>
      <c r="AD11" s="6">
        <f t="shared" si="7"/>
        <v>-0.95268518260346646</v>
      </c>
    </row>
    <row r="12" spans="1:30" x14ac:dyDescent="0.2">
      <c r="A12">
        <f t="shared" si="0"/>
        <v>11</v>
      </c>
      <c r="B12" s="2">
        <f t="shared" si="1"/>
        <v>44270</v>
      </c>
      <c r="C12" s="13">
        <f>VE!C12</f>
        <v>3043</v>
      </c>
      <c r="D12" s="13">
        <f>VE!D12</f>
        <v>3140.6045692666489</v>
      </c>
      <c r="E12" s="6">
        <f>verzamel!I12</f>
        <v>0.29315602036363159</v>
      </c>
      <c r="F12" s="6">
        <f t="shared" si="2"/>
        <v>0.29284677555171973</v>
      </c>
      <c r="G12" s="1">
        <f t="shared" si="3"/>
        <v>2795.1380666473174</v>
      </c>
      <c r="H12" s="1">
        <v>198119</v>
      </c>
      <c r="I12" s="6">
        <f t="shared" si="4"/>
        <v>-0.68084804804059418</v>
      </c>
      <c r="J12" s="1">
        <f t="shared" si="5"/>
        <v>892.0737699665309</v>
      </c>
      <c r="K12" s="6">
        <f t="shared" si="6"/>
        <v>5.2261498979644001</v>
      </c>
      <c r="L12" s="6">
        <f>Corona!D12/(D12*(I$1-P$1))/4</f>
        <v>5.8558166722643204E-3</v>
      </c>
      <c r="M12" s="6">
        <f>(Corona!E12-Corona!D12)/((1-I$1+P$1)*D12)/4</f>
        <v>0.1763501713224217</v>
      </c>
      <c r="N12">
        <v>0</v>
      </c>
      <c r="AD12" s="6">
        <f t="shared" si="7"/>
        <v>-0.94874007899107116</v>
      </c>
    </row>
    <row r="13" spans="1:30" x14ac:dyDescent="0.2">
      <c r="A13">
        <f t="shared" si="0"/>
        <v>12</v>
      </c>
      <c r="B13" s="2">
        <f t="shared" si="1"/>
        <v>44277</v>
      </c>
      <c r="C13" s="13">
        <f>VE!C13</f>
        <v>3044</v>
      </c>
      <c r="D13" s="13">
        <f>VE!D13</f>
        <v>3118.1046289326018</v>
      </c>
      <c r="E13" s="6">
        <f>verzamel!I13</f>
        <v>0.30823504057276691</v>
      </c>
      <c r="F13" s="6">
        <f t="shared" si="2"/>
        <v>0.30906667971615598</v>
      </c>
      <c r="G13" s="1">
        <f t="shared" si="3"/>
        <v>2775.1131197500158</v>
      </c>
      <c r="H13" s="1">
        <v>263963</v>
      </c>
      <c r="I13" s="6">
        <f t="shared" si="4"/>
        <v>-0.66189938102846702</v>
      </c>
      <c r="J13" s="1">
        <f t="shared" si="5"/>
        <v>938.26746350350243</v>
      </c>
      <c r="K13" s="6">
        <f t="shared" si="6"/>
        <v>5.1393138900576814</v>
      </c>
      <c r="L13" s="6">
        <f>Corona!D13/(D13*(I$1-P$1))/4</f>
        <v>6.8196453764834799E-3</v>
      </c>
      <c r="M13" s="6">
        <f>(Corona!E13-Corona!D13)/((1-I$1+P$1)*D13)/4</f>
        <v>0.16097056919315011</v>
      </c>
      <c r="N13">
        <v>0</v>
      </c>
      <c r="AD13" s="6">
        <f t="shared" si="7"/>
        <v>-0.94492859869584611</v>
      </c>
    </row>
    <row r="14" spans="1:30" x14ac:dyDescent="0.2">
      <c r="A14">
        <f t="shared" si="0"/>
        <v>13</v>
      </c>
      <c r="B14" s="2">
        <f t="shared" si="1"/>
        <v>44284</v>
      </c>
      <c r="C14" s="13">
        <f>VE!C14</f>
        <v>3178</v>
      </c>
      <c r="D14" s="13">
        <f>VE!D14</f>
        <v>3093.6254324452361</v>
      </c>
      <c r="E14" s="6">
        <f>verzamel!I14</f>
        <v>0.32664061735545868</v>
      </c>
      <c r="F14" s="6">
        <f t="shared" si="2"/>
        <v>0.32790775675923678</v>
      </c>
      <c r="G14" s="1">
        <f t="shared" si="3"/>
        <v>2753.3266348762604</v>
      </c>
      <c r="H14" s="1">
        <v>420287</v>
      </c>
      <c r="I14" s="6">
        <f t="shared" si="4"/>
        <v>-0.62297830239008301</v>
      </c>
      <c r="J14" s="1">
        <f t="shared" si="5"/>
        <v>1038.0638819556477</v>
      </c>
      <c r="K14" s="6">
        <f t="shared" si="6"/>
        <v>5.2884034070399712</v>
      </c>
      <c r="L14" s="6">
        <f>Corona!D14/(D14*(I$1-P$1))/4</f>
        <v>6.0376284483725628E-3</v>
      </c>
      <c r="M14" s="6">
        <f>(Corona!E14-Corona!D14)/((1-I$1+P$1)*D14)/4</f>
        <v>0.18710932092015661</v>
      </c>
      <c r="N14">
        <v>0</v>
      </c>
      <c r="AD14" s="6">
        <f t="shared" si="7"/>
        <v>-0.94004492504602444</v>
      </c>
    </row>
    <row r="15" spans="1:30" x14ac:dyDescent="0.2">
      <c r="A15">
        <f t="shared" si="0"/>
        <v>14</v>
      </c>
      <c r="B15" s="2">
        <f t="shared" si="1"/>
        <v>44291</v>
      </c>
      <c r="C15" s="13">
        <f>VE!C15</f>
        <v>3162</v>
      </c>
      <c r="D15" s="13">
        <f>VE!D15</f>
        <v>3067.526245336891</v>
      </c>
      <c r="E15" s="6">
        <f>verzamel!I15</f>
        <v>0.35011475175326284</v>
      </c>
      <c r="F15" s="6">
        <f t="shared" si="2"/>
        <v>0.35247447892256578</v>
      </c>
      <c r="G15" s="1">
        <f t="shared" si="3"/>
        <v>2730.0983583498328</v>
      </c>
      <c r="H15" s="1">
        <v>477355</v>
      </c>
      <c r="I15" s="6">
        <f t="shared" si="4"/>
        <v>-0.59449708408565738</v>
      </c>
      <c r="J15" s="1">
        <f t="shared" si="5"/>
        <v>1107.0628450438171</v>
      </c>
      <c r="K15" s="6">
        <f t="shared" si="6"/>
        <v>5.0900039214452919</v>
      </c>
      <c r="L15" s="6">
        <f>Corona!D15/(D15*(I$1-P$1))/4</f>
        <v>6.0889979174371823E-3</v>
      </c>
      <c r="M15" s="6">
        <f>(Corona!E15-Corona!D15)/((1-I$1+P$1)*D15)/4</f>
        <v>0.16613236329765002</v>
      </c>
      <c r="N15">
        <v>0</v>
      </c>
      <c r="AD15" s="6">
        <f t="shared" si="7"/>
        <v>-0.93341499921101723</v>
      </c>
    </row>
    <row r="16" spans="1:30" x14ac:dyDescent="0.2">
      <c r="A16">
        <f t="shared" si="0"/>
        <v>15</v>
      </c>
      <c r="B16" s="2">
        <f t="shared" si="1"/>
        <v>44298</v>
      </c>
      <c r="C16" s="13">
        <f>VE!C16</f>
        <v>3137</v>
      </c>
      <c r="D16" s="13">
        <f>VE!D16</f>
        <v>3040.189999134443</v>
      </c>
      <c r="E16" s="6">
        <f>verzamel!I16</f>
        <v>0.3830277948282787</v>
      </c>
      <c r="F16" s="6">
        <f t="shared" si="2"/>
        <v>0.38520523113478133</v>
      </c>
      <c r="G16" s="1">
        <f t="shared" si="3"/>
        <v>2705.7690992296543</v>
      </c>
      <c r="H16" s="1">
        <v>712644</v>
      </c>
      <c r="I16" s="6">
        <f t="shared" si="4"/>
        <v>-0.555927298926431</v>
      </c>
      <c r="J16" s="1">
        <f t="shared" si="5"/>
        <v>1201.5581923763102</v>
      </c>
      <c r="K16" s="6">
        <f t="shared" si="6"/>
        <v>4.7874427351123074</v>
      </c>
      <c r="L16" s="6">
        <f>Corona!D16/(D16*(I$1-P$1))/4</f>
        <v>6.7108630896040534E-3</v>
      </c>
      <c r="M16" s="6">
        <f>(Corona!E16-Corona!D16)/((1-I$1+P$1)*D16)/4</f>
        <v>0.17331912711807307</v>
      </c>
      <c r="N16">
        <v>0</v>
      </c>
      <c r="AD16" s="6">
        <f t="shared" si="7"/>
        <v>-0.92326961640943961</v>
      </c>
    </row>
    <row r="17" spans="1:30" x14ac:dyDescent="0.2">
      <c r="A17">
        <f t="shared" si="0"/>
        <v>16</v>
      </c>
      <c r="B17" s="2">
        <f t="shared" si="1"/>
        <v>44305</v>
      </c>
      <c r="C17" s="13">
        <f>VE!C17</f>
        <v>3144</v>
      </c>
      <c r="D17" s="13">
        <f>VE!D17</f>
        <v>3012.0177097556048</v>
      </c>
      <c r="E17" s="6">
        <f>verzamel!I17</f>
        <v>0.42465058312930515</v>
      </c>
      <c r="F17" s="6">
        <f t="shared" si="2"/>
        <v>0.42484998888274172</v>
      </c>
      <c r="G17" s="1">
        <f t="shared" si="3"/>
        <v>2680.6957616824884</v>
      </c>
      <c r="H17" s="1">
        <v>670558</v>
      </c>
      <c r="I17" s="6">
        <f t="shared" si="4"/>
        <v>-0.50195712156437178</v>
      </c>
      <c r="J17" s="1">
        <f t="shared" si="5"/>
        <v>1335.1014333585354</v>
      </c>
      <c r="K17" s="6">
        <f t="shared" si="6"/>
        <v>4.4596400183010987</v>
      </c>
      <c r="L17" s="6">
        <f>Corona!D17/(D17*(I$1-P$1))/4</f>
        <v>6.2966154481602209E-3</v>
      </c>
      <c r="M17" s="6">
        <f>(Corona!E17-Corona!D17)/((1-I$1+P$1)*D17)/4</f>
        <v>0.15003997999724444</v>
      </c>
      <c r="N17">
        <v>0</v>
      </c>
      <c r="AD17" s="6">
        <f t="shared" si="7"/>
        <v>-0.90877734122283638</v>
      </c>
    </row>
    <row r="18" spans="1:30" x14ac:dyDescent="0.2">
      <c r="A18">
        <f t="shared" si="0"/>
        <v>17</v>
      </c>
      <c r="B18" s="2">
        <f t="shared" si="1"/>
        <v>44312</v>
      </c>
      <c r="C18" s="13">
        <f>VE!C18</f>
        <v>3123</v>
      </c>
      <c r="D18" s="13">
        <f>VE!D18</f>
        <v>2983.4226315337369</v>
      </c>
      <c r="E18" s="6">
        <f>verzamel!I18</f>
        <v>0.46707099444407779</v>
      </c>
      <c r="F18" s="6">
        <f t="shared" si="2"/>
        <v>0.4663364548075013</v>
      </c>
      <c r="G18" s="1">
        <f t="shared" si="3"/>
        <v>2655.2461420650257</v>
      </c>
      <c r="H18" s="1">
        <v>658109</v>
      </c>
      <c r="I18" s="6">
        <f t="shared" si="4"/>
        <v>-0.45064877694749961</v>
      </c>
      <c r="J18" s="1">
        <f t="shared" si="5"/>
        <v>1458.6627156488551</v>
      </c>
      <c r="K18" s="6">
        <f t="shared" si="6"/>
        <v>4.0714701929000467</v>
      </c>
      <c r="L18" s="6">
        <f>Corona!D18/(D18*(I$1-P$1))/4</f>
        <v>7.7054137433114388E-3</v>
      </c>
      <c r="M18" s="6">
        <f>(Corona!E18-Corona!D18)/((1-I$1+P$1)*D18)/4</f>
        <v>0.1534118240086603</v>
      </c>
      <c r="N18">
        <v>0</v>
      </c>
      <c r="AD18" s="6">
        <f t="shared" si="7"/>
        <v>-0.89167811262667374</v>
      </c>
    </row>
    <row r="19" spans="1:30" x14ac:dyDescent="0.2">
      <c r="A19">
        <f t="shared" si="0"/>
        <v>18</v>
      </c>
      <c r="B19" s="2">
        <f t="shared" si="1"/>
        <v>44319</v>
      </c>
      <c r="C19" s="13">
        <f>VE!C19</f>
        <v>3000</v>
      </c>
      <c r="D19" s="13">
        <f>VE!D19</f>
        <v>2954.8242320932986</v>
      </c>
      <c r="E19" s="6">
        <f>verzamel!I19</f>
        <v>0.50655324721254436</v>
      </c>
      <c r="F19" s="6">
        <f t="shared" si="2"/>
        <v>0.50631036154774778</v>
      </c>
      <c r="G19" s="1">
        <f t="shared" si="3"/>
        <v>2629.7935665630357</v>
      </c>
      <c r="H19" s="1">
        <v>744039</v>
      </c>
      <c r="I19" s="6">
        <f t="shared" si="4"/>
        <v>-0.42213725025431303</v>
      </c>
      <c r="J19" s="1">
        <f t="shared" si="5"/>
        <v>1519.659741637633</v>
      </c>
      <c r="K19" s="6">
        <f t="shared" si="6"/>
        <v>3.5544633640869052</v>
      </c>
      <c r="L19" s="6">
        <f>Corona!D19/(D19*(I$1-P$1))/4</f>
        <v>8.3634902576433922E-3</v>
      </c>
      <c r="M19" s="6">
        <f>(Corona!E19-Corona!D19)/((1-I$1+P$1)*D19)/4</f>
        <v>0.12756192833035343</v>
      </c>
      <c r="N19">
        <v>0</v>
      </c>
      <c r="AD19" s="6">
        <f t="shared" si="7"/>
        <v>-0.87312166032506022</v>
      </c>
    </row>
    <row r="20" spans="1:30" x14ac:dyDescent="0.2">
      <c r="A20">
        <f t="shared" si="0"/>
        <v>19</v>
      </c>
      <c r="B20" s="2">
        <f t="shared" si="1"/>
        <v>44326</v>
      </c>
      <c r="C20" s="13">
        <f>VE!C20</f>
        <v>3015</v>
      </c>
      <c r="D20" s="13">
        <f>VE!D20</f>
        <v>2926.6420759204429</v>
      </c>
      <c r="E20" s="6">
        <f>verzamel!I20</f>
        <v>0.54506395732182455</v>
      </c>
      <c r="F20" s="6">
        <f t="shared" si="2"/>
        <v>0.54526865051097428</v>
      </c>
      <c r="G20" s="1">
        <f t="shared" si="3"/>
        <v>2604.7114475691942</v>
      </c>
      <c r="H20" s="1">
        <v>902314</v>
      </c>
      <c r="I20" s="6">
        <f t="shared" si="4"/>
        <v>-0.36907873889103987</v>
      </c>
      <c r="J20" s="1">
        <f t="shared" si="5"/>
        <v>1643.367831325301</v>
      </c>
      <c r="K20" s="6">
        <f t="shared" si="6"/>
        <v>3.2606451448855394</v>
      </c>
      <c r="L20" s="6">
        <f>Corona!D20/(D20*(I$1-P$1))/4</f>
        <v>8.8367720734635787E-3</v>
      </c>
      <c r="M20" s="6">
        <f>(Corona!E20-Corona!D20)/((1-I$1+P$1)*D20)/4</f>
        <v>0.10053527612809718</v>
      </c>
      <c r="N20">
        <v>0</v>
      </c>
      <c r="AD20" s="6">
        <f t="shared" si="7"/>
        <v>-0.85191884335490475</v>
      </c>
    </row>
    <row r="21" spans="1:30" x14ac:dyDescent="0.2">
      <c r="A21">
        <f t="shared" si="0"/>
        <v>20</v>
      </c>
      <c r="B21" s="2">
        <f t="shared" si="1"/>
        <v>44333</v>
      </c>
      <c r="C21" s="13">
        <f>VE!C21</f>
        <v>2988</v>
      </c>
      <c r="D21" s="13">
        <f>VE!D21</f>
        <v>2899.289705814911</v>
      </c>
      <c r="E21" s="6">
        <f>verzamel!I21</f>
        <v>0.58439344018770367</v>
      </c>
      <c r="F21" s="6">
        <f t="shared" si="2"/>
        <v>0.58327092219949961</v>
      </c>
      <c r="G21" s="1">
        <f t="shared" si="3"/>
        <v>2580.3678381752707</v>
      </c>
      <c r="H21" s="1">
        <v>1054731</v>
      </c>
      <c r="I21" s="6">
        <f t="shared" si="4"/>
        <v>-0.32328733390365144</v>
      </c>
      <c r="J21" s="1">
        <f t="shared" si="5"/>
        <v>1746.1675992808587</v>
      </c>
      <c r="K21" s="6">
        <f t="shared" si="6"/>
        <v>2.893845254042994</v>
      </c>
      <c r="L21" s="6">
        <f>Corona!D21/(D21*(I$1-P$1))/4</f>
        <v>7.3343370182853539E-3</v>
      </c>
      <c r="M21" s="6">
        <f>(Corona!E21-Corona!D21)/((1-I$1+P$1)*D21)/4</f>
        <v>7.6941922233405194E-2</v>
      </c>
      <c r="N21">
        <v>0</v>
      </c>
      <c r="AD21" s="6">
        <f t="shared" si="7"/>
        <v>-0.82620966629484949</v>
      </c>
    </row>
    <row r="22" spans="1:30" x14ac:dyDescent="0.2">
      <c r="A22">
        <f t="shared" si="0"/>
        <v>21</v>
      </c>
      <c r="B22" s="2">
        <f t="shared" si="1"/>
        <v>44340</v>
      </c>
      <c r="C22" s="13">
        <f>VE!C22</f>
        <v>2806</v>
      </c>
      <c r="D22" s="13">
        <f>VE!D22</f>
        <v>2873.168611450601</v>
      </c>
      <c r="E22" s="6">
        <f>verzamel!I22</f>
        <v>0.61923285110076653</v>
      </c>
      <c r="F22" s="6">
        <f t="shared" si="2"/>
        <v>0.6181172242930385</v>
      </c>
      <c r="G22" s="1">
        <f t="shared" si="3"/>
        <v>2557.120064191035</v>
      </c>
      <c r="H22" s="1">
        <v>994615</v>
      </c>
      <c r="I22" s="6">
        <f t="shared" si="4"/>
        <v>-0.32049831976174969</v>
      </c>
      <c r="J22" s="1">
        <f t="shared" si="5"/>
        <v>1737.5673801887508</v>
      </c>
      <c r="K22" s="6">
        <f t="shared" si="6"/>
        <v>2.3805965225138692</v>
      </c>
      <c r="L22" s="6">
        <f>Corona!D22/(D22*(I$1-P$1))/4</f>
        <v>3.4004669630565173E-3</v>
      </c>
      <c r="M22" s="6">
        <f>(Corona!E22-Corona!D22)/((1-I$1+P$1)*D22)/4</f>
        <v>5.4215137304659003E-2</v>
      </c>
      <c r="N22">
        <v>0</v>
      </c>
      <c r="AD22" s="6">
        <f t="shared" si="7"/>
        <v>-0.7989994736985172</v>
      </c>
    </row>
    <row r="23" spans="1:30" x14ac:dyDescent="0.2">
      <c r="A23">
        <f t="shared" si="0"/>
        <v>22</v>
      </c>
      <c r="B23" s="2">
        <f t="shared" si="1"/>
        <v>44347</v>
      </c>
      <c r="C23" s="13">
        <f>VE!C23</f>
        <v>3009</v>
      </c>
      <c r="D23" s="13">
        <f>VE!D23</f>
        <v>2848.6623730121387</v>
      </c>
      <c r="E23" s="6">
        <f>verzamel!I23</f>
        <v>0.64960975478291738</v>
      </c>
      <c r="F23" s="6">
        <f t="shared" si="2"/>
        <v>0.64963014732675939</v>
      </c>
      <c r="G23" s="1">
        <f t="shared" si="3"/>
        <v>2535.3095119808036</v>
      </c>
      <c r="H23" s="1">
        <v>1093675</v>
      </c>
      <c r="I23" s="6">
        <f t="shared" si="4"/>
        <v>-0.22901888589743177</v>
      </c>
      <c r="J23" s="1">
        <f t="shared" si="5"/>
        <v>1954.6757521417985</v>
      </c>
      <c r="K23" s="6">
        <f t="shared" si="6"/>
        <v>2.3646549273177673</v>
      </c>
      <c r="L23" s="6">
        <f>Corona!D23/(D23*(I$1-P$1))/4</f>
        <v>5.1445803309772067E-3</v>
      </c>
      <c r="M23" s="6">
        <f>(Corona!E23-Corona!D23)/((1-I$1+P$1)*D23)/4</f>
        <v>4.388024399951148E-2</v>
      </c>
      <c r="N23">
        <v>0</v>
      </c>
      <c r="AD23" s="6">
        <f t="shared" si="7"/>
        <v>-0.77085878618846115</v>
      </c>
    </row>
    <row r="24" spans="1:30" x14ac:dyDescent="0.2">
      <c r="A24">
        <f t="shared" si="0"/>
        <v>23</v>
      </c>
      <c r="B24" s="2">
        <f t="shared" si="1"/>
        <v>44354</v>
      </c>
      <c r="C24" s="13">
        <f>VE!C24</f>
        <v>2883</v>
      </c>
      <c r="D24" s="13">
        <f>VE!D24</f>
        <v>2826.1310653317983</v>
      </c>
      <c r="E24" s="6">
        <f>verzamel!I24</f>
        <v>0.68006822864043615</v>
      </c>
      <c r="F24" s="6">
        <f t="shared" si="2"/>
        <v>0.67669926266692526</v>
      </c>
      <c r="G24" s="1">
        <f t="shared" si="3"/>
        <v>2515.2566481453005</v>
      </c>
      <c r="H24" s="1">
        <v>1522926</v>
      </c>
      <c r="I24" s="6">
        <f t="shared" si="4"/>
        <v>-0.2205023274201019</v>
      </c>
      <c r="J24" s="1">
        <f t="shared" si="5"/>
        <v>1960.6367031703774</v>
      </c>
      <c r="K24" s="6">
        <f t="shared" si="6"/>
        <v>1.9669964649303526</v>
      </c>
      <c r="L24" s="6">
        <f>Corona!D24/(D24*(I$1-P$1))/4</f>
        <v>2.7453152420389543E-3</v>
      </c>
      <c r="M24" s="6">
        <f>(Corona!E24-Corona!D24)/((1-I$1+P$1)*D24)/4</f>
        <v>2.5177121835109385E-2</v>
      </c>
      <c r="N24">
        <v>0</v>
      </c>
      <c r="AD24" s="6">
        <f t="shared" si="7"/>
        <v>-0.73727718189303748</v>
      </c>
    </row>
    <row r="25" spans="1:30" x14ac:dyDescent="0.2">
      <c r="A25">
        <f t="shared" si="0"/>
        <v>24</v>
      </c>
      <c r="B25" s="2">
        <f t="shared" si="1"/>
        <v>44361</v>
      </c>
      <c r="C25" s="13">
        <f>VE!C25</f>
        <v>2869</v>
      </c>
      <c r="D25" s="13">
        <f>VE!D25</f>
        <v>2805.9060041620451</v>
      </c>
      <c r="E25" s="6">
        <f>verzamel!I25</f>
        <v>0.69705083860391104</v>
      </c>
      <c r="F25" s="6">
        <f t="shared" si="2"/>
        <v>0.6942313122066861</v>
      </c>
      <c r="G25" s="1">
        <f t="shared" si="3"/>
        <v>2497.2563437042199</v>
      </c>
      <c r="H25" s="1">
        <v>1354692</v>
      </c>
      <c r="I25" s="6">
        <f t="shared" si="4"/>
        <v>-0.19918559382324838</v>
      </c>
      <c r="J25" s="1">
        <f t="shared" si="5"/>
        <v>1999.8388559546208</v>
      </c>
      <c r="K25" s="6">
        <f t="shared" si="6"/>
        <v>1.8160119883369983</v>
      </c>
      <c r="L25" s="6">
        <f>Corona!D25/(D25*(I$1-P$1))/4</f>
        <v>1.0241124307544167E-3</v>
      </c>
      <c r="M25" s="6">
        <f>(Corona!E25-Corona!D25)/((1-I$1+P$1)*D25)/4</f>
        <v>2.8100069542315424E-2</v>
      </c>
      <c r="N25">
        <v>0</v>
      </c>
      <c r="AD25" s="6">
        <f t="shared" si="7"/>
        <v>-0.71562109483430358</v>
      </c>
    </row>
    <row r="26" spans="1:30" x14ac:dyDescent="0.2">
      <c r="A26">
        <f t="shared" si="0"/>
        <v>25</v>
      </c>
      <c r="B26" s="2">
        <f t="shared" si="1"/>
        <v>44368</v>
      </c>
      <c r="C26" s="13">
        <f>VE!C26</f>
        <v>2673</v>
      </c>
      <c r="D26" s="13">
        <f>VE!D26</f>
        <v>2788.2849112390163</v>
      </c>
      <c r="E26" s="6">
        <f>verzamel!I26</f>
        <v>0.70275534297848585</v>
      </c>
      <c r="F26" s="6">
        <f t="shared" si="2"/>
        <v>0.70512945252203629</v>
      </c>
      <c r="G26" s="1">
        <f t="shared" si="3"/>
        <v>2481.5735710027247</v>
      </c>
      <c r="H26" s="1">
        <v>1429118</v>
      </c>
      <c r="I26" s="6">
        <f t="shared" si="4"/>
        <v>-0.24303472049693664</v>
      </c>
      <c r="J26" s="1">
        <f t="shared" si="5"/>
        <v>1878.4650317814926</v>
      </c>
      <c r="K26" s="6">
        <f t="shared" si="6"/>
        <v>1.5904975264572689</v>
      </c>
      <c r="L26" s="6">
        <f>Corona!D26/(D26*(I$1-P$1))/4</f>
        <v>1.030584502612358E-3</v>
      </c>
      <c r="M26" s="6">
        <f>(Corona!E26-Corona!D26)/((1-I$1+P$1)*D26)/4</f>
        <v>1.1724880610489831E-2</v>
      </c>
      <c r="N26">
        <v>0</v>
      </c>
      <c r="AD26" s="6">
        <f t="shared" si="7"/>
        <v>-0.70779154514836407</v>
      </c>
    </row>
    <row r="27" spans="1:30" x14ac:dyDescent="0.2">
      <c r="A27">
        <f t="shared" si="0"/>
        <v>26</v>
      </c>
      <c r="B27" s="2">
        <f t="shared" si="1"/>
        <v>44375</v>
      </c>
      <c r="C27" s="13">
        <f>VE!C27</f>
        <v>2794</v>
      </c>
      <c r="D27" s="13">
        <f>VE!D27</f>
        <v>2773.5275686937762</v>
      </c>
      <c r="E27" s="6">
        <f>verzamel!I27</f>
        <v>0.71795628552726254</v>
      </c>
      <c r="F27" s="6">
        <f t="shared" si="2"/>
        <v>0.71961419220278733</v>
      </c>
      <c r="G27" s="1">
        <f t="shared" si="3"/>
        <v>2468.4395361374609</v>
      </c>
      <c r="H27" s="1">
        <v>1491607</v>
      </c>
      <c r="I27" s="6">
        <f t="shared" si="4"/>
        <v>-0.1873530494078651</v>
      </c>
      <c r="J27" s="1">
        <f t="shared" si="5"/>
        <v>2005.9698617631716</v>
      </c>
      <c r="K27" s="6">
        <f t="shared" si="6"/>
        <v>1.5829598481263547</v>
      </c>
      <c r="L27" s="6">
        <f>Corona!D27/(D27*(I$1-P$1))/4</f>
        <v>1.3468884268806396E-3</v>
      </c>
      <c r="M27" s="6">
        <f>(Corona!E27-Corona!D27)/((1-I$1+P$1)*D27)/4</f>
        <v>6.9336859845334732E-3</v>
      </c>
      <c r="N27">
        <v>0</v>
      </c>
      <c r="AD27" s="6">
        <f t="shared" si="7"/>
        <v>-0.68538150092359418</v>
      </c>
    </row>
    <row r="28" spans="1:30" x14ac:dyDescent="0.2">
      <c r="A28">
        <f t="shared" si="0"/>
        <v>27</v>
      </c>
      <c r="B28" s="2">
        <f t="shared" si="1"/>
        <v>44382</v>
      </c>
      <c r="C28" s="13">
        <f>VE!C28</f>
        <v>2840</v>
      </c>
      <c r="D28" s="13">
        <f>VE!D28</f>
        <v>2761.8520262401316</v>
      </c>
      <c r="E28" s="6">
        <f>verzamel!I28</f>
        <v>0.73978885477813849</v>
      </c>
      <c r="F28" s="6">
        <f t="shared" si="2"/>
        <v>0.73749641749450401</v>
      </c>
      <c r="G28" s="1">
        <f t="shared" si="3"/>
        <v>2458.0483033537171</v>
      </c>
      <c r="H28" s="1">
        <v>1317879</v>
      </c>
      <c r="I28" s="6">
        <f t="shared" si="4"/>
        <v>-0.14525668811986081</v>
      </c>
      <c r="J28" s="1">
        <f t="shared" si="5"/>
        <v>2101.0003475699132</v>
      </c>
      <c r="K28" s="6">
        <f t="shared" si="6"/>
        <v>1.432490442871835</v>
      </c>
      <c r="L28" s="6">
        <f>Corona!D28/(D28*(I$1-P$1))/4</f>
        <v>8.3235834247144709E-4</v>
      </c>
      <c r="M28" s="6">
        <f>(Corona!E28-Corona!D28)/((1-I$1+P$1)*D28)/4</f>
        <v>9.0518969743769891E-3</v>
      </c>
      <c r="N28">
        <v>0</v>
      </c>
      <c r="AD28" s="6">
        <f t="shared" si="7"/>
        <v>-0.64861390745239</v>
      </c>
    </row>
    <row r="29" spans="1:30" x14ac:dyDescent="0.2">
      <c r="A29">
        <f t="shared" si="0"/>
        <v>28</v>
      </c>
      <c r="B29" s="2">
        <f t="shared" si="1"/>
        <v>44389</v>
      </c>
      <c r="C29" s="13">
        <f>VE!C29</f>
        <v>2873</v>
      </c>
      <c r="D29" s="13">
        <f>VE!D29</f>
        <v>2753.4314165138817</v>
      </c>
      <c r="E29" s="6">
        <f>verzamel!I29</f>
        <v>0.75245167489447651</v>
      </c>
      <c r="F29" s="6">
        <f t="shared" si="2"/>
        <v>0.75029999339406905</v>
      </c>
      <c r="G29" s="1">
        <f t="shared" si="3"/>
        <v>2450.5539606973548</v>
      </c>
      <c r="H29" s="1">
        <v>1153460</v>
      </c>
      <c r="I29" s="6">
        <f t="shared" si="4"/>
        <v>-0.11783470323720234</v>
      </c>
      <c r="J29" s="1">
        <f t="shared" si="5"/>
        <v>2161.7936619718312</v>
      </c>
      <c r="K29" s="6">
        <f t="shared" si="6"/>
        <v>1.3481653202310115</v>
      </c>
      <c r="L29" s="6">
        <f>Corona!D29/(D29*(I$1-P$1))/4</f>
        <v>9.3926686571555113E-4</v>
      </c>
      <c r="M29" s="6">
        <f>(Corona!E29-Corona!D29)/((1-I$1+P$1)*D29)/4</f>
        <v>6.9842920783976907E-3</v>
      </c>
      <c r="N29">
        <v>0</v>
      </c>
      <c r="AD29" s="6">
        <f t="shared" si="7"/>
        <v>-0.62431721090403869</v>
      </c>
    </row>
    <row r="30" spans="1:30" x14ac:dyDescent="0.2">
      <c r="A30">
        <f t="shared" si="0"/>
        <v>29</v>
      </c>
      <c r="B30" s="2">
        <f t="shared" si="1"/>
        <v>44396</v>
      </c>
      <c r="C30" s="13">
        <f>VE!C30</f>
        <v>2776</v>
      </c>
      <c r="D30" s="13">
        <f>VE!D30</f>
        <v>2748.3914250760054</v>
      </c>
      <c r="E30" s="6">
        <f>verzamel!I30</f>
        <v>0.75650776900918448</v>
      </c>
      <c r="F30" s="6">
        <f t="shared" si="2"/>
        <v>0.75734174901137108</v>
      </c>
      <c r="G30" s="1">
        <f t="shared" si="3"/>
        <v>2446.0683683176449</v>
      </c>
      <c r="H30" s="1">
        <v>871451</v>
      </c>
      <c r="I30" s="6">
        <f t="shared" si="4"/>
        <v>-0.14145262905554945</v>
      </c>
      <c r="J30" s="1">
        <f t="shared" si="5"/>
        <v>2100.0655667694959</v>
      </c>
      <c r="K30" s="6">
        <f t="shared" si="6"/>
        <v>1.2358017958609151</v>
      </c>
      <c r="L30" s="6">
        <f>Corona!D30/(D30*(I$1-P$1))/4</f>
        <v>3.7639571612041452E-3</v>
      </c>
      <c r="M30" s="6">
        <f>(Corona!E30-Corona!D30)/((1-I$1+P$1)*D30)/4</f>
        <v>2.2390719523060564E-2</v>
      </c>
      <c r="N30">
        <v>0</v>
      </c>
      <c r="AD30" s="6">
        <f t="shared" si="7"/>
        <v>-0.61600023198216491</v>
      </c>
    </row>
    <row r="31" spans="1:30" x14ac:dyDescent="0.2">
      <c r="A31">
        <f t="shared" si="0"/>
        <v>30</v>
      </c>
      <c r="B31" s="2">
        <f t="shared" si="1"/>
        <v>44403</v>
      </c>
      <c r="C31" s="13">
        <f>VE!C31</f>
        <v>2917</v>
      </c>
      <c r="D31" s="13">
        <f>VE!D31</f>
        <v>2746.8084520506054</v>
      </c>
      <c r="E31" s="6">
        <f>verzamel!I31</f>
        <v>0.76389978313263884</v>
      </c>
      <c r="F31" s="6">
        <f t="shared" si="2"/>
        <v>0.76272589855214012</v>
      </c>
      <c r="G31" s="1">
        <f t="shared" si="3"/>
        <v>2444.6595223250388</v>
      </c>
      <c r="H31" s="1">
        <v>803093</v>
      </c>
      <c r="I31" s="6">
        <f t="shared" si="4"/>
        <v>-8.8504698896210501E-2</v>
      </c>
      <c r="J31" s="1">
        <f t="shared" si="5"/>
        <v>2228.2956673979074</v>
      </c>
      <c r="K31" s="6">
        <f t="shared" si="6"/>
        <v>1.2793538710450614</v>
      </c>
      <c r="L31" s="6">
        <f>Corona!D31/(D31*(I$1-P$1))/4</f>
        <v>4.1845847914812866E-3</v>
      </c>
      <c r="M31" s="6">
        <f>(Corona!E31-Corona!D31)/((1-I$1+P$1)*D31)/4</f>
        <v>2.31037364160438E-2</v>
      </c>
      <c r="N31">
        <v>0</v>
      </c>
      <c r="AD31" s="6">
        <f t="shared" si="7"/>
        <v>-0.60010803382369149</v>
      </c>
    </row>
    <row r="32" spans="1:30" x14ac:dyDescent="0.2">
      <c r="A32">
        <f t="shared" si="0"/>
        <v>31</v>
      </c>
      <c r="B32" s="2">
        <f t="shared" si="1"/>
        <v>44410</v>
      </c>
      <c r="C32" s="13">
        <f>VE!C32</f>
        <v>2963</v>
      </c>
      <c r="D32" s="13">
        <f>VE!D32</f>
        <v>2748.7084922864969</v>
      </c>
      <c r="E32" s="6">
        <f>verzamel!I32</f>
        <v>0.76659625893409811</v>
      </c>
      <c r="F32" s="6">
        <f t="shared" si="2"/>
        <v>0.76563759991636759</v>
      </c>
      <c r="G32" s="1">
        <f t="shared" si="3"/>
        <v>2446.3505581349823</v>
      </c>
      <c r="H32" s="1">
        <v>816669</v>
      </c>
      <c r="I32" s="6">
        <f t="shared" si="4"/>
        <v>-7.1504814521189231E-2</v>
      </c>
      <c r="J32" s="1">
        <f t="shared" si="5"/>
        <v>2271.4247152217326</v>
      </c>
      <c r="K32" s="6">
        <f t="shared" si="6"/>
        <v>1.2872734817394007</v>
      </c>
      <c r="L32" s="6">
        <f>Corona!D32/(D32*(I$1-P$1))/4</f>
        <v>6.167996001061082E-3</v>
      </c>
      <c r="M32" s="6">
        <f>(Corona!E32-Corona!D32)/((1-I$1+P$1)*D32)/4</f>
        <v>3.4981463630528953E-2</v>
      </c>
      <c r="N32">
        <v>0</v>
      </c>
      <c r="AD32" s="6">
        <f t="shared" si="7"/>
        <v>-0.59406026743565488</v>
      </c>
    </row>
    <row r="33" spans="1:30" x14ac:dyDescent="0.2">
      <c r="A33">
        <f t="shared" si="0"/>
        <v>32</v>
      </c>
      <c r="B33" s="2">
        <f t="shared" si="1"/>
        <v>44417</v>
      </c>
      <c r="C33" s="13">
        <f>VE!C33</f>
        <v>2843</v>
      </c>
      <c r="D33" s="13">
        <f>VE!D33</f>
        <v>2754.0667504560838</v>
      </c>
      <c r="E33" s="6">
        <f>verzamel!I33</f>
        <v>0.76545809866463554</v>
      </c>
      <c r="F33" s="6">
        <f t="shared" si="2"/>
        <v>0.76564090107079308</v>
      </c>
      <c r="G33" s="1">
        <f t="shared" si="3"/>
        <v>2451.1194079059146</v>
      </c>
      <c r="H33" s="1">
        <v>710310</v>
      </c>
      <c r="I33" s="6">
        <f t="shared" si="4"/>
        <v>-0.11216182798586388</v>
      </c>
      <c r="J33" s="1">
        <f t="shared" si="5"/>
        <v>2176.1973745035589</v>
      </c>
      <c r="K33" s="6">
        <f t="shared" si="6"/>
        <v>1.2010512450229405</v>
      </c>
      <c r="L33" s="6">
        <f>Corona!D33/(D33*(I$1-P$1))/4</f>
        <v>5.6343011209661602E-3</v>
      </c>
      <c r="M33" s="6">
        <f>(Corona!E33-Corona!D33)/((1-I$1+P$1)*D33)/4</f>
        <v>3.3516868206773062E-2</v>
      </c>
      <c r="N33">
        <v>0</v>
      </c>
      <c r="AD33" s="6">
        <f t="shared" si="7"/>
        <v>-0.59662994034249173</v>
      </c>
    </row>
    <row r="34" spans="1:30" x14ac:dyDescent="0.2">
      <c r="A34">
        <f t="shared" si="0"/>
        <v>33</v>
      </c>
      <c r="B34" s="2">
        <f t="shared" si="1"/>
        <v>44424</v>
      </c>
      <c r="C34" s="13">
        <f>VE!C34</f>
        <v>2905</v>
      </c>
      <c r="D34" s="13">
        <f>VE!D34</f>
        <v>2762.8079967893759</v>
      </c>
      <c r="E34" s="6">
        <f>verzamel!I34</f>
        <v>0.76505114801980301</v>
      </c>
      <c r="F34" s="6">
        <f t="shared" si="2"/>
        <v>0.76415321324505292</v>
      </c>
      <c r="G34" s="1">
        <f t="shared" si="3"/>
        <v>2458.8991171425446</v>
      </c>
      <c r="H34" s="1">
        <v>294344</v>
      </c>
      <c r="I34" s="6">
        <f t="shared" si="4"/>
        <v>-9.6150968739117673E-2</v>
      </c>
      <c r="J34" s="1">
        <f t="shared" si="5"/>
        <v>2222.4735849975277</v>
      </c>
      <c r="K34" s="6">
        <f t="shared" si="6"/>
        <v>1.2458258402835336</v>
      </c>
      <c r="L34" s="6">
        <f>Corona!D34/(D34*(I$1-P$1))/4</f>
        <v>5.2004395921289789E-3</v>
      </c>
      <c r="M34" s="6">
        <f>(Corona!E34-Corona!D34)/((1-I$1+P$1)*D34)/4</f>
        <v>2.9930530021776171E-2</v>
      </c>
      <c r="N34">
        <v>0</v>
      </c>
      <c r="AD34" s="6">
        <f t="shared" si="7"/>
        <v>-0.59754268783960018</v>
      </c>
    </row>
    <row r="35" spans="1:30" x14ac:dyDescent="0.2">
      <c r="A35">
        <f t="shared" si="0"/>
        <v>34</v>
      </c>
      <c r="B35" s="2">
        <f t="shared" si="1"/>
        <v>44431</v>
      </c>
      <c r="C35" s="13">
        <f>VE!C35</f>
        <v>2933</v>
      </c>
      <c r="D35" s="13">
        <f>VE!D35</f>
        <v>2774.8076583408656</v>
      </c>
      <c r="E35" s="6">
        <f>verzamel!I35</f>
        <v>0.76105245827597012</v>
      </c>
      <c r="F35" s="6">
        <f t="shared" si="2"/>
        <v>0.76348737237626629</v>
      </c>
      <c r="G35" s="1">
        <f t="shared" si="3"/>
        <v>2469.5788159233703</v>
      </c>
      <c r="H35" s="1">
        <v>258358</v>
      </c>
      <c r="I35" s="6">
        <f t="shared" si="4"/>
        <v>-9.6134593587037201E-2</v>
      </c>
      <c r="J35" s="1">
        <f t="shared" si="5"/>
        <v>2232.1668601234205</v>
      </c>
      <c r="K35" s="6">
        <f t="shared" si="6"/>
        <v>1.2960908095243913</v>
      </c>
      <c r="L35" s="6">
        <f>Corona!D35/(D35*(I$1-P$1))/4</f>
        <v>4.9708322689736061E-3</v>
      </c>
      <c r="M35" s="6">
        <f>(Corona!E35-Corona!D35)/((1-I$1+P$1)*D35)/4</f>
        <v>4.019682632891157E-2</v>
      </c>
      <c r="N35">
        <v>0</v>
      </c>
      <c r="AD35" s="6">
        <f t="shared" ref="AD35:AD55" si="8">(1+$I35)/(1+$K35)-1</f>
        <v>-0.60634596738785418</v>
      </c>
    </row>
    <row r="36" spans="1:30" x14ac:dyDescent="0.2">
      <c r="A36">
        <f t="shared" si="0"/>
        <v>35</v>
      </c>
      <c r="B36" s="2">
        <f t="shared" si="1"/>
        <v>44438</v>
      </c>
      <c r="C36" s="13">
        <f>VE!C36</f>
        <v>2870</v>
      </c>
      <c r="D36" s="13">
        <f>VE!D36</f>
        <v>2789.8936299600418</v>
      </c>
      <c r="E36" s="6">
        <f>verzamel!I36</f>
        <v>0.76679342493332214</v>
      </c>
      <c r="F36" s="6">
        <f t="shared" si="2"/>
        <v>0.76754812443870846</v>
      </c>
      <c r="G36" s="1">
        <f t="shared" si="3"/>
        <v>2483.0053306644372</v>
      </c>
      <c r="H36" s="1">
        <v>188683</v>
      </c>
      <c r="I36" s="6">
        <f t="shared" si="4"/>
        <v>-0.11369617198133793</v>
      </c>
      <c r="J36" s="1">
        <f t="shared" si="5"/>
        <v>2200.6971295586345</v>
      </c>
      <c r="K36" s="6">
        <f t="shared" si="6"/>
        <v>1.1809331668154335</v>
      </c>
      <c r="L36" s="6">
        <f>Corona!D36/(D36*(I$1-P$1))/4</f>
        <v>4.7379551186641552E-3</v>
      </c>
      <c r="M36" s="6">
        <f>(Corona!E36-Corona!D36)/((1-I$1+P$1)*D36)/4</f>
        <v>2.8261347672700741E-2</v>
      </c>
      <c r="N36">
        <v>0</v>
      </c>
      <c r="AD36" s="6">
        <f t="shared" si="8"/>
        <v>-0.59361256846177002</v>
      </c>
    </row>
    <row r="37" spans="1:30" x14ac:dyDescent="0.2">
      <c r="A37">
        <f t="shared" si="0"/>
        <v>36</v>
      </c>
      <c r="B37" s="2">
        <f t="shared" si="1"/>
        <v>44445</v>
      </c>
      <c r="C37" s="13">
        <f>VE!C37</f>
        <v>3094</v>
      </c>
      <c r="D37" s="13">
        <f>VE!D37</f>
        <v>2807.8487786389046</v>
      </c>
      <c r="E37" s="6">
        <f>verzamel!I37</f>
        <v>0.77555318961221953</v>
      </c>
      <c r="F37" s="6">
        <f t="shared" si="2"/>
        <v>0.77513113824407531</v>
      </c>
      <c r="G37" s="1">
        <f t="shared" si="3"/>
        <v>2498.9854129886253</v>
      </c>
      <c r="H37" s="1">
        <v>119885</v>
      </c>
      <c r="I37" s="6">
        <f t="shared" si="4"/>
        <v>-3.9785684146716765E-2</v>
      </c>
      <c r="J37" s="1">
        <f t="shared" si="5"/>
        <v>2399.5615686602073</v>
      </c>
      <c r="K37" s="6">
        <f t="shared" si="6"/>
        <v>1.2483677527690136</v>
      </c>
      <c r="L37" s="6">
        <f>Corona!D37/(D37*(I$1-P$1))/4</f>
        <v>5.1170191932197913E-3</v>
      </c>
      <c r="M37" s="6">
        <f>(Corona!E37-Corona!D37)/((1-I$1+P$1)*D37)/4</f>
        <v>2.9450413541284987E-2</v>
      </c>
      <c r="N37">
        <v>0</v>
      </c>
      <c r="AD37" s="6">
        <f t="shared" si="8"/>
        <v>-0.57292826555143583</v>
      </c>
    </row>
    <row r="38" spans="1:30" x14ac:dyDescent="0.2">
      <c r="A38">
        <f t="shared" si="0"/>
        <v>37</v>
      </c>
      <c r="B38" s="2">
        <f t="shared" si="1"/>
        <v>44452</v>
      </c>
      <c r="C38" s="13">
        <f>VE!C38</f>
        <v>2920</v>
      </c>
      <c r="D38" s="13">
        <f>VE!D38</f>
        <v>2828.4141047952421</v>
      </c>
      <c r="E38" s="6">
        <f>verzamel!I38</f>
        <v>0.78262474881854038</v>
      </c>
      <c r="F38" s="6">
        <f t="shared" si="2"/>
        <v>0.7828033865759616</v>
      </c>
      <c r="G38" s="1">
        <f t="shared" si="3"/>
        <v>2517.2885532677656</v>
      </c>
      <c r="H38" s="1">
        <v>143301</v>
      </c>
      <c r="I38" s="6">
        <f t="shared" si="4"/>
        <v>-9.2172304369489172E-2</v>
      </c>
      <c r="J38" s="1">
        <f t="shared" si="5"/>
        <v>2285.264266550138</v>
      </c>
      <c r="K38" s="6">
        <f t="shared" si="6"/>
        <v>1.0401273065925167</v>
      </c>
      <c r="L38" s="6">
        <f>Corona!D38/(D38*(I$1-P$1))/4</f>
        <v>5.6893910957757209E-3</v>
      </c>
      <c r="M38" s="6">
        <f>(Corona!E38-Corona!D38)/((1-I$1+P$1)*D38)/4</f>
        <v>2.6516626357097558E-2</v>
      </c>
      <c r="N38">
        <v>0</v>
      </c>
      <c r="AD38" s="6">
        <f t="shared" si="8"/>
        <v>-0.5550141931354311</v>
      </c>
    </row>
    <row r="39" spans="1:30" x14ac:dyDescent="0.2">
      <c r="A39">
        <f t="shared" si="0"/>
        <v>38</v>
      </c>
      <c r="B39" s="2">
        <f t="shared" si="1"/>
        <v>44459</v>
      </c>
      <c r="C39" s="13">
        <f>VE!C39</f>
        <v>2889</v>
      </c>
      <c r="D39" s="13">
        <f>VE!D39</f>
        <v>2851.2925144660244</v>
      </c>
      <c r="E39" s="6">
        <f>verzamel!I39</f>
        <v>0.79041085905454622</v>
      </c>
      <c r="F39" s="6">
        <f t="shared" si="2"/>
        <v>0.78934615038888156</v>
      </c>
      <c r="G39" s="1">
        <f t="shared" si="3"/>
        <v>2537.6503378747616</v>
      </c>
      <c r="H39" s="1">
        <v>128321</v>
      </c>
      <c r="I39" s="6">
        <f t="shared" si="4"/>
        <v>-0.10015302828482928</v>
      </c>
      <c r="J39" s="1">
        <f t="shared" si="5"/>
        <v>2283.496971808584</v>
      </c>
      <c r="K39" s="6">
        <f t="shared" si="6"/>
        <v>0.93055358425376966</v>
      </c>
      <c r="L39" s="6">
        <f>Corona!D39/(D39*(I$1-P$1))/4</f>
        <v>3.7288997372607762E-3</v>
      </c>
      <c r="M39" s="6">
        <f>(Corona!E39-Corona!D39)/((1-I$1+P$1)*D39)/4</f>
        <v>1.6186990959252603E-2</v>
      </c>
      <c r="N39">
        <v>0</v>
      </c>
      <c r="AD39" s="6">
        <f t="shared" si="8"/>
        <v>-0.53389174014406082</v>
      </c>
    </row>
    <row r="40" spans="1:30" x14ac:dyDescent="0.2">
      <c r="A40">
        <f t="shared" si="0"/>
        <v>39</v>
      </c>
      <c r="B40" s="2">
        <f t="shared" si="1"/>
        <v>44466</v>
      </c>
      <c r="C40" s="13">
        <f>VE!C40</f>
        <v>3079</v>
      </c>
      <c r="D40" s="13">
        <f>VE!D40</f>
        <v>2876.1531474709591</v>
      </c>
      <c r="E40" s="6">
        <f>verzamel!I40</f>
        <v>0.79393813462789342</v>
      </c>
      <c r="F40" s="6">
        <f t="shared" si="2"/>
        <v>0.79414202362460906</v>
      </c>
      <c r="G40" s="1">
        <f t="shared" si="3"/>
        <v>2559.7763012491537</v>
      </c>
      <c r="H40" s="1">
        <v>111702</v>
      </c>
      <c r="I40" s="6">
        <f t="shared" si="4"/>
        <v>-4.5019865475601634E-2</v>
      </c>
      <c r="J40" s="1">
        <f t="shared" si="5"/>
        <v>2444.5355165192836</v>
      </c>
      <c r="K40" s="6">
        <f t="shared" si="6"/>
        <v>1.0054074470288696</v>
      </c>
      <c r="L40" s="6">
        <f>Corona!D40/(D40*(I$1-P$1))/4</f>
        <v>2.8973885972174147E-3</v>
      </c>
      <c r="M40" s="6">
        <f>(Corona!E40-Corona!D40)/((1-I$1+P$1)*D40)/4</f>
        <v>2.0727472272401504E-2</v>
      </c>
      <c r="N40">
        <v>0</v>
      </c>
      <c r="AD40" s="6">
        <f t="shared" si="8"/>
        <v>-0.52379745276240097</v>
      </c>
    </row>
    <row r="41" spans="1:30" x14ac:dyDescent="0.2">
      <c r="A41">
        <f t="shared" si="0"/>
        <v>40</v>
      </c>
      <c r="B41" s="2">
        <f t="shared" si="1"/>
        <v>44473</v>
      </c>
      <c r="C41" s="13">
        <f>VE!C41</f>
        <v>3073</v>
      </c>
      <c r="D41" s="13">
        <f>VE!D41</f>
        <v>2902.6361984921623</v>
      </c>
      <c r="E41" s="6">
        <f>verzamel!I41</f>
        <v>0.7982809661881034</v>
      </c>
      <c r="F41" s="6">
        <f t="shared" si="2"/>
        <v>0.79739168186345344</v>
      </c>
      <c r="G41" s="1">
        <f t="shared" si="3"/>
        <v>2583.3462166580243</v>
      </c>
      <c r="H41" s="1">
        <v>100174</v>
      </c>
      <c r="I41" s="6">
        <f t="shared" si="4"/>
        <v>-5.0410899910448184E-2</v>
      </c>
      <c r="J41" s="1">
        <f t="shared" si="5"/>
        <v>2453.1174090960417</v>
      </c>
      <c r="K41" s="6">
        <f t="shared" si="6"/>
        <v>0.94144077851452823</v>
      </c>
      <c r="L41" s="6">
        <f>Corona!D41/(D41*(I$1-P$1))/4</f>
        <v>3.6629405757321902E-3</v>
      </c>
      <c r="M41" s="6">
        <f>(Corona!E41-Corona!D41)/((1-I$1+P$1)*D41)/4</f>
        <v>2.5838580818002752E-2</v>
      </c>
      <c r="N41">
        <v>0</v>
      </c>
      <c r="AD41" s="6">
        <f t="shared" si="8"/>
        <v>-0.51088433363590968</v>
      </c>
    </row>
    <row r="42" spans="1:30" x14ac:dyDescent="0.2">
      <c r="A42">
        <f t="shared" si="0"/>
        <v>41</v>
      </c>
      <c r="B42" s="2">
        <f t="shared" si="1"/>
        <v>44480</v>
      </c>
      <c r="C42" s="13">
        <f>VE!C42</f>
        <v>3069</v>
      </c>
      <c r="D42" s="13">
        <f>VE!D42</f>
        <v>2930.3581608203208</v>
      </c>
      <c r="E42" s="6">
        <f>verzamel!I42</f>
        <v>0.79906666044971331</v>
      </c>
      <c r="F42" s="6">
        <f t="shared" si="2"/>
        <v>0.79913421528913653</v>
      </c>
      <c r="G42" s="1">
        <f t="shared" si="3"/>
        <v>2608.0187631300855</v>
      </c>
      <c r="H42" s="1">
        <v>101282</v>
      </c>
      <c r="I42" s="6">
        <f t="shared" si="4"/>
        <v>-5.9694042240350978E-2</v>
      </c>
      <c r="J42" s="1">
        <f t="shared" si="5"/>
        <v>2452.3355809201703</v>
      </c>
      <c r="K42" s="6">
        <f t="shared" si="6"/>
        <v>0.91309043665967804</v>
      </c>
      <c r="L42" s="6">
        <f>Corona!D42/(D42*(I$1-P$1))/4</f>
        <v>6.0798342647083031E-3</v>
      </c>
      <c r="M42" s="6">
        <f>(Corona!E42-Corona!D42)/((1-I$1+P$1)*D42)/4</f>
        <v>2.6906661069745059E-2</v>
      </c>
      <c r="N42">
        <v>0</v>
      </c>
      <c r="AD42" s="6">
        <f t="shared" si="8"/>
        <v>-0.5084884960266407</v>
      </c>
    </row>
    <row r="43" spans="1:30" x14ac:dyDescent="0.2">
      <c r="A43">
        <f t="shared" si="0"/>
        <v>42</v>
      </c>
      <c r="B43" s="2">
        <f t="shared" si="1"/>
        <v>44487</v>
      </c>
      <c r="C43" s="13">
        <f>VE!C43</f>
        <v>3280</v>
      </c>
      <c r="D43" s="13">
        <f>VE!D43</f>
        <v>2958.9174163458524</v>
      </c>
      <c r="E43" s="6">
        <f>verzamel!I43</f>
        <v>0.8001225740690161</v>
      </c>
      <c r="F43" s="6">
        <f t="shared" si="2"/>
        <v>0.80111030408432771</v>
      </c>
      <c r="G43" s="1">
        <f t="shared" si="3"/>
        <v>2633.4365005478085</v>
      </c>
      <c r="H43" s="1">
        <v>104400</v>
      </c>
      <c r="I43" s="6">
        <f t="shared" si="4"/>
        <v>-3.4306722791897621E-3</v>
      </c>
      <c r="J43" s="1">
        <f t="shared" si="5"/>
        <v>2624.4020429463726</v>
      </c>
      <c r="K43" s="6">
        <f t="shared" si="6"/>
        <v>1.0142439240905177</v>
      </c>
      <c r="L43" s="6">
        <f>Corona!D43/(D43*(I$1-P$1))/4</f>
        <v>1.1848073579445291E-2</v>
      </c>
      <c r="M43" s="6">
        <f>(Corona!E43-Corona!D43)/((1-I$1+P$1)*D43)/4</f>
        <v>3.1846366752317327E-2</v>
      </c>
      <c r="N43">
        <v>0</v>
      </c>
      <c r="AD43" s="6">
        <f t="shared" si="8"/>
        <v>-0.50523900516627518</v>
      </c>
    </row>
    <row r="44" spans="1:30" x14ac:dyDescent="0.2">
      <c r="A44">
        <f t="shared" si="0"/>
        <v>43</v>
      </c>
      <c r="B44" s="2">
        <f t="shared" si="1"/>
        <v>44494</v>
      </c>
      <c r="C44" s="13">
        <f>VE!C44</f>
        <v>3391</v>
      </c>
      <c r="D44" s="13">
        <f>VE!D44</f>
        <v>2987.9000903154051</v>
      </c>
      <c r="E44" s="6">
        <f>verzamel!I44</f>
        <v>0.80512940774956521</v>
      </c>
      <c r="F44" s="6">
        <f t="shared" si="2"/>
        <v>0.80277430238156933</v>
      </c>
      <c r="G44" s="1">
        <f t="shared" si="3"/>
        <v>2659.2310803807104</v>
      </c>
      <c r="H44" s="1">
        <v>108874</v>
      </c>
      <c r="I44" s="6">
        <f t="shared" si="4"/>
        <v>2.6685436185525446E-2</v>
      </c>
      <c r="J44" s="1">
        <f t="shared" si="5"/>
        <v>2730.1938216787757</v>
      </c>
      <c r="K44" s="6">
        <f t="shared" si="6"/>
        <v>1.010552131010235</v>
      </c>
      <c r="L44" s="6">
        <f>Corona!D44/(D44*(I$1-P$1))/4</f>
        <v>1.9715534052811356E-2</v>
      </c>
      <c r="M44" s="6">
        <f>(Corona!E44-Corona!D44)/((1-I$1+P$1)*D44)/4</f>
        <v>6.0500426823223749E-2</v>
      </c>
      <c r="N44">
        <v>0</v>
      </c>
      <c r="AD44" s="6">
        <f t="shared" si="8"/>
        <v>-0.48935149685989465</v>
      </c>
    </row>
    <row r="45" spans="1:30" x14ac:dyDescent="0.2">
      <c r="A45">
        <f t="shared" si="0"/>
        <v>44</v>
      </c>
      <c r="B45" s="2">
        <f t="shared" si="1"/>
        <v>44501</v>
      </c>
      <c r="C45" s="13">
        <f>VE!C45</f>
        <v>3525</v>
      </c>
      <c r="D45" s="13">
        <f>VE!D45</f>
        <v>3016.8860855035264</v>
      </c>
      <c r="E45" s="6">
        <f>verzamel!I45</f>
        <v>0.80071581995813079</v>
      </c>
      <c r="F45" s="6">
        <f t="shared" si="2"/>
        <v>0.80019365954038302</v>
      </c>
      <c r="G45" s="1">
        <f t="shared" si="3"/>
        <v>2685.0286160981386</v>
      </c>
      <c r="H45" s="1">
        <v>120063</v>
      </c>
      <c r="I45" s="6">
        <f t="shared" si="4"/>
        <v>5.1207889714813645E-2</v>
      </c>
      <c r="J45" s="1">
        <f t="shared" si="5"/>
        <v>2822.5232653524108</v>
      </c>
      <c r="K45" s="6">
        <f t="shared" si="6"/>
        <v>1.1168025414834435</v>
      </c>
      <c r="L45" s="6">
        <f>Corona!D45/(D45*(I$1-P$1))/4</f>
        <v>2.6860305779525584E-2</v>
      </c>
      <c r="M45" s="6">
        <f>(Corona!E45-Corona!D45)/((1-I$1+P$1)*D45)/4</f>
        <v>8.0954587713578344E-2</v>
      </c>
      <c r="N45">
        <v>0</v>
      </c>
      <c r="AD45" s="6">
        <f t="shared" si="8"/>
        <v>-0.50339822958728453</v>
      </c>
    </row>
    <row r="46" spans="1:30" x14ac:dyDescent="0.2">
      <c r="A46">
        <f t="shared" si="0"/>
        <v>45</v>
      </c>
      <c r="B46" s="2">
        <f t="shared" si="1"/>
        <v>44508</v>
      </c>
      <c r="C46" s="13">
        <f>VE!C46</f>
        <v>3790</v>
      </c>
      <c r="D46" s="13">
        <f>VE!D46</f>
        <v>3045.4552078230749</v>
      </c>
      <c r="E46" s="6">
        <f>verzamel!I46</f>
        <v>0.79421359049570539</v>
      </c>
      <c r="F46" s="6">
        <f t="shared" si="2"/>
        <v>0.79680712883157889</v>
      </c>
      <c r="G46" s="1">
        <f t="shared" si="3"/>
        <v>2710.4551349625367</v>
      </c>
      <c r="H46" s="1">
        <v>117174</v>
      </c>
      <c r="I46" s="6">
        <f t="shared" si="4"/>
        <v>0.11054024438605135</v>
      </c>
      <c r="J46" s="1">
        <f t="shared" si="5"/>
        <v>3010.0695079787233</v>
      </c>
      <c r="K46" s="6">
        <f t="shared" si="6"/>
        <v>1.3281502160925336</v>
      </c>
      <c r="L46" s="6">
        <f>Corona!D46/(D46*(I$1-P$1))/4</f>
        <v>3.5666487353401492E-2</v>
      </c>
      <c r="M46" s="6">
        <f>(Corona!E46-Corona!D46)/((1-I$1+P$1)*D46)/4</f>
        <v>0.11429389018193191</v>
      </c>
      <c r="N46">
        <v>0</v>
      </c>
      <c r="AD46" s="6">
        <f t="shared" si="8"/>
        <v>-0.52299459171069562</v>
      </c>
    </row>
    <row r="47" spans="1:30" x14ac:dyDescent="0.2">
      <c r="A47">
        <f t="shared" si="0"/>
        <v>46</v>
      </c>
      <c r="B47" s="2">
        <f t="shared" si="1"/>
        <v>44515</v>
      </c>
      <c r="C47" s="13">
        <f>VE!C47</f>
        <v>4000</v>
      </c>
      <c r="D47" s="13">
        <f>VE!D47</f>
        <v>3073.1932940543174</v>
      </c>
      <c r="E47" s="6">
        <f>verzamel!I47</f>
        <v>0.798085514376774</v>
      </c>
      <c r="F47" s="6">
        <f t="shared" si="2"/>
        <v>0.79808758822241832</v>
      </c>
      <c r="G47" s="1">
        <f t="shared" si="3"/>
        <v>2735.1420317083425</v>
      </c>
      <c r="H47" s="1">
        <v>110107</v>
      </c>
      <c r="I47" s="6">
        <f t="shared" si="4"/>
        <v>0.16715769071531206</v>
      </c>
      <c r="J47" s="1">
        <f t="shared" si="5"/>
        <v>3192.3420575070959</v>
      </c>
      <c r="K47" s="6">
        <f t="shared" si="6"/>
        <v>1.389158191239988</v>
      </c>
      <c r="L47" s="6">
        <f>Corona!D47/(D47*(I$1-P$1))/4</f>
        <v>5.4512918519085803E-2</v>
      </c>
      <c r="M47" s="6">
        <f>(Corona!E47-Corona!D47)/((1-I$1+P$1)*D47)/4</f>
        <v>0.15268508171568196</v>
      </c>
      <c r="N47">
        <v>0</v>
      </c>
      <c r="AD47" s="6">
        <f t="shared" si="8"/>
        <v>-0.5114774337694441</v>
      </c>
    </row>
    <row r="48" spans="1:30" x14ac:dyDescent="0.2">
      <c r="A48">
        <f t="shared" si="0"/>
        <v>47</v>
      </c>
      <c r="B48" s="2">
        <f t="shared" si="1"/>
        <v>44522</v>
      </c>
      <c r="C48" s="13">
        <f>VE!C48</f>
        <v>4199</v>
      </c>
      <c r="D48" s="13">
        <f>VE!D48</f>
        <v>3099.6982523314864</v>
      </c>
      <c r="E48" s="6">
        <f>verzamel!I48</f>
        <v>0.80196573364042001</v>
      </c>
      <c r="F48" s="6">
        <f t="shared" si="2"/>
        <v>0.80066841508458442</v>
      </c>
      <c r="G48" s="1">
        <f t="shared" si="3"/>
        <v>2758.731444575023</v>
      </c>
      <c r="H48" s="1">
        <v>268399</v>
      </c>
      <c r="I48" s="6">
        <f t="shared" si="4"/>
        <v>0.22065310930432852</v>
      </c>
      <c r="J48" s="1">
        <f t="shared" si="5"/>
        <v>3367.4541155561237</v>
      </c>
      <c r="K48" s="6">
        <f t="shared" si="6"/>
        <v>1.4387883674525017</v>
      </c>
      <c r="L48" s="6">
        <f>Corona!D48/(D48*(I$1-P$1))/4</f>
        <v>6.823059396652062E-2</v>
      </c>
      <c r="M48" s="6">
        <f>(Corona!E48-Corona!D48)/((1-I$1+P$1)*D48)/4</f>
        <v>0.1799182572925706</v>
      </c>
      <c r="N48">
        <v>0</v>
      </c>
      <c r="AD48" s="6">
        <f t="shared" si="8"/>
        <v>-0.49948379055973913</v>
      </c>
    </row>
    <row r="49" spans="1:30" x14ac:dyDescent="0.2">
      <c r="A49">
        <f t="shared" si="0"/>
        <v>48</v>
      </c>
      <c r="B49" s="2">
        <f t="shared" si="1"/>
        <v>44529</v>
      </c>
      <c r="C49" s="13">
        <f>VE!C49</f>
        <v>4401</v>
      </c>
      <c r="D49" s="13">
        <f>VE!D49</f>
        <v>3124.5859272875182</v>
      </c>
      <c r="E49" s="6">
        <f>verzamel!I49</f>
        <v>0.80065667868072343</v>
      </c>
      <c r="F49" s="6">
        <f t="shared" si="2"/>
        <v>0.80130788359605365</v>
      </c>
      <c r="G49" s="1">
        <f t="shared" si="3"/>
        <v>2780.8814752858912</v>
      </c>
      <c r="H49" s="1">
        <v>397774</v>
      </c>
      <c r="I49" s="6">
        <f t="shared" si="4"/>
        <v>0.26711263108098027</v>
      </c>
      <c r="J49" s="1">
        <f t="shared" si="5"/>
        <v>3523.6900428738636</v>
      </c>
      <c r="K49" s="6">
        <f t="shared" si="6"/>
        <v>1.5525126369965763</v>
      </c>
      <c r="L49" s="6">
        <f>Corona!D49/(D49*(I$1-P$1))/4</f>
        <v>7.0354149740964531E-2</v>
      </c>
      <c r="M49" s="6">
        <f>(Corona!E49-Corona!D49)/((1-I$1+P$1)*D49)/4</f>
        <v>0.19387184249885703</v>
      </c>
      <c r="N49">
        <v>0</v>
      </c>
      <c r="AD49" s="6">
        <f t="shared" si="8"/>
        <v>-0.50358223002886549</v>
      </c>
    </row>
    <row r="50" spans="1:30" x14ac:dyDescent="0.2">
      <c r="A50">
        <f t="shared" si="0"/>
        <v>49</v>
      </c>
      <c r="B50" s="2">
        <f t="shared" si="1"/>
        <v>44536</v>
      </c>
      <c r="C50" s="13">
        <f>VE!C50</f>
        <v>4387</v>
      </c>
      <c r="D50" s="13">
        <f>VE!D50</f>
        <v>3147.4957043045929</v>
      </c>
      <c r="E50" s="6">
        <f>verzamel!I50</f>
        <v>0.8019524433823475</v>
      </c>
      <c r="F50" s="6">
        <f t="shared" si="2"/>
        <v>0.80340556299877841</v>
      </c>
      <c r="G50" s="1">
        <f t="shared" si="3"/>
        <v>2801.2711768310878</v>
      </c>
      <c r="H50" s="1">
        <v>606367</v>
      </c>
      <c r="I50" s="6">
        <f t="shared" si="4"/>
        <v>0.25591745569532842</v>
      </c>
      <c r="J50" s="1">
        <f t="shared" si="5"/>
        <v>3518.1653691183583</v>
      </c>
      <c r="K50" s="6">
        <f t="shared" si="6"/>
        <v>1.5094543047592985</v>
      </c>
      <c r="L50" s="6">
        <f>Corona!D50/(D50*(I$1-P$1))/4</f>
        <v>6.7742234092010023E-2</v>
      </c>
      <c r="M50" s="6">
        <f>(Corona!E50-Corona!D50)/((1-I$1+P$1)*D50)/4</f>
        <v>0.1912387286501685</v>
      </c>
      <c r="N50">
        <v>0</v>
      </c>
      <c r="AD50" s="6">
        <f t="shared" si="8"/>
        <v>-0.49952567244861901</v>
      </c>
    </row>
    <row r="51" spans="1:30" x14ac:dyDescent="0.2">
      <c r="A51">
        <f t="shared" si="0"/>
        <v>50</v>
      </c>
      <c r="B51" s="2">
        <f t="shared" si="1"/>
        <v>44543</v>
      </c>
      <c r="C51" s="13">
        <f>VE!C51</f>
        <v>4058</v>
      </c>
      <c r="D51" s="13">
        <f>VE!D51</f>
        <v>3168.0957711128763</v>
      </c>
      <c r="E51" s="6">
        <f>verzamel!I51</f>
        <v>0.80906068654969499</v>
      </c>
      <c r="F51" s="6">
        <f t="shared" si="2"/>
        <v>0.80982284064068866</v>
      </c>
      <c r="G51" s="1">
        <f>D51*I$1</f>
        <v>2819.6052362904597</v>
      </c>
      <c r="H51" s="1">
        <v>915733</v>
      </c>
      <c r="I51" s="6">
        <f t="shared" si="4"/>
        <v>0.1644070679688753</v>
      </c>
      <c r="J51" s="1">
        <f t="shared" si="5"/>
        <v>3283.1682660186621</v>
      </c>
      <c r="K51" s="6">
        <f t="shared" si="6"/>
        <v>1.2233939133416518</v>
      </c>
      <c r="L51" s="6">
        <f>Corona!D51/(D51*(I$1-P$1))/4</f>
        <v>4.7709866180674562E-2</v>
      </c>
      <c r="M51" s="6">
        <f>(Corona!E51-Corona!D51)/((1-I$1+P$1)*D51)/4</f>
        <v>0.1553954576741714</v>
      </c>
      <c r="N51">
        <v>0</v>
      </c>
      <c r="AD51" s="6">
        <f t="shared" si="8"/>
        <v>-0.47629294971900471</v>
      </c>
    </row>
    <row r="52" spans="1:30" x14ac:dyDescent="0.2">
      <c r="A52">
        <f t="shared" si="0"/>
        <v>51</v>
      </c>
      <c r="B52" s="2">
        <f t="shared" si="1"/>
        <v>44550</v>
      </c>
      <c r="C52" s="13">
        <f>VE!C52</f>
        <v>3770</v>
      </c>
      <c r="D52" s="13">
        <f>VE!D52</f>
        <v>3186.0879599673835</v>
      </c>
      <c r="E52" s="6">
        <f>verzamel!I52</f>
        <v>0.81921754608101716</v>
      </c>
      <c r="F52" s="6">
        <f t="shared" si="2"/>
        <v>0.81872990914711741</v>
      </c>
      <c r="G52" s="1">
        <f t="shared" ref="G52:G104" si="9">D52*I$1</f>
        <v>2835.6182843709712</v>
      </c>
      <c r="H52" s="1">
        <v>1294997</v>
      </c>
      <c r="I52" s="6">
        <f t="shared" si="4"/>
        <v>8.9162869963137339E-2</v>
      </c>
      <c r="J52" s="1">
        <f t="shared" si="5"/>
        <v>3088.4501487254347</v>
      </c>
      <c r="K52" s="6">
        <f t="shared" si="6"/>
        <v>0.94467567019810461</v>
      </c>
      <c r="L52" s="6">
        <f>Corona!D52/(D52*(I$1-P$1))/4</f>
        <v>3.4994091272578867E-2</v>
      </c>
      <c r="M52" s="6">
        <f>(Corona!E52-Corona!D52)/((1-I$1+P$1)*D52)/4</f>
        <v>0.1255458119882211</v>
      </c>
      <c r="N52">
        <v>0</v>
      </c>
      <c r="AD52" s="6">
        <f t="shared" si="8"/>
        <v>-0.43992569730037101</v>
      </c>
    </row>
    <row r="53" spans="1:30" x14ac:dyDescent="0.2">
      <c r="A53">
        <f t="shared" si="0"/>
        <v>52</v>
      </c>
      <c r="B53" s="2">
        <f t="shared" si="1"/>
        <v>44557</v>
      </c>
      <c r="C53" s="13">
        <f>VE!C53</f>
        <v>3685</v>
      </c>
      <c r="D53" s="13">
        <f>VE!D53</f>
        <v>3201.2120997405318</v>
      </c>
      <c r="E53" s="6">
        <f>verzamel!I53</f>
        <v>0.82742385787674033</v>
      </c>
      <c r="F53" s="6">
        <f t="shared" si="2"/>
        <v>0.82649657992198511</v>
      </c>
      <c r="G53" s="1">
        <f t="shared" si="9"/>
        <v>2849.0787687690736</v>
      </c>
      <c r="H53" s="1">
        <v>1626163</v>
      </c>
      <c r="I53" s="6">
        <f t="shared" si="4"/>
        <v>7.0190459350870676E-2</v>
      </c>
      <c r="J53" s="1">
        <f t="shared" si="5"/>
        <v>3049.0569162757879</v>
      </c>
      <c r="K53" s="6">
        <f t="shared" si="6"/>
        <v>0.8059724195087834</v>
      </c>
      <c r="L53" s="6">
        <f>Corona!D53/(D53*(I$1-P$1))/4</f>
        <v>2.423650932184104E-2</v>
      </c>
      <c r="M53" s="6">
        <f>(Corona!E53-Corona!D53)/((1-I$1+P$1)*D53)/4</f>
        <v>8.6505694810263406E-2</v>
      </c>
      <c r="N53">
        <v>0</v>
      </c>
      <c r="AD53" s="6">
        <f t="shared" si="8"/>
        <v>-0.4074159451217102</v>
      </c>
    </row>
    <row r="54" spans="1:30" x14ac:dyDescent="0.2">
      <c r="A54">
        <v>1</v>
      </c>
      <c r="B54" s="2">
        <f t="shared" si="1"/>
        <v>44564</v>
      </c>
      <c r="C54" s="13">
        <f>VE!C54</f>
        <v>3436</v>
      </c>
      <c r="D54" s="13">
        <f>VE!D54</f>
        <v>3255.2456579985728</v>
      </c>
      <c r="E54" s="6">
        <f>verzamel!I54</f>
        <v>0.83192105785344261</v>
      </c>
      <c r="F54" s="6">
        <f t="shared" si="2"/>
        <v>0.83231049518508038</v>
      </c>
      <c r="G54" s="1">
        <f t="shared" si="9"/>
        <v>2897.1686356187297</v>
      </c>
      <c r="H54" s="1">
        <v>1887225</v>
      </c>
      <c r="I54" s="6">
        <f t="shared" si="4"/>
        <v>-1.3353686201990272E-2</v>
      </c>
      <c r="J54" s="1">
        <f t="shared" si="5"/>
        <v>2858.4807547844289</v>
      </c>
      <c r="K54" s="6">
        <f t="shared" si="6"/>
        <v>0.61283525364815794</v>
      </c>
      <c r="L54" s="6">
        <f>Corona!D54/(D54*(I$1-P$1))/4</f>
        <v>1.4741899932870587E-2</v>
      </c>
      <c r="M54" s="6">
        <f>(Corona!E54-Corona!D54)/((1-I$1+P$1)*D54)/4</f>
        <v>7.6208356953757092E-2</v>
      </c>
      <c r="N54">
        <v>0</v>
      </c>
      <c r="AD54" s="6">
        <f t="shared" si="8"/>
        <v>-0.38825350477287635</v>
      </c>
    </row>
    <row r="55" spans="1:30" x14ac:dyDescent="0.2">
      <c r="A55">
        <f t="shared" ref="A55:A105" si="10">A54+1</f>
        <v>2</v>
      </c>
      <c r="B55" s="2">
        <f t="shared" si="1"/>
        <v>44571</v>
      </c>
      <c r="C55" s="13">
        <f>VE!C55</f>
        <v>3158</v>
      </c>
      <c r="D55" s="13">
        <f>VE!D55</f>
        <v>3264.1388443943338</v>
      </c>
      <c r="E55" s="6">
        <f>verzamel!I55</f>
        <v>0.83797600715669573</v>
      </c>
      <c r="F55" s="6">
        <f t="shared" si="2"/>
        <v>0.83885168522623244</v>
      </c>
      <c r="G55" s="1">
        <f t="shared" si="9"/>
        <v>2905.083571510957</v>
      </c>
      <c r="H55" s="1">
        <v>1134811</v>
      </c>
      <c r="I55" s="6">
        <f t="shared" ref="I55:I69" si="11">((C55*E55)-G55)/G55</f>
        <v>-8.9069844133788975E-2</v>
      </c>
      <c r="J55" s="1">
        <f t="shared" ref="J55:J69" si="12">C55*E55</f>
        <v>2646.328230600845</v>
      </c>
      <c r="K55" s="6">
        <f t="shared" ref="K55:K69" si="13">((C55*(1-E55))-D55*(1-I$1))/(D55-G55)</f>
        <v>0.42505014698767252</v>
      </c>
      <c r="L55" s="6">
        <f>Corona!D55/(D55*(I$1-P$1))/4</f>
        <v>1.1268396029957231E-2</v>
      </c>
      <c r="M55" s="6">
        <f>(Corona!E55-Corona!D55)/((1-I$1+P$1)*D55)/4</f>
        <v>5.7736985908302507E-2</v>
      </c>
      <c r="N55">
        <v>0</v>
      </c>
      <c r="AD55" s="6">
        <f t="shared" si="8"/>
        <v>-0.36077326275726407</v>
      </c>
    </row>
    <row r="56" spans="1:30" x14ac:dyDescent="0.2">
      <c r="A56">
        <f t="shared" si="10"/>
        <v>3</v>
      </c>
      <c r="B56" s="2">
        <f t="shared" si="1"/>
        <v>44578</v>
      </c>
      <c r="C56" s="13">
        <f>VE!C56</f>
        <v>3193</v>
      </c>
      <c r="D56" s="13">
        <f>VE!D56</f>
        <v>3269.6020932296215</v>
      </c>
      <c r="E56" s="6">
        <f>verzamel!I56</f>
        <v>0.84753366873809588</v>
      </c>
      <c r="F56" s="6">
        <f t="shared" si="2"/>
        <v>0.84617779790355652</v>
      </c>
      <c r="G56" s="1">
        <f t="shared" si="9"/>
        <v>2909.9458629743631</v>
      </c>
      <c r="H56" s="1">
        <v>469035</v>
      </c>
      <c r="I56" s="6">
        <f t="shared" si="11"/>
        <v>-7.0025652808998001E-2</v>
      </c>
      <c r="J56" s="1">
        <f t="shared" si="12"/>
        <v>2706.1750042807403</v>
      </c>
      <c r="K56" s="6">
        <f t="shared" si="13"/>
        <v>0.35358421394159134</v>
      </c>
      <c r="L56" s="6">
        <f>Corona!D56/(D56*(I$1-P$1))/4</f>
        <v>8.8766117950086799E-3</v>
      </c>
      <c r="M56" s="6">
        <f>(Corona!E56-Corona!D56)/((1-I$1+P$1)*D56)/4</f>
        <v>4.5877142148460712E-2</v>
      </c>
      <c r="N56">
        <v>0</v>
      </c>
      <c r="AD56" s="6">
        <f>((verzamel!F55/verzamel!E55/verzamel!H55)-1)/(1-verzamel!H55)</f>
        <v>-0.56072325970238091</v>
      </c>
    </row>
    <row r="57" spans="1:30" x14ac:dyDescent="0.2">
      <c r="A57">
        <f t="shared" si="10"/>
        <v>4</v>
      </c>
      <c r="B57" s="2">
        <f t="shared" si="1"/>
        <v>44585</v>
      </c>
      <c r="C57" s="13">
        <f>VE!C57</f>
        <v>3203</v>
      </c>
      <c r="D57" s="13">
        <f>VE!D57</f>
        <v>3271.5578888592486</v>
      </c>
      <c r="E57" s="6">
        <f>verzamel!I57</f>
        <v>0.85166784698133835</v>
      </c>
      <c r="F57" s="6">
        <f t="shared" si="2"/>
        <v>0.84982727077071485</v>
      </c>
      <c r="G57" s="1">
        <f t="shared" si="9"/>
        <v>2911.6865210847313</v>
      </c>
      <c r="H57" s="1">
        <v>288519</v>
      </c>
      <c r="I57" s="6">
        <f t="shared" si="11"/>
        <v>-6.312300650244218E-2</v>
      </c>
      <c r="J57" s="1">
        <f t="shared" si="12"/>
        <v>2727.8921138812266</v>
      </c>
      <c r="K57" s="6">
        <f t="shared" si="13"/>
        <v>0.3202158567292831</v>
      </c>
      <c r="L57" s="6">
        <f>Corona!D57/(D57*(I$1-P$1))/4</f>
        <v>1.0364495182090391E-2</v>
      </c>
      <c r="M57" s="6">
        <f>(Corona!E57-Corona!D57)/((1-I$1+P$1)*D57)/4</f>
        <v>3.9971547260265167E-2</v>
      </c>
      <c r="N57">
        <v>0</v>
      </c>
      <c r="AD57" s="6">
        <f>((verzamel!F56/verzamel!E56/verzamel!H56)-1)/(1-verzamel!H56)</f>
        <v>-0.43620687981380313</v>
      </c>
    </row>
    <row r="58" spans="1:30" x14ac:dyDescent="0.2">
      <c r="A58">
        <f t="shared" si="10"/>
        <v>5</v>
      </c>
      <c r="B58" s="2">
        <f t="shared" si="1"/>
        <v>44592</v>
      </c>
      <c r="C58" s="13">
        <f>VE!C58</f>
        <v>3287</v>
      </c>
      <c r="D58" s="13">
        <f>VE!D58</f>
        <v>3269.979856272108</v>
      </c>
      <c r="E58" s="6">
        <f>verzamel!I58</f>
        <v>0.84843972038208704</v>
      </c>
      <c r="F58" s="6">
        <f t="shared" si="2"/>
        <v>0.8484268921824667</v>
      </c>
      <c r="G58" s="1">
        <f t="shared" si="9"/>
        <v>2910.282072082176</v>
      </c>
      <c r="H58" s="1">
        <v>220642</v>
      </c>
      <c r="I58" s="6">
        <f t="shared" si="11"/>
        <v>-4.1735030549583933E-2</v>
      </c>
      <c r="J58" s="1">
        <f t="shared" si="12"/>
        <v>2788.82136089592</v>
      </c>
      <c r="K58" s="6">
        <f t="shared" si="13"/>
        <v>0.38499223793112319</v>
      </c>
      <c r="L58" s="6">
        <f>Corona!D58/(D58*(I$1-P$1))/4</f>
        <v>1.300580966901373E-2</v>
      </c>
      <c r="M58" s="6">
        <f>(Corona!E58-Corona!D58)/((1-I$1+P$1)*D58)/4</f>
        <v>5.3517149246144341E-2</v>
      </c>
      <c r="N58">
        <v>0</v>
      </c>
      <c r="AD58" s="6">
        <f>((verzamel!F57/verzamel!E57/verzamel!H57)-1)/(1-verzamel!H57)</f>
        <v>-0.34921992251966055</v>
      </c>
    </row>
    <row r="59" spans="1:30" x14ac:dyDescent="0.2">
      <c r="A59">
        <f t="shared" si="10"/>
        <v>6</v>
      </c>
      <c r="B59" s="2">
        <f t="shared" si="1"/>
        <v>44599</v>
      </c>
      <c r="C59" s="13">
        <f>VE!C59</f>
        <v>3256</v>
      </c>
      <c r="D59" s="13">
        <f>VE!D59</f>
        <v>3264.8931516299822</v>
      </c>
      <c r="E59" s="6">
        <f>verzamel!I59</f>
        <v>0.84516028098435458</v>
      </c>
      <c r="F59" s="6">
        <f t="shared" si="2"/>
        <v>0.84625976314651241</v>
      </c>
      <c r="G59" s="1">
        <f t="shared" si="9"/>
        <v>2905.7549049506842</v>
      </c>
      <c r="H59" s="1">
        <v>134939</v>
      </c>
      <c r="I59" s="6">
        <f t="shared" si="11"/>
        <v>-5.2968345610772648E-2</v>
      </c>
      <c r="J59" s="1">
        <f t="shared" si="12"/>
        <v>2751.8418748850586</v>
      </c>
      <c r="K59" s="6">
        <f t="shared" si="13"/>
        <v>0.40379959465899729</v>
      </c>
      <c r="L59" s="6">
        <f>Corona!D59/(D59*(I$1-P$1))/4</f>
        <v>1.34661427493974E-2</v>
      </c>
      <c r="M59" s="6">
        <f>(Corona!E59-Corona!D59)/((1-I$1+P$1)*D59)/4</f>
        <v>7.1271033043190782E-2</v>
      </c>
      <c r="N59">
        <v>0</v>
      </c>
      <c r="AD59" s="6">
        <f>((verzamel!F58/verzamel!E58/verzamel!H58)-1)/(1-verzamel!H58)</f>
        <v>-0.48179438214721826</v>
      </c>
    </row>
    <row r="60" spans="1:30" x14ac:dyDescent="0.2">
      <c r="A60">
        <f t="shared" si="10"/>
        <v>7</v>
      </c>
      <c r="B60" s="2">
        <f t="shared" si="1"/>
        <v>44606</v>
      </c>
      <c r="C60" s="13">
        <f>VE!C60</f>
        <v>3378</v>
      </c>
      <c r="D60" s="13">
        <f>VE!D60</f>
        <v>3256.3741013658141</v>
      </c>
      <c r="E60" s="6">
        <f>verzamel!I60</f>
        <v>0.84627877023525344</v>
      </c>
      <c r="F60" s="6">
        <f t="shared" si="2"/>
        <v>0.84767277182480649</v>
      </c>
      <c r="G60" s="1">
        <f t="shared" si="9"/>
        <v>2898.1729502155745</v>
      </c>
      <c r="H60" s="1">
        <v>72749</v>
      </c>
      <c r="I60" s="6">
        <f t="shared" si="11"/>
        <v>-1.3609699986315345E-2</v>
      </c>
      <c r="J60" s="1">
        <f t="shared" si="12"/>
        <v>2858.7296858546861</v>
      </c>
      <c r="K60" s="6">
        <f t="shared" si="13"/>
        <v>0.44966120984775215</v>
      </c>
      <c r="L60" s="6">
        <f>Corona!D60/(D60*(I$1-P$1))/4</f>
        <v>1.5707478224293341E-2</v>
      </c>
      <c r="M60" s="6">
        <f>(Corona!E60-Corona!D60)/((1-I$1+P$1)*D60)/4</f>
        <v>6.6733024383330966E-2</v>
      </c>
      <c r="N60">
        <v>0</v>
      </c>
      <c r="AD60" s="6">
        <f>((verzamel!F59/verzamel!E59/verzamel!H59)-1)/(1-verzamel!H59)</f>
        <v>-0.44058725157598705</v>
      </c>
    </row>
    <row r="61" spans="1:30" x14ac:dyDescent="0.2">
      <c r="A61">
        <f t="shared" si="10"/>
        <v>8</v>
      </c>
      <c r="B61" s="2">
        <f t="shared" si="1"/>
        <v>44613</v>
      </c>
      <c r="C61" s="13">
        <f>VE!C61</f>
        <v>3353</v>
      </c>
      <c r="D61" s="13">
        <f>VE!D61</f>
        <v>3244.5490950176968</v>
      </c>
      <c r="E61" s="6">
        <f>verzamel!I61</f>
        <v>0.8529732658443645</v>
      </c>
      <c r="F61" s="6">
        <f t="shared" si="2"/>
        <v>0.85223755780653931</v>
      </c>
      <c r="G61" s="1">
        <f t="shared" si="9"/>
        <v>2887.6486945657502</v>
      </c>
      <c r="H61" s="1">
        <v>57933</v>
      </c>
      <c r="I61" s="6">
        <f t="shared" si="11"/>
        <v>-9.5681078663037104E-3</v>
      </c>
      <c r="J61" s="1">
        <f t="shared" si="12"/>
        <v>2860.0193603761541</v>
      </c>
      <c r="K61" s="6">
        <f t="shared" si="13"/>
        <v>0.38128351495145268</v>
      </c>
      <c r="L61" s="6">
        <f>Corona!D61/(D61*(I$1-P$1))/4</f>
        <v>1.319631501948022E-2</v>
      </c>
      <c r="M61" s="6">
        <f>(Corona!E61-Corona!D61)/((1-I$1+P$1)*D61)/4</f>
        <v>6.104913726874666E-2</v>
      </c>
      <c r="N61">
        <v>0</v>
      </c>
      <c r="AD61" s="6">
        <f>((verzamel!F60/verzamel!E60/verzamel!H60)-1)/(1-verzamel!H60)</f>
        <v>-0.52750069402874955</v>
      </c>
    </row>
    <row r="62" spans="1:30" x14ac:dyDescent="0.2">
      <c r="A62">
        <f t="shared" si="10"/>
        <v>9</v>
      </c>
      <c r="B62" s="2">
        <f t="shared" si="1"/>
        <v>44620</v>
      </c>
      <c r="C62" s="13">
        <f>VE!C62</f>
        <v>3234</v>
      </c>
      <c r="D62" s="13">
        <f>VE!D62</f>
        <v>3229.592747858338</v>
      </c>
      <c r="E62" s="6">
        <f>verzamel!I62</f>
        <v>0.85672492930217503</v>
      </c>
      <c r="F62" s="6">
        <f t="shared" si="2"/>
        <v>0.8556061815333853</v>
      </c>
      <c r="G62" s="1">
        <f t="shared" si="9"/>
        <v>2874.3375455939208</v>
      </c>
      <c r="H62" s="1">
        <v>85689</v>
      </c>
      <c r="I62" s="6">
        <f t="shared" si="11"/>
        <v>-3.6074094495141068E-2</v>
      </c>
      <c r="J62" s="1">
        <f t="shared" si="12"/>
        <v>2770.6484213632339</v>
      </c>
      <c r="K62" s="6">
        <f t="shared" si="13"/>
        <v>0.30427809553058266</v>
      </c>
      <c r="L62" s="6">
        <f>Corona!D62/(D62*(I$1-P$1))/4</f>
        <v>1.3524355647784021E-2</v>
      </c>
      <c r="M62" s="6">
        <f>(Corona!E62-Corona!D62)/((1-I$1+P$1)*D62)/4</f>
        <v>4.9422759176441511E-2</v>
      </c>
      <c r="N62">
        <v>0</v>
      </c>
      <c r="AD62" s="6">
        <f>((verzamel!F61/verzamel!E61/verzamel!H61)-1)/(1-verzamel!H61)</f>
        <v>-0.35031653238948746</v>
      </c>
    </row>
    <row r="63" spans="1:30" x14ac:dyDescent="0.2">
      <c r="A63">
        <f t="shared" si="10"/>
        <v>10</v>
      </c>
      <c r="B63" s="2">
        <f t="shared" si="1"/>
        <v>44627</v>
      </c>
      <c r="C63" s="13">
        <f>VE!C63</f>
        <v>3389</v>
      </c>
      <c r="D63" s="13">
        <f>VE!D63</f>
        <v>3211.7253600302292</v>
      </c>
      <c r="E63" s="6">
        <f>verzamel!I63</f>
        <v>0.85600160168482686</v>
      </c>
      <c r="F63" s="6">
        <f t="shared" si="2"/>
        <v>0.85641189360137737</v>
      </c>
      <c r="G63" s="1">
        <f t="shared" si="9"/>
        <v>2858.4355704269042</v>
      </c>
      <c r="H63" s="1">
        <v>190818</v>
      </c>
      <c r="I63" s="6">
        <f t="shared" si="11"/>
        <v>1.4887114519295827E-2</v>
      </c>
      <c r="J63" s="1">
        <f t="shared" si="12"/>
        <v>2900.9894281098782</v>
      </c>
      <c r="K63" s="6">
        <f t="shared" si="13"/>
        <v>0.38133222711604975</v>
      </c>
      <c r="L63" s="6">
        <f>Corona!D63/(D63*(I$1-P$1))/4</f>
        <v>2.0220448966103668E-2</v>
      </c>
      <c r="M63" s="6">
        <f>(Corona!E63-Corona!D63)/((1-I$1+P$1)*D63)/4</f>
        <v>5.2691544344618695E-2</v>
      </c>
      <c r="N63">
        <v>0</v>
      </c>
      <c r="AD63" s="6">
        <f>((verzamel!F62/verzamel!E62/verzamel!H62)-1)/(1-verzamel!H62)</f>
        <v>-0.34397359520541004</v>
      </c>
    </row>
    <row r="64" spans="1:30" x14ac:dyDescent="0.2">
      <c r="A64">
        <f t="shared" si="10"/>
        <v>11</v>
      </c>
      <c r="B64" s="2">
        <f t="shared" si="1"/>
        <v>44634</v>
      </c>
      <c r="C64" s="13">
        <f>VE!C64</f>
        <v>3607</v>
      </c>
      <c r="D64" s="13">
        <f>VE!D64</f>
        <v>3191.209709159064</v>
      </c>
      <c r="E64" s="6">
        <f>verzamel!I64</f>
        <v>0.85691944173368051</v>
      </c>
      <c r="F64" s="6">
        <f t="shared" si="2"/>
        <v>0.85704904585700548</v>
      </c>
      <c r="G64" s="1">
        <f t="shared" si="9"/>
        <v>2840.1766411515669</v>
      </c>
      <c r="H64" s="1">
        <v>295418</v>
      </c>
      <c r="I64" s="6">
        <f t="shared" si="11"/>
        <v>8.8280349027924587E-2</v>
      </c>
      <c r="J64" s="1">
        <f t="shared" si="12"/>
        <v>3090.9084263333857</v>
      </c>
      <c r="K64" s="6">
        <f t="shared" si="13"/>
        <v>0.47020785419450056</v>
      </c>
      <c r="L64" s="6">
        <f>Corona!D64/(D64*(I$1-P$1))/4</f>
        <v>2.6293491692566527E-2</v>
      </c>
      <c r="M64" s="6">
        <f>(Corona!E64-Corona!D64)/((1-I$1+P$1)*D64)/4</f>
        <v>7.1108794972573247E-2</v>
      </c>
      <c r="N64">
        <v>0</v>
      </c>
      <c r="AD64" s="6">
        <f>((verzamel!F63/verzamel!E63/verzamel!H63)-1)/(1-verzamel!H63)</f>
        <v>-0.38076485502961305</v>
      </c>
    </row>
    <row r="65" spans="1:32" x14ac:dyDescent="0.2">
      <c r="A65">
        <f t="shared" si="10"/>
        <v>12</v>
      </c>
      <c r="B65" s="2">
        <f t="shared" si="1"/>
        <v>44641</v>
      </c>
      <c r="C65" s="13">
        <f>VE!C65</f>
        <v>3631</v>
      </c>
      <c r="D65" s="13">
        <f>VE!D65</f>
        <v>3168.3472231421515</v>
      </c>
      <c r="E65" s="6">
        <f>verzamel!I65</f>
        <v>0.85835569827583424</v>
      </c>
      <c r="F65" s="6">
        <f t="shared" si="2"/>
        <v>0.85914190983088012</v>
      </c>
      <c r="G65" s="1">
        <f t="shared" si="9"/>
        <v>2819.8290285965149</v>
      </c>
      <c r="H65" s="1">
        <v>349558</v>
      </c>
      <c r="I65" s="6">
        <f t="shared" si="11"/>
        <v>0.10527606774471449</v>
      </c>
      <c r="J65" s="1">
        <f t="shared" si="12"/>
        <v>3116.6895404395541</v>
      </c>
      <c r="K65" s="6">
        <f t="shared" si="13"/>
        <v>0.47570619729323682</v>
      </c>
      <c r="L65" s="6">
        <f>Corona!D65/(D65*(I$1-P$1))/4</f>
        <v>2.6211135069070773E-2</v>
      </c>
      <c r="M65" s="6">
        <f>(Corona!E65-Corona!D65)/((1-I$1+P$1)*D65)/4</f>
        <v>6.0696533165002869E-2</v>
      </c>
      <c r="N65">
        <v>0</v>
      </c>
      <c r="AD65" s="6">
        <f>((verzamel!F64/verzamel!E64/verzamel!H64)-1)/(1-verzamel!H64)</f>
        <v>-0.34427450564824075</v>
      </c>
    </row>
    <row r="66" spans="1:32" x14ac:dyDescent="0.2">
      <c r="A66">
        <f t="shared" si="10"/>
        <v>13</v>
      </c>
      <c r="B66" s="2">
        <f t="shared" si="1"/>
        <v>44648</v>
      </c>
      <c r="C66" s="13">
        <f>VE!C66</f>
        <v>3568</v>
      </c>
      <c r="D66" s="13">
        <f>VE!D66</f>
        <v>3143.4735888529626</v>
      </c>
      <c r="E66" s="6">
        <f>verzamel!I66</f>
        <v>0.8629368010381715</v>
      </c>
      <c r="F66" s="6">
        <f t="shared" si="2"/>
        <v>0.86384991863129024</v>
      </c>
      <c r="G66" s="1">
        <f t="shared" si="9"/>
        <v>2797.6914940791366</v>
      </c>
      <c r="H66" s="1">
        <v>383544</v>
      </c>
      <c r="I66" s="6">
        <f t="shared" si="11"/>
        <v>0.10053539234769646</v>
      </c>
      <c r="J66" s="1">
        <f t="shared" si="12"/>
        <v>3078.9585061041957</v>
      </c>
      <c r="K66" s="6">
        <f t="shared" si="13"/>
        <v>0.41430542901790024</v>
      </c>
      <c r="L66" s="6">
        <f>Corona!D66/(D66*(I$1-P$1))/4</f>
        <v>2.4041783876178512E-2</v>
      </c>
      <c r="M66" s="6">
        <f>(Corona!E66-Corona!D66)/((1-I$1+P$1)*D66)/4</f>
        <v>4.8941449481779017E-2</v>
      </c>
      <c r="N66">
        <v>0</v>
      </c>
      <c r="AD66" s="6">
        <f>((verzamel!F65/verzamel!E65/verzamel!H65)-1)/(1-verzamel!H65)</f>
        <v>-0.3439943494780513</v>
      </c>
      <c r="AE66" s="6">
        <f t="shared" ref="AE66:AE79" si="14">0.5*AD66+0.25*(AD65+AD67)</f>
        <v>-0.33899423792755479</v>
      </c>
      <c r="AF66" s="6">
        <f t="shared" ref="AF66:AF73" si="15">$I66-$K66</f>
        <v>-0.31377003667020376</v>
      </c>
    </row>
    <row r="67" spans="1:32" x14ac:dyDescent="0.2">
      <c r="A67">
        <f t="shared" si="10"/>
        <v>14</v>
      </c>
      <c r="B67" s="2">
        <f t="shared" si="1"/>
        <v>44655</v>
      </c>
      <c r="C67" s="13">
        <f>VE!C67</f>
        <v>3575</v>
      </c>
      <c r="D67" s="13">
        <f>VE!D67</f>
        <v>3116.953860735533</v>
      </c>
      <c r="E67" s="6">
        <f>verzamel!I67</f>
        <v>0.87117037417298371</v>
      </c>
      <c r="F67" s="6">
        <f t="shared" si="2"/>
        <v>0.87071985254682016</v>
      </c>
      <c r="G67" s="1">
        <f t="shared" si="9"/>
        <v>2774.0889360546244</v>
      </c>
      <c r="H67" s="1">
        <v>320757</v>
      </c>
      <c r="I67" s="6">
        <f t="shared" si="11"/>
        <v>0.12268718107424469</v>
      </c>
      <c r="J67" s="1">
        <f t="shared" si="12"/>
        <v>3114.4340876684169</v>
      </c>
      <c r="K67" s="6">
        <f t="shared" si="13"/>
        <v>0.34328675573978445</v>
      </c>
      <c r="L67" s="6">
        <f>Corona!D67/(D67*(I$1-P$1))/4</f>
        <v>2.0374298101240043E-2</v>
      </c>
      <c r="M67" s="6">
        <f>(Corona!E67-Corona!D67)/((1-I$1+P$1)*D67)/4</f>
        <v>4.380509549995118E-2</v>
      </c>
      <c r="N67">
        <v>0</v>
      </c>
      <c r="AD67" s="6">
        <f>((verzamel!F66/verzamel!E66/verzamel!H66)-1)/(1-verzamel!H66)</f>
        <v>-0.32371374710587592</v>
      </c>
      <c r="AE67" s="6">
        <f t="shared" si="14"/>
        <v>-0.29201046178466772</v>
      </c>
      <c r="AF67" s="6">
        <f t="shared" si="15"/>
        <v>-0.22059957466553975</v>
      </c>
    </row>
    <row r="68" spans="1:32" x14ac:dyDescent="0.2">
      <c r="A68">
        <f t="shared" si="10"/>
        <v>15</v>
      </c>
      <c r="B68" s="2">
        <f t="shared" ref="B68:B105" si="16">B67+7</f>
        <v>44662</v>
      </c>
      <c r="C68" s="13">
        <f>VE!C68</f>
        <v>3516</v>
      </c>
      <c r="D68" s="13">
        <f>VE!D68</f>
        <v>3089.1771405629629</v>
      </c>
      <c r="E68" s="6">
        <f>verzamel!I68</f>
        <v>0.87760186080314162</v>
      </c>
      <c r="F68" s="6">
        <f t="shared" si="2"/>
        <v>0.87727100842115946</v>
      </c>
      <c r="G68" s="1">
        <f t="shared" si="9"/>
        <v>2749.3676551010371</v>
      </c>
      <c r="H68" s="1">
        <v>235594</v>
      </c>
      <c r="I68" s="6">
        <f t="shared" si="11"/>
        <v>0.1223119384775227</v>
      </c>
      <c r="J68" s="1">
        <f t="shared" si="12"/>
        <v>3085.648142583846</v>
      </c>
      <c r="K68" s="6">
        <f t="shared" si="13"/>
        <v>0.26645039596569209</v>
      </c>
      <c r="L68" s="6">
        <f>Corona!D68/(D68*(I$1-P$1))/4</f>
        <v>1.6743662010139188E-2</v>
      </c>
      <c r="M68" s="6">
        <f>(Corona!E68-Corona!D68)/((1-I$1+P$1)*D68)/4</f>
        <v>2.9258476051050916E-2</v>
      </c>
      <c r="N68">
        <v>0</v>
      </c>
      <c r="AD68" s="6">
        <f>((verzamel!F67/verzamel!E67/verzamel!H67)-1)/(1-verzamel!H67)</f>
        <v>-0.1766200034488678</v>
      </c>
      <c r="AE68" s="6">
        <f t="shared" si="14"/>
        <v>-0.20711111604477617</v>
      </c>
      <c r="AF68" s="6">
        <f t="shared" si="15"/>
        <v>-0.14413845748816939</v>
      </c>
    </row>
    <row r="69" spans="1:32" x14ac:dyDescent="0.2">
      <c r="A69">
        <f t="shared" si="10"/>
        <v>16</v>
      </c>
      <c r="B69" s="2">
        <f t="shared" si="16"/>
        <v>44669</v>
      </c>
      <c r="C69" s="13">
        <f>VE!C69</f>
        <v>3235</v>
      </c>
      <c r="D69" s="13">
        <f>VE!D69</f>
        <v>3060.5509058963103</v>
      </c>
      <c r="E69" s="6">
        <f>verzamel!I69</f>
        <v>0.88270993790537067</v>
      </c>
      <c r="F69" s="6">
        <f t="shared" ref="F69:F85" si="17">0.5*E69+0.25*(E68+E70)</f>
        <v>0.88301691096163581</v>
      </c>
      <c r="G69" s="1">
        <f t="shared" si="9"/>
        <v>2723.8903062477161</v>
      </c>
      <c r="H69" s="1">
        <v>180870</v>
      </c>
      <c r="I69" s="6">
        <f t="shared" si="11"/>
        <v>4.8341279593431222E-2</v>
      </c>
      <c r="J69" s="1">
        <f t="shared" si="12"/>
        <v>2855.566649123874</v>
      </c>
      <c r="K69" s="6">
        <f t="shared" si="13"/>
        <v>0.12705006547299541</v>
      </c>
      <c r="L69" s="6">
        <f>Corona!D69/(D69*(I$1-P$1))/4</f>
        <v>1.3238545159060018E-2</v>
      </c>
      <c r="M69" s="6">
        <f>(Corona!E69-Corona!D69)/((1-I$1+P$1)*D69)/4</f>
        <v>1.7593614843137047E-2</v>
      </c>
      <c r="N69">
        <v>0</v>
      </c>
      <c r="AD69" s="6">
        <f>((verzamel!F68/verzamel!E68/verzamel!H68)-1)/(1-verzamel!H68)</f>
        <v>-0.1514907101754932</v>
      </c>
      <c r="AE69" s="6">
        <f t="shared" si="14"/>
        <v>-0.14082438041493461</v>
      </c>
      <c r="AF69" s="6">
        <f t="shared" si="15"/>
        <v>-7.8708785879564189E-2</v>
      </c>
    </row>
    <row r="70" spans="1:32" x14ac:dyDescent="0.2">
      <c r="A70">
        <f t="shared" si="10"/>
        <v>17</v>
      </c>
      <c r="B70" s="2">
        <f t="shared" si="16"/>
        <v>44676</v>
      </c>
      <c r="C70" s="13">
        <f>VE!C70</f>
        <v>3142</v>
      </c>
      <c r="D70" s="13">
        <f>VE!D70</f>
        <v>3031.4950699121268</v>
      </c>
      <c r="E70" s="6">
        <f>verzamel!I70</f>
        <v>0.88904590723266019</v>
      </c>
      <c r="F70" s="6">
        <f t="shared" si="17"/>
        <v>0.88760241707900256</v>
      </c>
      <c r="G70" s="1">
        <f t="shared" si="9"/>
        <v>2698.030612221793</v>
      </c>
      <c r="H70" s="1">
        <v>110041</v>
      </c>
      <c r="I70" s="6">
        <f>((C70*E70)-G70)/G70</f>
        <v>3.5341195860155418E-2</v>
      </c>
      <c r="J70" s="1">
        <f t="shared" ref="J70" si="18">C70*E70</f>
        <v>2793.3822405250185</v>
      </c>
      <c r="K70" s="6">
        <f>((C70*(1-E70))-D70*(1-I$1))/(D70-G70)</f>
        <v>4.5442029683174207E-2</v>
      </c>
      <c r="L70" s="6">
        <f>Corona!D70/(D70*(I$1-P$1))/4</f>
        <v>8.625917141311501E-3</v>
      </c>
      <c r="M70" s="6">
        <f>(Corona!E70-Corona!D70)/((1-I$1+P$1)*D70)/4</f>
        <v>1.5224780212221824E-2</v>
      </c>
      <c r="N70">
        <v>0</v>
      </c>
      <c r="AD70" s="6">
        <f>((verzamel!F69/verzamel!E69/verzamel!H69)-1)/(1-verzamel!H69)</f>
        <v>-8.3696097859884272E-2</v>
      </c>
      <c r="AE70" s="6">
        <f t="shared" si="14"/>
        <v>-8.8287012901716089E-2</v>
      </c>
      <c r="AF70" s="6">
        <f t="shared" si="15"/>
        <v>-1.0100833823018789E-2</v>
      </c>
    </row>
    <row r="71" spans="1:32" x14ac:dyDescent="0.2">
      <c r="A71">
        <f t="shared" si="10"/>
        <v>18</v>
      </c>
      <c r="B71" s="2">
        <f t="shared" si="16"/>
        <v>44683</v>
      </c>
      <c r="C71" s="13">
        <f>VE!C71</f>
        <v>3129</v>
      </c>
      <c r="D71" s="13">
        <f>VE!D71</f>
        <v>3002.4358591939672</v>
      </c>
      <c r="E71" s="6">
        <f>verzamel!I71</f>
        <v>0.88960791594531918</v>
      </c>
      <c r="F71" s="6">
        <f t="shared" si="17"/>
        <v>0.8879947075809137</v>
      </c>
      <c r="G71" s="1">
        <f t="shared" si="9"/>
        <v>2672.1679146826309</v>
      </c>
      <c r="H71" s="1">
        <v>84547</v>
      </c>
      <c r="I71" s="6">
        <f t="shared" ref="I71:I102" si="19">((C71*E71)-G71)/G71</f>
        <v>4.1694705522839631E-2</v>
      </c>
      <c r="J71" s="1">
        <f t="shared" ref="J71:J102" si="20">C71*E71</f>
        <v>2783.5831689929037</v>
      </c>
      <c r="K71" s="6">
        <f t="shared" ref="K71:K102" si="21">((C71*(1-E71))-D71*(1-I$1))/(D71-G71)</f>
        <v>4.586847360610246E-2</v>
      </c>
      <c r="L71" s="6">
        <f>Corona!D71/(D71*(I$1-P$1))/4</f>
        <v>5.9338792865356628E-3</v>
      </c>
      <c r="M71" s="6">
        <f>(Corona!E71-Corona!D71)/((1-I$1+P$1)*D71)/4</f>
        <v>5.764550225009212E-3</v>
      </c>
      <c r="N71">
        <v>0</v>
      </c>
      <c r="AD71" s="6">
        <f>((verzamel!F70/verzamel!E70/verzamel!H70)-1)/(1-verzamel!H70)</f>
        <v>-3.4265145711602593E-2</v>
      </c>
      <c r="AE71" s="6">
        <f t="shared" si="14"/>
        <v>-2.3091703246624427E-2</v>
      </c>
      <c r="AF71" s="6">
        <f t="shared" si="15"/>
        <v>-4.1737680832628285E-3</v>
      </c>
    </row>
    <row r="72" spans="1:32" x14ac:dyDescent="0.2">
      <c r="A72">
        <f t="shared" si="10"/>
        <v>19</v>
      </c>
      <c r="B72" s="2">
        <f t="shared" si="16"/>
        <v>44690</v>
      </c>
      <c r="C72" s="13">
        <f>VE!C72</f>
        <v>3128</v>
      </c>
      <c r="D72" s="13">
        <f>VE!D72</f>
        <v>2973.799598747828</v>
      </c>
      <c r="E72" s="6">
        <f>verzamel!I72</f>
        <v>0.88371709120035624</v>
      </c>
      <c r="F72" s="6">
        <f t="shared" si="17"/>
        <v>0.88523113900985484</v>
      </c>
      <c r="G72" s="1">
        <f t="shared" si="9"/>
        <v>2646.6816428855668</v>
      </c>
      <c r="H72" s="1">
        <v>65697</v>
      </c>
      <c r="I72" s="6">
        <f t="shared" si="19"/>
        <v>4.4427488551644974E-2</v>
      </c>
      <c r="J72" s="1">
        <f t="shared" si="20"/>
        <v>2764.2670612747143</v>
      </c>
      <c r="K72" s="6">
        <f t="shared" si="21"/>
        <v>0.11193204838453449</v>
      </c>
      <c r="L72" s="6">
        <f>Corona!D72/(D72*(I$1-P$1))/4</f>
        <v>4.3483207436719896E-3</v>
      </c>
      <c r="M72" s="6">
        <f>(Corona!E72-Corona!D72)/((1-I$1+P$1)*D72)/4</f>
        <v>1.034677346186566E-2</v>
      </c>
      <c r="N72">
        <v>0</v>
      </c>
      <c r="AD72" s="6">
        <f>((verzamel!F71/verzamel!E71/verzamel!H71)-1)/(1-verzamel!H71)</f>
        <v>5.9859576296591742E-2</v>
      </c>
      <c r="AE72" s="6">
        <f t="shared" si="14"/>
        <v>-1.7394968868168704E-2</v>
      </c>
      <c r="AF72" s="6">
        <f t="shared" si="15"/>
        <v>-6.7504559832889527E-2</v>
      </c>
    </row>
    <row r="73" spans="1:32" x14ac:dyDescent="0.2">
      <c r="A73">
        <f t="shared" si="10"/>
        <v>20</v>
      </c>
      <c r="B73" s="2">
        <f t="shared" si="16"/>
        <v>44697</v>
      </c>
      <c r="C73" s="13">
        <f>VE!C73</f>
        <v>3058</v>
      </c>
      <c r="D73" s="13">
        <f>VE!D73</f>
        <v>2946.0064948647537</v>
      </c>
      <c r="E73" s="6">
        <f>verzamel!I73</f>
        <v>0.88388245769338769</v>
      </c>
      <c r="F73" s="6">
        <f t="shared" si="17"/>
        <v>0.8849919983868233</v>
      </c>
      <c r="G73" s="1">
        <f t="shared" si="9"/>
        <v>2621.9457804296308</v>
      </c>
      <c r="H73" s="1">
        <v>71612</v>
      </c>
      <c r="I73" s="6">
        <f t="shared" si="19"/>
        <v>3.088041552998148E-2</v>
      </c>
      <c r="J73" s="1">
        <f t="shared" si="20"/>
        <v>2702.9125556263793</v>
      </c>
      <c r="K73" s="6">
        <f t="shared" si="21"/>
        <v>9.5743570745935425E-2</v>
      </c>
      <c r="L73" s="6">
        <f>Corona!D73/(D73*(I$1-P$1))/4</f>
        <v>4.1942615743105205E-3</v>
      </c>
      <c r="M73" s="6">
        <f>(Corona!E73-Corona!D73)/((1-I$1+P$1)*D73)/4</f>
        <v>6.5277416272811334E-3</v>
      </c>
      <c r="N73">
        <v>0</v>
      </c>
      <c r="AD73" s="6">
        <f>((verzamel!F72/verzamel!E72/verzamel!H72)-1)/(1-verzamel!H72)</f>
        <v>-0.15503388235425569</v>
      </c>
      <c r="AE73" s="6">
        <f t="shared" si="14"/>
        <v>-7.8241073846673337E-2</v>
      </c>
      <c r="AF73" s="6">
        <f t="shared" si="15"/>
        <v>-6.4863155215953941E-2</v>
      </c>
    </row>
    <row r="74" spans="1:32" x14ac:dyDescent="0.2">
      <c r="A74">
        <f t="shared" si="10"/>
        <v>21</v>
      </c>
      <c r="B74" s="2">
        <f t="shared" si="16"/>
        <v>44704</v>
      </c>
      <c r="C74" s="13">
        <f>VE!C74</f>
        <v>2923</v>
      </c>
      <c r="D74" s="13">
        <f>VE!D74</f>
        <v>2919.4645064957085</v>
      </c>
      <c r="E74" s="6">
        <f>verzamel!I74</f>
        <v>0.88848598696016134</v>
      </c>
      <c r="F74" s="6">
        <f t="shared" si="17"/>
        <v>0.88781354201814033</v>
      </c>
      <c r="G74" s="1">
        <f t="shared" si="9"/>
        <v>2598.3234107811804</v>
      </c>
      <c r="H74" s="1">
        <v>51904</v>
      </c>
      <c r="I74" s="6">
        <f t="shared" si="19"/>
        <v>-4.9219080708823011E-4</v>
      </c>
      <c r="J74" s="1">
        <f t="shared" si="20"/>
        <v>2597.0445398845518</v>
      </c>
      <c r="K74" s="6">
        <f t="shared" si="21"/>
        <v>1.4991430449624192E-2</v>
      </c>
      <c r="L74" s="6">
        <f>Corona!D74/(D74*(I$1-P$1))/4</f>
        <v>3.149687991887252E-3</v>
      </c>
      <c r="M74" s="6">
        <f>(Corona!E74-Corona!D74)/((1-I$1+P$1)*D74)/4</f>
        <v>6.587087867648821E-3</v>
      </c>
      <c r="N74">
        <v>0</v>
      </c>
      <c r="AD74" s="6">
        <f>((verzamel!F73/verzamel!E73/verzamel!H73)-1)/(1-verzamel!H73)</f>
        <v>-6.2756106974773726E-2</v>
      </c>
      <c r="AE74" s="6">
        <f t="shared" si="14"/>
        <v>-7.6558597931296463E-2</v>
      </c>
      <c r="AF74" s="6">
        <f>$I74-$K74</f>
        <v>-1.5483621256712422E-2</v>
      </c>
    </row>
    <row r="75" spans="1:32" x14ac:dyDescent="0.2">
      <c r="A75">
        <f t="shared" si="10"/>
        <v>22</v>
      </c>
      <c r="B75" s="2">
        <f t="shared" si="16"/>
        <v>44711</v>
      </c>
      <c r="C75" s="13">
        <f>VE!C75</f>
        <v>2966</v>
      </c>
      <c r="D75" s="13">
        <f>VE!D75</f>
        <v>2894.563394523484</v>
      </c>
      <c r="E75" s="6">
        <f>verzamel!I75</f>
        <v>0.89039973645885118</v>
      </c>
      <c r="F75" s="6">
        <f t="shared" si="17"/>
        <v>0.88997473736848065</v>
      </c>
      <c r="G75" s="1">
        <f t="shared" si="9"/>
        <v>2576.1614211259007</v>
      </c>
      <c r="H75" s="1">
        <v>47909</v>
      </c>
      <c r="I75" s="6">
        <f t="shared" si="19"/>
        <v>2.513980555719483E-2</v>
      </c>
      <c r="J75" s="1">
        <f t="shared" si="20"/>
        <v>2640.9256183369525</v>
      </c>
      <c r="K75" s="6">
        <f t="shared" si="21"/>
        <v>2.0955926228297769E-2</v>
      </c>
      <c r="L75" s="6">
        <f>Corona!D75/(D75*(I$1-P$1))/4</f>
        <v>2.5811368933745687E-3</v>
      </c>
      <c r="M75" s="6">
        <f>(Corona!E75-Corona!D75)/((1-I$1+P$1)*D75)/4</f>
        <v>1.9931264176649781E-3</v>
      </c>
      <c r="N75">
        <v>0</v>
      </c>
      <c r="AD75" s="6">
        <f>((verzamel!F74/verzamel!E74/verzamel!H74)-1)/(1-verzamel!H74)</f>
        <v>-2.5688295421382734E-2</v>
      </c>
      <c r="AE75" s="6">
        <f t="shared" si="14"/>
        <v>-2.9208250754303316E-2</v>
      </c>
      <c r="AF75" s="6">
        <f t="shared" ref="AF75:AF105" si="22">$I75-$K75</f>
        <v>4.1838793288970604E-3</v>
      </c>
    </row>
    <row r="76" spans="1:32" x14ac:dyDescent="0.2">
      <c r="A76">
        <f t="shared" si="10"/>
        <v>23</v>
      </c>
      <c r="B76" s="2">
        <f t="shared" si="16"/>
        <v>44718</v>
      </c>
      <c r="C76" s="13">
        <f>VE!C76</f>
        <v>2943</v>
      </c>
      <c r="D76" s="13">
        <f>VE!D76</f>
        <v>2871.6690357324496</v>
      </c>
      <c r="E76" s="6">
        <f>verzamel!I76</f>
        <v>0.89061348959605902</v>
      </c>
      <c r="F76" s="6">
        <f t="shared" si="17"/>
        <v>0.89062445570347171</v>
      </c>
      <c r="G76" s="1">
        <f t="shared" si="9"/>
        <v>2555.7854418018801</v>
      </c>
      <c r="H76" s="1">
        <v>44750</v>
      </c>
      <c r="I76" s="6">
        <f t="shared" si="19"/>
        <v>2.5545985594663541E-2</v>
      </c>
      <c r="J76" s="1">
        <f t="shared" si="20"/>
        <v>2621.0754998812017</v>
      </c>
      <c r="K76" s="6">
        <f t="shared" si="21"/>
        <v>1.9123836452097268E-2</v>
      </c>
      <c r="L76" s="6">
        <f>Corona!D76/(D76*(I$1-P$1))/4</f>
        <v>2.2014511428011126E-3</v>
      </c>
      <c r="M76" s="6">
        <f>(Corona!E76-Corona!D76)/((1-I$1+P$1)*D76)/4</f>
        <v>4.6877054054750966E-3</v>
      </c>
      <c r="N76">
        <v>0</v>
      </c>
      <c r="AD76" s="6">
        <f>((verzamel!F75/verzamel!E75/verzamel!H75)-1)/(1-verzamel!H75)</f>
        <v>-2.7003051996740742E-3</v>
      </c>
      <c r="AE76" s="6">
        <f t="shared" si="14"/>
        <v>-9.8167359400086994E-3</v>
      </c>
      <c r="AF76" s="6">
        <f t="shared" si="22"/>
        <v>6.4221491425662733E-3</v>
      </c>
    </row>
    <row r="77" spans="1:32" x14ac:dyDescent="0.2">
      <c r="A77">
        <f t="shared" si="10"/>
        <v>24</v>
      </c>
      <c r="B77" s="2">
        <f t="shared" si="16"/>
        <v>44725</v>
      </c>
      <c r="C77" s="13">
        <f>VE!C77</f>
        <v>3014</v>
      </c>
      <c r="D77" s="13">
        <f>VE!D77</f>
        <v>2851.1180844268156</v>
      </c>
      <c r="E77" s="6">
        <f>verzamel!I77</f>
        <v>0.8908711071629174</v>
      </c>
      <c r="F77" s="6">
        <f t="shared" si="17"/>
        <v>0.89064206850538996</v>
      </c>
      <c r="G77" s="1">
        <f t="shared" si="9"/>
        <v>2537.495095139866</v>
      </c>
      <c r="H77" s="1">
        <v>75114</v>
      </c>
      <c r="I77" s="6">
        <f t="shared" si="19"/>
        <v>5.8163825471761847E-2</v>
      </c>
      <c r="J77" s="1">
        <f t="shared" si="20"/>
        <v>2685.0855169890328</v>
      </c>
      <c r="K77" s="6">
        <f t="shared" si="21"/>
        <v>4.8757566397743674E-2</v>
      </c>
      <c r="L77" s="6">
        <f>Corona!D77/(D77*(I$1-P$1))/4</f>
        <v>6.2488088625079546E-3</v>
      </c>
      <c r="M77" s="6">
        <f>(Corona!E77-Corona!D77)/((1-I$1+P$1)*D77)/4</f>
        <v>7.4194914161539874E-3</v>
      </c>
      <c r="N77">
        <v>0</v>
      </c>
      <c r="AD77" s="6">
        <f>((verzamel!F76/verzamel!E76/verzamel!H76)-1)/(1-verzamel!H76)</f>
        <v>-8.1780379393039081E-3</v>
      </c>
      <c r="AE77" s="6">
        <f t="shared" si="14"/>
        <v>-7.8638188748304597E-3</v>
      </c>
      <c r="AF77" s="6">
        <f t="shared" si="22"/>
        <v>9.4062590740181737E-3</v>
      </c>
    </row>
    <row r="78" spans="1:32" x14ac:dyDescent="0.2">
      <c r="A78">
        <f t="shared" si="10"/>
        <v>25</v>
      </c>
      <c r="B78" s="2">
        <f t="shared" si="16"/>
        <v>44732</v>
      </c>
      <c r="C78" s="13">
        <f>VE!C78</f>
        <v>3136</v>
      </c>
      <c r="D78" s="13">
        <f>VE!D78</f>
        <v>2833.2130595878893</v>
      </c>
      <c r="E78" s="6">
        <f>verzamel!I78</f>
        <v>0.89021257009966615</v>
      </c>
      <c r="F78" s="6">
        <f t="shared" si="17"/>
        <v>0.88998158982981657</v>
      </c>
      <c r="G78" s="1">
        <f t="shared" si="9"/>
        <v>2521.5596230332217</v>
      </c>
      <c r="H78" s="1">
        <v>104049</v>
      </c>
      <c r="I78" s="6">
        <f t="shared" si="19"/>
        <v>0.10713488363775724</v>
      </c>
      <c r="J78" s="1">
        <f t="shared" si="20"/>
        <v>2791.7066198325529</v>
      </c>
      <c r="K78" s="6">
        <f t="shared" si="21"/>
        <v>0.10473153761310681</v>
      </c>
      <c r="L78" s="6">
        <f>Corona!D78/(D78*(I$1-P$1))/4</f>
        <v>6.1868752061779581E-3</v>
      </c>
      <c r="M78" s="6">
        <f>(Corona!E78-Corona!D78)/((1-I$1+P$1)*D78)/4</f>
        <v>5.4300947585118036E-3</v>
      </c>
      <c r="N78">
        <v>0</v>
      </c>
      <c r="AD78" s="6">
        <f>((verzamel!F77/verzamel!E77/verzamel!H77)-1)/(1-verzamel!H77)</f>
        <v>-1.2398894421039945E-2</v>
      </c>
      <c r="AE78" s="6">
        <f t="shared" si="14"/>
        <v>-5.2584957210547491E-3</v>
      </c>
      <c r="AF78" s="6">
        <f t="shared" si="22"/>
        <v>2.4033460246504212E-3</v>
      </c>
    </row>
    <row r="79" spans="1:32" x14ac:dyDescent="0.2">
      <c r="A79">
        <f t="shared" si="10"/>
        <v>26</v>
      </c>
      <c r="B79" s="2">
        <f t="shared" si="16"/>
        <v>44739</v>
      </c>
      <c r="C79" s="13">
        <f>VE!C79</f>
        <v>3103</v>
      </c>
      <c r="D79" s="13">
        <f>VE!D79</f>
        <v>2818.2179292640631</v>
      </c>
      <c r="E79" s="6">
        <f>verzamel!I79</f>
        <v>0.88863011195701658</v>
      </c>
      <c r="F79" s="6">
        <f t="shared" si="17"/>
        <v>0.88937200264652982</v>
      </c>
      <c r="G79" s="1">
        <f t="shared" si="9"/>
        <v>2508.2139570450163</v>
      </c>
      <c r="H79" s="1">
        <v>95079</v>
      </c>
      <c r="I79" s="6">
        <f t="shared" si="19"/>
        <v>9.9355670857999914E-2</v>
      </c>
      <c r="J79" s="1">
        <f t="shared" si="20"/>
        <v>2757.4192374026225</v>
      </c>
      <c r="K79" s="6">
        <f t="shared" si="21"/>
        <v>0.1147623694098743</v>
      </c>
      <c r="L79" s="6">
        <f>Corona!D79/(D79*(I$1-P$1))/4</f>
        <v>1.2541552311902539E-2</v>
      </c>
      <c r="M79" s="6">
        <f>(Corona!E79-Corona!D79)/((1-I$1+P$1)*D79)/4</f>
        <v>1.9788828319531028E-2</v>
      </c>
      <c r="N79">
        <v>0</v>
      </c>
      <c r="AD79" s="6">
        <f>((verzamel!F78/verzamel!E78/verzamel!H78)-1)/(1-verzamel!H78)</f>
        <v>1.1941843897164803E-2</v>
      </c>
      <c r="AE79" s="6">
        <f t="shared" si="14"/>
        <v>-1.207267650403953E-2</v>
      </c>
      <c r="AF79" s="6">
        <f t="shared" si="22"/>
        <v>-1.540669855187439E-2</v>
      </c>
    </row>
    <row r="80" spans="1:32" x14ac:dyDescent="0.2">
      <c r="A80">
        <f t="shared" si="10"/>
        <v>27</v>
      </c>
      <c r="B80" s="2">
        <f t="shared" si="16"/>
        <v>44746</v>
      </c>
      <c r="C80" s="13">
        <f>VE!C80</f>
        <v>2976</v>
      </c>
      <c r="D80" s="13">
        <f>VE!D80</f>
        <v>2806.3542566443457</v>
      </c>
      <c r="E80" s="6">
        <f>verzamel!I80</f>
        <v>0.89001521657242011</v>
      </c>
      <c r="F80" s="6">
        <f t="shared" si="17"/>
        <v>0.88987684779742748</v>
      </c>
      <c r="G80" s="1">
        <f t="shared" si="9"/>
        <v>2497.6552884134676</v>
      </c>
      <c r="H80" s="1">
        <v>85743</v>
      </c>
      <c r="I80" s="6">
        <f t="shared" si="19"/>
        <v>6.0468711117453736E-2</v>
      </c>
      <c r="J80" s="1">
        <f t="shared" si="20"/>
        <v>2648.6852845195222</v>
      </c>
      <c r="K80" s="6">
        <f t="shared" si="21"/>
        <v>6.0303885550005751E-2</v>
      </c>
      <c r="L80" s="6">
        <f>Corona!D80/(D80*(I$1-P$1))/4</f>
        <v>8.7035652389545418E-3</v>
      </c>
      <c r="M80" s="6">
        <f>(Corona!E80-Corona!D80)/((1-I$1+P$1)*D80)/4</f>
        <v>1.37051615527429E-2</v>
      </c>
      <c r="N80">
        <v>0</v>
      </c>
      <c r="P80" s="6">
        <f>AVERAGE(L80:L88)</f>
        <v>1.0909931426307848E-2</v>
      </c>
      <c r="Q80" s="6">
        <f>AVERAGE(M80:M88)</f>
        <v>1.4958420864537037E-2</v>
      </c>
      <c r="R80" s="6">
        <f>Q80/P80</f>
        <v>1.3710829408576113</v>
      </c>
      <c r="AD80" s="6">
        <f>((verzamel!F79/verzamel!E79/verzamel!H79)-1)/(1-verzamel!H79)</f>
        <v>-5.9775499389447775E-2</v>
      </c>
      <c r="AE80" s="6">
        <f t="shared" ref="AE80:AE100" si="23">0.5*AD80+0.25*(AD79+AD81)</f>
        <v>-2.8501658722851968E-2</v>
      </c>
      <c r="AF80" s="6">
        <f t="shared" si="22"/>
        <v>1.6482556744798482E-4</v>
      </c>
    </row>
    <row r="81" spans="1:32" x14ac:dyDescent="0.2">
      <c r="A81">
        <f t="shared" si="10"/>
        <v>28</v>
      </c>
      <c r="B81" s="2">
        <f t="shared" si="16"/>
        <v>44753</v>
      </c>
      <c r="C81" s="13">
        <f>VE!C81</f>
        <v>3090</v>
      </c>
      <c r="D81" s="13">
        <f>VE!D81</f>
        <v>2797.7979640825852</v>
      </c>
      <c r="E81" s="6">
        <f>verzamel!I81</f>
        <v>0.89084684608785347</v>
      </c>
      <c r="F81" s="6">
        <f t="shared" si="17"/>
        <v>0.8901686125042676</v>
      </c>
      <c r="G81" s="1">
        <f t="shared" si="9"/>
        <v>2490.0401880335007</v>
      </c>
      <c r="H81" s="1">
        <v>122877</v>
      </c>
      <c r="I81" s="6">
        <f t="shared" si="19"/>
        <v>0.10549089433990795</v>
      </c>
      <c r="J81" s="1">
        <f t="shared" si="20"/>
        <v>2752.7167544114673</v>
      </c>
      <c r="K81" s="6">
        <f t="shared" si="21"/>
        <v>9.5937363203259671E-2</v>
      </c>
      <c r="L81" s="6">
        <f>Corona!D81/(D81*(I$1-P$1))/4</f>
        <v>1.3454752145858799E-2</v>
      </c>
      <c r="M81" s="6">
        <f>(Corona!E81-Corona!D81)/((1-I$1+P$1)*D81)/4</f>
        <v>1.7183843756455014E-2</v>
      </c>
      <c r="N81">
        <v>0</v>
      </c>
      <c r="AD81" s="6">
        <f>((verzamel!F80/verzamel!E80/verzamel!H80)-1)/(1-verzamel!H80)</f>
        <v>-6.3974800096771285E-3</v>
      </c>
      <c r="AE81" s="6">
        <f t="shared" si="23"/>
        <v>-1.4351166358370767E-2</v>
      </c>
      <c r="AF81" s="6">
        <f t="shared" si="22"/>
        <v>9.55353113664828E-3</v>
      </c>
    </row>
    <row r="82" spans="1:32" x14ac:dyDescent="0.2">
      <c r="A82">
        <f t="shared" si="10"/>
        <v>29</v>
      </c>
      <c r="B82" s="2">
        <f t="shared" si="16"/>
        <v>44760</v>
      </c>
      <c r="C82" s="13">
        <f>VE!C82</f>
        <v>3190</v>
      </c>
      <c r="D82" s="13">
        <f>VE!D82</f>
        <v>2792.6767623343544</v>
      </c>
      <c r="E82" s="6">
        <f>verzamel!I82</f>
        <v>0.88896554126894367</v>
      </c>
      <c r="F82" s="6">
        <f t="shared" si="17"/>
        <v>0.88921955454503909</v>
      </c>
      <c r="G82" s="1">
        <f t="shared" si="9"/>
        <v>2485.4823184775755</v>
      </c>
      <c r="H82" s="1">
        <v>92671</v>
      </c>
      <c r="I82" s="6">
        <f t="shared" si="19"/>
        <v>0.14094558451131284</v>
      </c>
      <c r="J82" s="1">
        <f t="shared" si="20"/>
        <v>2835.8000766479304</v>
      </c>
      <c r="K82" s="6">
        <f t="shared" si="21"/>
        <v>0.15301539606362727</v>
      </c>
      <c r="L82" s="6">
        <f>Corona!D82/(D82*(I$1-P$1))/4</f>
        <v>1.5228663841723954E-2</v>
      </c>
      <c r="M82" s="6">
        <f>(Corona!E82-Corona!D82)/((1-I$1+P$1)*D82)/4</f>
        <v>2.4790111825509064E-2</v>
      </c>
      <c r="N82">
        <v>0</v>
      </c>
      <c r="AD82" s="6">
        <f>((verzamel!F81/verzamel!E81/verzamel!H81)-1)/(1-verzamel!H81)</f>
        <v>1.5165793975318958E-2</v>
      </c>
      <c r="AE82" s="6">
        <f t="shared" si="23"/>
        <v>-5.8477527540302578E-3</v>
      </c>
      <c r="AF82" s="6">
        <f t="shared" si="22"/>
        <v>-1.206981155231443E-2</v>
      </c>
    </row>
    <row r="83" spans="1:32" x14ac:dyDescent="0.2">
      <c r="A83">
        <f t="shared" si="10"/>
        <v>30</v>
      </c>
      <c r="B83" s="2">
        <f t="shared" si="16"/>
        <v>44767</v>
      </c>
      <c r="C83" s="13">
        <f>VE!C83</f>
        <v>3135</v>
      </c>
      <c r="D83" s="13">
        <f>VE!D83</f>
        <v>2791.0682825730287</v>
      </c>
      <c r="E83" s="6">
        <f>verzamel!I83</f>
        <v>0.88810028955441556</v>
      </c>
      <c r="F83" s="6">
        <f t="shared" si="17"/>
        <v>0.88835703409174882</v>
      </c>
      <c r="G83" s="1">
        <f t="shared" si="9"/>
        <v>2484.0507714899954</v>
      </c>
      <c r="H83" s="1">
        <v>86613</v>
      </c>
      <c r="I83" s="6">
        <f t="shared" si="19"/>
        <v>0.12082830178348726</v>
      </c>
      <c r="J83" s="1">
        <f t="shared" si="20"/>
        <v>2784.1944077530929</v>
      </c>
      <c r="K83" s="6">
        <f t="shared" si="21"/>
        <v>0.14262405101717979</v>
      </c>
      <c r="L83" s="6">
        <f>Corona!D83/(D83*(I$1-P$1))/4</f>
        <v>1.5340395726381767E-2</v>
      </c>
      <c r="M83" s="6">
        <f>(Corona!E83-Corona!D83)/((1-I$1+P$1)*D83)/4</f>
        <v>2.3426376127329517E-2</v>
      </c>
      <c r="N83">
        <v>0</v>
      </c>
      <c r="AD83" s="6">
        <f>((verzamel!F82/verzamel!E82/verzamel!H82)-1)/(1-verzamel!H82)</f>
        <v>-4.7325118957081816E-2</v>
      </c>
      <c r="AE83" s="6">
        <f t="shared" si="23"/>
        <v>-2.529619684404591E-2</v>
      </c>
      <c r="AF83" s="6">
        <f t="shared" si="22"/>
        <v>-2.1795749233692527E-2</v>
      </c>
    </row>
    <row r="84" spans="1:32" x14ac:dyDescent="0.2">
      <c r="A84">
        <f t="shared" si="10"/>
        <v>31</v>
      </c>
      <c r="B84" s="2">
        <f t="shared" si="16"/>
        <v>44774</v>
      </c>
      <c r="C84" s="13">
        <f>VE!C84</f>
        <v>2963</v>
      </c>
      <c r="D84" s="13">
        <f>VE!D84</f>
        <v>2792.998938507209</v>
      </c>
      <c r="E84" s="6">
        <f>verzamel!I84</f>
        <v>0.88826201598922028</v>
      </c>
      <c r="F84" s="6">
        <f t="shared" si="17"/>
        <v>0.88837957879632323</v>
      </c>
      <c r="G84" s="1">
        <f t="shared" si="9"/>
        <v>2485.7690552714162</v>
      </c>
      <c r="H84" s="1">
        <v>57962</v>
      </c>
      <c r="I84" s="6">
        <f t="shared" si="19"/>
        <v>5.8795203759862372E-2</v>
      </c>
      <c r="J84" s="1">
        <f t="shared" si="20"/>
        <v>2631.9203533760597</v>
      </c>
      <c r="K84" s="6">
        <f t="shared" si="21"/>
        <v>7.7628397136886448E-2</v>
      </c>
      <c r="L84" s="6">
        <f>Corona!D84/(D84*(I$1-P$1))/4</f>
        <v>1.2860563509230401E-2</v>
      </c>
      <c r="M84" s="6">
        <f>(Corona!E84-Corona!D84)/((1-I$1+P$1)*D84)/4</f>
        <v>1.4459230480839353E-2</v>
      </c>
      <c r="N84">
        <v>0</v>
      </c>
      <c r="AD84" s="6">
        <f>((verzamel!F83/verzamel!E83/verzamel!H83)-1)/(1-verzamel!H83)</f>
        <v>-2.1700343437338957E-2</v>
      </c>
      <c r="AE84" s="6">
        <f t="shared" si="23"/>
        <v>-3.4272725874158916E-2</v>
      </c>
      <c r="AF84" s="6">
        <f t="shared" si="22"/>
        <v>-1.8833193377024077E-2</v>
      </c>
    </row>
    <row r="85" spans="1:32" x14ac:dyDescent="0.2">
      <c r="A85">
        <f t="shared" si="10"/>
        <v>32</v>
      </c>
      <c r="B85" s="2">
        <f t="shared" si="16"/>
        <v>44781</v>
      </c>
      <c r="C85" s="13">
        <f>VE!C85</f>
        <v>2987</v>
      </c>
      <c r="D85" s="13">
        <f>VE!D85</f>
        <v>2798.44353527762</v>
      </c>
      <c r="E85" s="6">
        <f>verzamel!I85</f>
        <v>0.88889399365243671</v>
      </c>
      <c r="F85" s="6">
        <f t="shared" si="17"/>
        <v>0.88843466422175932</v>
      </c>
      <c r="G85" s="1">
        <f t="shared" si="9"/>
        <v>2490.6147463970819</v>
      </c>
      <c r="H85" s="1">
        <v>33588</v>
      </c>
      <c r="I85" s="6">
        <f t="shared" si="19"/>
        <v>6.6052613267759963E-2</v>
      </c>
      <c r="J85" s="1">
        <f t="shared" si="20"/>
        <v>2655.1263590398285</v>
      </c>
      <c r="K85" s="6">
        <f t="shared" si="21"/>
        <v>7.8111121987893953E-2</v>
      </c>
      <c r="L85" s="6">
        <f>Corona!D85/(D85*(I$1-P$1))/4</f>
        <v>1.1192592841560579E-2</v>
      </c>
      <c r="M85" s="6">
        <f>(Corona!E85-Corona!D85)/((1-I$1+P$1)*D85)/4</f>
        <v>1.5118294071098768E-2</v>
      </c>
      <c r="N85">
        <v>0</v>
      </c>
      <c r="AD85" s="6">
        <f>((verzamel!F84/verzamel!E84/verzamel!H84)-1)/(1-verzamel!H84)</f>
        <v>-4.6365097664875926E-2</v>
      </c>
      <c r="AE85" s="6">
        <f t="shared" si="23"/>
        <v>-3.2683035788203849E-2</v>
      </c>
      <c r="AF85" s="6">
        <f t="shared" si="22"/>
        <v>-1.205850872013399E-2</v>
      </c>
    </row>
    <row r="86" spans="1:32" x14ac:dyDescent="0.2">
      <c r="A86">
        <f t="shared" si="10"/>
        <v>33</v>
      </c>
      <c r="B86" s="2">
        <f t="shared" si="16"/>
        <v>44788</v>
      </c>
      <c r="C86" s="13">
        <f>VE!C86</f>
        <v>3079</v>
      </c>
      <c r="D86" s="13">
        <f>VE!D86</f>
        <v>2807.3256309231301</v>
      </c>
      <c r="E86" s="6">
        <f>verzamel!I86</f>
        <v>0.8876886535929438</v>
      </c>
      <c r="F86" s="6">
        <f>0.5*E86+0.25*(E85+E87)</f>
        <v>0.8880419226116163</v>
      </c>
      <c r="G86" s="1">
        <f t="shared" si="9"/>
        <v>2498.5198115215858</v>
      </c>
      <c r="H86" s="1">
        <v>25873</v>
      </c>
      <c r="I86" s="6">
        <f t="shared" si="19"/>
        <v>9.3925031856430669E-2</v>
      </c>
      <c r="J86" s="1">
        <f t="shared" si="20"/>
        <v>2733.1933644126739</v>
      </c>
      <c r="K86" s="6">
        <f t="shared" si="21"/>
        <v>0.11981903792321048</v>
      </c>
      <c r="L86" s="6">
        <f>Corona!D86/(D86*(I$1-P$1))/4</f>
        <v>8.5981942274881394E-3</v>
      </c>
      <c r="M86" s="6">
        <f>(Corona!E86-Corona!D86)/((1-I$1+P$1)*D86)/4</f>
        <v>1.1645356467449599E-2</v>
      </c>
      <c r="N86">
        <v>0</v>
      </c>
      <c r="AD86" s="6">
        <f>((verzamel!F85/verzamel!E85/verzamel!H85)-1)/(1-verzamel!H85)</f>
        <v>-1.6301604385724595E-2</v>
      </c>
      <c r="AE86" s="6">
        <f t="shared" si="23"/>
        <v>-2.6222598972925861E-2</v>
      </c>
      <c r="AF86" s="6">
        <f t="shared" si="22"/>
        <v>-2.5894006066779815E-2</v>
      </c>
    </row>
    <row r="87" spans="1:32" x14ac:dyDescent="0.2">
      <c r="A87">
        <f t="shared" si="10"/>
        <v>34</v>
      </c>
      <c r="B87" s="2">
        <f t="shared" si="16"/>
        <v>44795</v>
      </c>
      <c r="C87" s="13">
        <f>VE!C87</f>
        <v>3044</v>
      </c>
      <c r="D87" s="13">
        <f>VE!D87</f>
        <v>2819.518645231416</v>
      </c>
      <c r="E87" s="6">
        <f>verzamel!I87</f>
        <v>0.88789638960814077</v>
      </c>
      <c r="F87" s="6">
        <f t="shared" ref="F87:F103" si="24">0.5*E87+0.25*(E86+E88)</f>
        <v>0.88902216820805402</v>
      </c>
      <c r="G87" s="1">
        <f t="shared" si="9"/>
        <v>2509.3715942559602</v>
      </c>
      <c r="H87" s="1">
        <v>17034</v>
      </c>
      <c r="I87" s="6">
        <f t="shared" si="19"/>
        <v>7.7065117081059356E-2</v>
      </c>
      <c r="J87" s="1">
        <f t="shared" si="20"/>
        <v>2702.7566099671803</v>
      </c>
      <c r="K87" s="6">
        <f t="shared" si="21"/>
        <v>0.10026321049825052</v>
      </c>
      <c r="L87" s="6">
        <f>Corona!D87/(D87*(I$1-P$1))/4</f>
        <v>7.1341760987307353E-3</v>
      </c>
      <c r="M87" s="6">
        <f>(Corona!E87-Corona!D87)/((1-I$1+P$1)*D87)/4</f>
        <v>9.5488203167626781E-3</v>
      </c>
      <c r="N87">
        <v>0</v>
      </c>
      <c r="AD87" s="6">
        <f>((verzamel!F86/verzamel!E86/verzamel!H86)-1)/(1-verzamel!H86)</f>
        <v>-2.5922089455378335E-2</v>
      </c>
      <c r="AE87" s="6">
        <f t="shared" si="23"/>
        <v>-3.8703332448445135E-2</v>
      </c>
      <c r="AF87" s="6">
        <f t="shared" si="22"/>
        <v>-2.319809341719116E-2</v>
      </c>
    </row>
    <row r="88" spans="1:32" x14ac:dyDescent="0.2">
      <c r="A88">
        <f t="shared" si="10"/>
        <v>35</v>
      </c>
      <c r="B88" s="2">
        <f t="shared" si="16"/>
        <v>44802</v>
      </c>
      <c r="C88" s="13">
        <f>VE!C88</f>
        <v>2968</v>
      </c>
      <c r="D88" s="13">
        <f>VE!D88</f>
        <v>2834.8476998899764</v>
      </c>
      <c r="E88" s="6">
        <f>verzamel!I88</f>
        <v>0.89260724002299074</v>
      </c>
      <c r="F88" s="6">
        <f t="shared" si="24"/>
        <v>0.89144101875299209</v>
      </c>
      <c r="G88" s="1">
        <f t="shared" si="9"/>
        <v>2523.014452902079</v>
      </c>
      <c r="H88" s="1">
        <v>13818</v>
      </c>
      <c r="I88" s="6">
        <f t="shared" si="19"/>
        <v>5.0036905393445671E-2</v>
      </c>
      <c r="J88" s="1">
        <f t="shared" si="20"/>
        <v>2649.2582883882365</v>
      </c>
      <c r="K88" s="6">
        <f t="shared" si="21"/>
        <v>2.2154355542897693E-2</v>
      </c>
      <c r="L88" s="6">
        <f>Corona!D88/(D88*(I$1-P$1))/4</f>
        <v>5.6764792068417121E-3</v>
      </c>
      <c r="M88" s="6">
        <f>(Corona!E88-Corona!D88)/((1-I$1+P$1)*D88)/4</f>
        <v>4.7485931826464333E-3</v>
      </c>
      <c r="N88">
        <v>0</v>
      </c>
      <c r="AD88" s="6">
        <f>((verzamel!F87/verzamel!E87/verzamel!H87)-1)/(1-verzamel!H87)</f>
        <v>-8.6667546497299269E-2</v>
      </c>
      <c r="AE88" s="6">
        <f t="shared" si="23"/>
        <v>-3.6569440458397093E-2</v>
      </c>
      <c r="AF88" s="6">
        <f t="shared" si="22"/>
        <v>2.7882549850547979E-2</v>
      </c>
    </row>
    <row r="89" spans="1:32" x14ac:dyDescent="0.2">
      <c r="A89">
        <f t="shared" si="10"/>
        <v>36</v>
      </c>
      <c r="B89" s="2">
        <f t="shared" si="16"/>
        <v>44809</v>
      </c>
      <c r="C89" s="13">
        <f>VE!C89</f>
        <v>2941</v>
      </c>
      <c r="D89" s="13">
        <f>VE!D89</f>
        <v>2853.0921631866599</v>
      </c>
      <c r="E89" s="6">
        <f>verzamel!I89</f>
        <v>0.89265320535784609</v>
      </c>
      <c r="F89" s="6">
        <f t="shared" si="24"/>
        <v>0.89179016843293879</v>
      </c>
      <c r="G89" s="1">
        <f t="shared" si="9"/>
        <v>2539.2520252361273</v>
      </c>
      <c r="H89" s="1">
        <v>0</v>
      </c>
      <c r="I89" s="6">
        <f t="shared" si="19"/>
        <v>3.3884408032832852E-2</v>
      </c>
      <c r="J89" s="1">
        <f t="shared" si="20"/>
        <v>2625.2930769574255</v>
      </c>
      <c r="K89" s="6">
        <f t="shared" si="21"/>
        <v>5.9482037709795727E-3</v>
      </c>
      <c r="L89" s="6">
        <f>Corona!D89/(D89*(I$1-P$1))/4</f>
        <v>6.0430502501144876E-3</v>
      </c>
      <c r="M89" s="6">
        <f>(Corona!E89-Corona!D89)/((1-I$1+P$1)*D89)/4</f>
        <v>8.0883903347686217E-3</v>
      </c>
      <c r="N89">
        <v>0</v>
      </c>
      <c r="AD89" s="6">
        <f>((verzamel!F88/verzamel!E88/verzamel!H88)-1)/(1-verzamel!H88)</f>
        <v>5.2979420616388495E-2</v>
      </c>
      <c r="AE89" s="6">
        <f t="shared" si="23"/>
        <v>1.2101207674597644E-2</v>
      </c>
      <c r="AF89" s="6">
        <f t="shared" si="22"/>
        <v>2.7936204261853281E-2</v>
      </c>
    </row>
    <row r="90" spans="1:32" x14ac:dyDescent="0.2">
      <c r="A90">
        <f t="shared" si="10"/>
        <v>37</v>
      </c>
      <c r="B90" s="2">
        <f t="shared" si="16"/>
        <v>44816</v>
      </c>
      <c r="C90" s="13">
        <f>VE!C90</f>
        <v>2822</v>
      </c>
      <c r="D90" s="13">
        <f>VE!D90</f>
        <v>2873.988862231281</v>
      </c>
      <c r="E90" s="6">
        <f>verzamel!I90</f>
        <v>0.88924702299307223</v>
      </c>
      <c r="F90" s="6">
        <f t="shared" si="24"/>
        <v>0.8903658873704986</v>
      </c>
      <c r="G90" s="1">
        <f t="shared" si="9"/>
        <v>2557.8500873858402</v>
      </c>
      <c r="H90" s="1">
        <v>0</v>
      </c>
      <c r="I90" s="6">
        <f t="shared" si="19"/>
        <v>-1.8920181733109599E-2</v>
      </c>
      <c r="J90" s="1">
        <f t="shared" si="20"/>
        <v>2509.4550988864498</v>
      </c>
      <c r="K90" s="6">
        <f t="shared" si="21"/>
        <v>-1.136802574643918E-2</v>
      </c>
      <c r="L90" s="6">
        <f>Corona!D90/(D90*(I$1-P$1))/4</f>
        <v>4.5993187302526039E-3</v>
      </c>
      <c r="M90" s="6">
        <f>(Corona!E90-Corona!D90)/((1-I$1+P$1)*D90)/4</f>
        <v>6.6913165473574676E-3</v>
      </c>
      <c r="N90">
        <v>0</v>
      </c>
      <c r="AD90" s="6">
        <f>((verzamel!F89/verzamel!E89/verzamel!H89)-1)/(1-verzamel!H89)</f>
        <v>2.911353596291286E-2</v>
      </c>
      <c r="AE90" s="6">
        <f t="shared" si="23"/>
        <v>1.2576165247990599E-2</v>
      </c>
      <c r="AF90" s="6">
        <f t="shared" si="22"/>
        <v>-7.5521559866704186E-3</v>
      </c>
    </row>
    <row r="91" spans="1:32" x14ac:dyDescent="0.2">
      <c r="A91">
        <f t="shared" si="10"/>
        <v>38</v>
      </c>
      <c r="B91" s="2">
        <f t="shared" si="16"/>
        <v>44823</v>
      </c>
      <c r="C91" s="13">
        <f>VE!C91</f>
        <v>3018</v>
      </c>
      <c r="D91" s="13">
        <f>VE!D91</f>
        <v>2897.2359159310618</v>
      </c>
      <c r="E91" s="6">
        <f>verzamel!I91</f>
        <v>0.89031629813800373</v>
      </c>
      <c r="F91" s="6">
        <f t="shared" si="24"/>
        <v>0.89051198852951396</v>
      </c>
      <c r="G91" s="1">
        <f t="shared" si="9"/>
        <v>2578.5399651786452</v>
      </c>
      <c r="H91" s="1">
        <v>231262.59999999998</v>
      </c>
      <c r="I91" s="6">
        <f t="shared" si="19"/>
        <v>4.205272133307332E-2</v>
      </c>
      <c r="J91" s="1">
        <f t="shared" si="20"/>
        <v>2686.9745877804953</v>
      </c>
      <c r="K91" s="6">
        <f t="shared" si="21"/>
        <v>3.8687223474220718E-2</v>
      </c>
      <c r="L91" s="6">
        <f>Corona!D91/(D91*(I$1-P$1))/4</f>
        <v>4.5624143798278895E-3</v>
      </c>
      <c r="M91" s="6">
        <f>(Corona!E91-Corona!D91)/((1-I$1+P$1)*D91)/4</f>
        <v>7.9651515259871516E-3</v>
      </c>
      <c r="N91">
        <v>0</v>
      </c>
      <c r="AD91" s="6">
        <f>((verzamel!F90/verzamel!E90/verzamel!H90)-1)/(1-verzamel!H90)</f>
        <v>-6.090183155025182E-2</v>
      </c>
      <c r="AE91" s="6">
        <f t="shared" si="23"/>
        <v>-2.2619751753285219E-2</v>
      </c>
      <c r="AF91" s="6">
        <f t="shared" si="22"/>
        <v>3.3654978588526022E-3</v>
      </c>
    </row>
    <row r="92" spans="1:32" x14ac:dyDescent="0.2">
      <c r="A92">
        <f t="shared" si="10"/>
        <v>39</v>
      </c>
      <c r="B92" s="2">
        <f t="shared" si="16"/>
        <v>44830</v>
      </c>
      <c r="C92" s="13">
        <f>VE!C92</f>
        <v>3207</v>
      </c>
      <c r="D92" s="13">
        <f>VE!D92</f>
        <v>2922.4971328946845</v>
      </c>
      <c r="E92" s="6">
        <f>verzamel!I92</f>
        <v>0.89216833484897617</v>
      </c>
      <c r="F92" s="6">
        <f t="shared" si="24"/>
        <v>0.89226851378305483</v>
      </c>
      <c r="G92" s="1">
        <f t="shared" si="9"/>
        <v>2601.0224482762692</v>
      </c>
      <c r="H92" s="1">
        <v>456469.38000000006</v>
      </c>
      <c r="I92" s="6">
        <f t="shared" si="19"/>
        <v>0.10002274365483073</v>
      </c>
      <c r="J92" s="1">
        <f t="shared" si="20"/>
        <v>2861.1838498606667</v>
      </c>
      <c r="K92" s="6">
        <f t="shared" si="21"/>
        <v>7.5718141071702133E-2</v>
      </c>
      <c r="L92" s="6">
        <f>Corona!D92/(D92*(I$1-P$1))/4</f>
        <v>8.8493051625002945E-3</v>
      </c>
      <c r="M92" s="6">
        <f>(Corona!E92-Corona!D92)/((1-I$1+P$1)*D92)/4</f>
        <v>9.2123535794233855E-3</v>
      </c>
      <c r="N92">
        <v>0</v>
      </c>
      <c r="AD92" s="6">
        <f>((verzamel!F91/verzamel!E91/verzamel!H91)-1)/(1-verzamel!H91)</f>
        <v>2.2111201244498983E-3</v>
      </c>
      <c r="AE92" s="6">
        <f t="shared" si="23"/>
        <v>-1.1722221666205707E-2</v>
      </c>
      <c r="AF92" s="6">
        <f t="shared" si="22"/>
        <v>2.4304602583128596E-2</v>
      </c>
    </row>
    <row r="93" spans="1:32" x14ac:dyDescent="0.2">
      <c r="A93">
        <f t="shared" si="10"/>
        <v>40</v>
      </c>
      <c r="B93" s="2">
        <f t="shared" si="16"/>
        <v>44837</v>
      </c>
      <c r="C93" s="13">
        <f>VE!C93</f>
        <v>3311</v>
      </c>
      <c r="D93" s="13">
        <f>VE!D93</f>
        <v>2949.4069101949044</v>
      </c>
      <c r="E93" s="6">
        <f>verzamel!I93</f>
        <v>0.89442108729626302</v>
      </c>
      <c r="F93" s="6">
        <f t="shared" si="24"/>
        <v>0.89417020766706701</v>
      </c>
      <c r="G93" s="1">
        <f t="shared" si="9"/>
        <v>2624.9721500734649</v>
      </c>
      <c r="H93" s="1">
        <v>567355.92999999993</v>
      </c>
      <c r="I93" s="6">
        <f t="shared" si="19"/>
        <v>0.12817510081203937</v>
      </c>
      <c r="J93" s="1">
        <f t="shared" si="20"/>
        <v>2961.4282200379271</v>
      </c>
      <c r="K93" s="6">
        <f t="shared" si="21"/>
        <v>7.7479428626034477E-2</v>
      </c>
      <c r="L93" s="6">
        <f>Corona!D93/(D93*(I$1-P$1))/4</f>
        <v>1.3834848477537794E-2</v>
      </c>
      <c r="M93" s="6">
        <f>(Corona!E93-Corona!D93)/((1-I$1+P$1)*D93)/4</f>
        <v>1.8256603949773607E-2</v>
      </c>
      <c r="N93">
        <v>0</v>
      </c>
      <c r="AD93" s="6">
        <f>((verzamel!F92/verzamel!E92/verzamel!H92)-1)/(1-verzamel!H92)</f>
        <v>9.5907046365291942E-3</v>
      </c>
      <c r="AE93" s="6">
        <f t="shared" si="23"/>
        <v>7.1120051445710212E-3</v>
      </c>
      <c r="AF93" s="6">
        <f t="shared" si="22"/>
        <v>5.0695672186004889E-2</v>
      </c>
    </row>
    <row r="94" spans="1:32" x14ac:dyDescent="0.2">
      <c r="A94">
        <f t="shared" si="10"/>
        <v>41</v>
      </c>
      <c r="B94" s="2">
        <f t="shared" si="16"/>
        <v>44844</v>
      </c>
      <c r="C94" s="13">
        <f>VE!C94</f>
        <v>3310</v>
      </c>
      <c r="D94" s="13">
        <f>VE!D94</f>
        <v>2977.5755616081633</v>
      </c>
      <c r="E94" s="6">
        <f>verzamel!I94</f>
        <v>0.89567032122676604</v>
      </c>
      <c r="F94" s="6">
        <f t="shared" si="24"/>
        <v>0.8943659320836812</v>
      </c>
      <c r="G94" s="1">
        <f t="shared" si="9"/>
        <v>2650.0422498312655</v>
      </c>
      <c r="H94" s="1">
        <v>620017.10000000009</v>
      </c>
      <c r="I94" s="6">
        <f t="shared" si="19"/>
        <v>0.118725093326102</v>
      </c>
      <c r="J94" s="1">
        <f t="shared" si="20"/>
        <v>2964.6687632605958</v>
      </c>
      <c r="K94" s="6">
        <f t="shared" si="21"/>
        <v>5.4339281906781174E-2</v>
      </c>
      <c r="L94" s="6">
        <f>Corona!D94/(D94*(I$1-P$1))/4</f>
        <v>1.6309651052004208E-2</v>
      </c>
      <c r="M94" s="6">
        <f>(Corona!E94-Corona!D94)/((1-I$1+P$1)*D94)/4</f>
        <v>1.7438038380135589E-2</v>
      </c>
      <c r="N94">
        <v>0</v>
      </c>
      <c r="AD94" s="6">
        <f>((verzamel!F93/verzamel!E93/verzamel!H93)-1)/(1-verzamel!H93)</f>
        <v>7.0554911807757959E-3</v>
      </c>
      <c r="AE94" s="6">
        <f t="shared" si="23"/>
        <v>3.0248509506264332E-2</v>
      </c>
      <c r="AF94" s="6">
        <f t="shared" si="22"/>
        <v>6.4385811419320815E-2</v>
      </c>
    </row>
    <row r="95" spans="1:32" x14ac:dyDescent="0.2">
      <c r="A95">
        <f t="shared" si="10"/>
        <v>42</v>
      </c>
      <c r="B95" s="2">
        <f t="shared" si="16"/>
        <v>44851</v>
      </c>
      <c r="C95" s="13">
        <f>VE!C95</f>
        <v>3369</v>
      </c>
      <c r="D95" s="13">
        <f>VE!D95</f>
        <v>3006.5949976783058</v>
      </c>
      <c r="E95" s="6">
        <f>verzamel!I95</f>
        <v>0.89170199858492971</v>
      </c>
      <c r="F95" s="6">
        <f t="shared" si="24"/>
        <v>0.89172613466378692</v>
      </c>
      <c r="G95" s="1">
        <f t="shared" si="9"/>
        <v>2675.869547933692</v>
      </c>
      <c r="H95" s="1">
        <v>591518.34000000008</v>
      </c>
      <c r="I95" s="6">
        <f t="shared" si="19"/>
        <v>0.1226795549702451</v>
      </c>
      <c r="J95" s="1">
        <f t="shared" si="20"/>
        <v>3004.1440332326283</v>
      </c>
      <c r="K95" s="6">
        <f t="shared" si="21"/>
        <v>0.10319894356214121</v>
      </c>
      <c r="L95" s="6">
        <f>Corona!D95/(D95*(I$1-P$1))/4</f>
        <v>1.7777012169361603E-2</v>
      </c>
      <c r="M95" s="6">
        <f>(Corona!E95-Corona!D95)/((1-I$1+P$1)*D95)/4</f>
        <v>2.5584781782207772E-2</v>
      </c>
      <c r="N95">
        <v>0</v>
      </c>
      <c r="P95" s="6">
        <f>AVERAGE(L93:L98)</f>
        <v>1.277709042231742E-2</v>
      </c>
      <c r="Q95" s="6">
        <f>AVERAGE(M93:M98)</f>
        <v>1.8597537512500872E-2</v>
      </c>
      <c r="R95" s="6">
        <f>Q95/P95</f>
        <v>1.4555377552949789</v>
      </c>
      <c r="AD95" s="6">
        <f>((verzamel!F94/verzamel!E94/verzamel!H94)-1)/(1-verzamel!H94)</f>
        <v>9.7292351026976545E-2</v>
      </c>
      <c r="AE95" s="6">
        <f t="shared" si="23"/>
        <v>4.3162946078135402E-2</v>
      </c>
      <c r="AF95" s="6">
        <f t="shared" si="22"/>
        <v>1.9480611408103893E-2</v>
      </c>
    </row>
    <row r="96" spans="1:32" x14ac:dyDescent="0.2">
      <c r="A96">
        <f t="shared" si="10"/>
        <v>43</v>
      </c>
      <c r="B96" s="2">
        <f t="shared" si="16"/>
        <v>44858</v>
      </c>
      <c r="C96" s="13">
        <f>VE!C96</f>
        <v>3310</v>
      </c>
      <c r="D96" s="13">
        <f>VE!D96</f>
        <v>3036.044674811847</v>
      </c>
      <c r="E96" s="6">
        <f>verzamel!I96</f>
        <v>0.88783022025852221</v>
      </c>
      <c r="F96" s="6">
        <f t="shared" si="24"/>
        <v>0.88885084619161492</v>
      </c>
      <c r="G96" s="1">
        <f t="shared" si="9"/>
        <v>2702.0797605825437</v>
      </c>
      <c r="H96" s="1">
        <v>546688.69999999995</v>
      </c>
      <c r="I96" s="6">
        <f t="shared" si="19"/>
        <v>8.7576344682788979E-2</v>
      </c>
      <c r="J96" s="1">
        <f t="shared" si="20"/>
        <v>2938.7180290557085</v>
      </c>
      <c r="K96" s="6">
        <f t="shared" si="21"/>
        <v>0.11173945263413557</v>
      </c>
      <c r="L96" s="6">
        <f>Corona!D96/(D96*(I$1-P$1))/4</f>
        <v>1.31561070451335E-2</v>
      </c>
      <c r="M96" s="6">
        <f>(Corona!E96-Corona!D96)/((1-I$1+P$1)*D96)/4</f>
        <v>2.4069778578423552E-2</v>
      </c>
      <c r="N96">
        <v>0</v>
      </c>
      <c r="AD96" s="6">
        <f>((verzamel!F95/verzamel!E95/verzamel!H95)-1)/(1-verzamel!H95)</f>
        <v>-2.8988408922187275E-2</v>
      </c>
      <c r="AE96" s="6">
        <f t="shared" si="23"/>
        <v>2.1388834079238885E-3</v>
      </c>
      <c r="AF96" s="6">
        <f t="shared" si="22"/>
        <v>-2.4163107951346588E-2</v>
      </c>
    </row>
    <row r="97" spans="1:32" x14ac:dyDescent="0.2">
      <c r="A97">
        <f t="shared" si="10"/>
        <v>44</v>
      </c>
      <c r="B97" s="2">
        <f t="shared" si="16"/>
        <v>44865</v>
      </c>
      <c r="C97" s="13">
        <f>VE!C97</f>
        <v>3234</v>
      </c>
      <c r="D97" s="13">
        <f>VE!D97</f>
        <v>3065.4977266793644</v>
      </c>
      <c r="E97" s="6">
        <f>verzamel!I97</f>
        <v>0.88804094566448555</v>
      </c>
      <c r="F97" s="6">
        <f t="shared" si="24"/>
        <v>0.88921677970546809</v>
      </c>
      <c r="G97" s="1">
        <f t="shared" si="9"/>
        <v>2728.2929767446344</v>
      </c>
      <c r="H97" s="1">
        <v>305627.0999999998</v>
      </c>
      <c r="I97" s="6">
        <f t="shared" si="19"/>
        <v>5.2645167787548616E-2</v>
      </c>
      <c r="J97" s="1">
        <f t="shared" si="20"/>
        <v>2871.9244182789462</v>
      </c>
      <c r="K97" s="6">
        <f t="shared" si="21"/>
        <v>7.3755876188392092E-2</v>
      </c>
      <c r="L97" s="6">
        <f>Corona!D97/(D97*(I$1-P$1))/4</f>
        <v>8.2490213911302016E-3</v>
      </c>
      <c r="M97" s="6">
        <f>(Corona!E97-Corona!D97)/((1-I$1+P$1)*D97)/4</f>
        <v>1.4428576751443651E-2</v>
      </c>
      <c r="N97">
        <v>0</v>
      </c>
      <c r="AD97" s="6">
        <f>((verzamel!F96/verzamel!E96/verzamel!H96)-1)/(1-verzamel!H96)</f>
        <v>-3.0759999550906445E-2</v>
      </c>
      <c r="AE97" s="6">
        <f t="shared" si="23"/>
        <v>-3.7887115242782723E-2</v>
      </c>
      <c r="AF97" s="6">
        <f t="shared" si="22"/>
        <v>-2.1110708400843475E-2</v>
      </c>
    </row>
    <row r="98" spans="1:32" x14ac:dyDescent="0.2">
      <c r="A98">
        <f t="shared" si="10"/>
        <v>45</v>
      </c>
      <c r="B98" s="2">
        <f t="shared" si="16"/>
        <v>44872</v>
      </c>
      <c r="C98" s="13">
        <f>VE!C98</f>
        <v>3171</v>
      </c>
      <c r="D98" s="13">
        <f>VE!D98</f>
        <v>3094.5271885289926</v>
      </c>
      <c r="E98" s="6">
        <f>verzamel!I98</f>
        <v>0.89295500723437915</v>
      </c>
      <c r="F98" s="6">
        <f t="shared" si="24"/>
        <v>0.89336112123551326</v>
      </c>
      <c r="G98" s="1">
        <f t="shared" si="9"/>
        <v>2754.1291977908036</v>
      </c>
      <c r="H98" s="1">
        <v>226347.8600000001</v>
      </c>
      <c r="I98" s="6">
        <f t="shared" si="19"/>
        <v>2.8114559844005585E-2</v>
      </c>
      <c r="J98" s="1">
        <f t="shared" si="20"/>
        <v>2831.5603279402162</v>
      </c>
      <c r="K98" s="6">
        <f t="shared" si="21"/>
        <v>-2.8152888808985147E-3</v>
      </c>
      <c r="L98" s="6">
        <f>Corona!D98/(D98*(I$1-P$1))/4</f>
        <v>7.3359023987372108E-3</v>
      </c>
      <c r="M98" s="6">
        <f>(Corona!E98-Corona!D98)/((1-I$1+P$1)*D98)/4</f>
        <v>1.1807445633021045E-2</v>
      </c>
      <c r="N98">
        <v>0</v>
      </c>
      <c r="R98" s="6">
        <f>R95/R80</f>
        <v>1.0615971593844944</v>
      </c>
      <c r="AD98" s="6">
        <f>((verzamel!F97/verzamel!E97/verzamel!H97)-1)/(1-verzamel!H97)</f>
        <v>-6.1040052947130718E-2</v>
      </c>
      <c r="AE98" s="6">
        <f t="shared" si="23"/>
        <v>-3.570866025293358E-2</v>
      </c>
      <c r="AF98" s="6">
        <f t="shared" si="22"/>
        <v>3.0929848724904098E-2</v>
      </c>
    </row>
    <row r="99" spans="1:32" x14ac:dyDescent="0.2">
      <c r="A99">
        <f t="shared" si="10"/>
        <v>46</v>
      </c>
      <c r="B99" s="2">
        <f t="shared" si="16"/>
        <v>44879</v>
      </c>
      <c r="C99" s="13">
        <f>VE!C99</f>
        <v>3222</v>
      </c>
      <c r="D99" s="13">
        <f>VE!D99</f>
        <v>3122.7122236527562</v>
      </c>
      <c r="E99" s="6">
        <f>verzamel!I99</f>
        <v>0.89949352480880906</v>
      </c>
      <c r="F99" s="6">
        <f t="shared" si="24"/>
        <v>0.8986122107726382</v>
      </c>
      <c r="G99" s="1">
        <f t="shared" si="9"/>
        <v>2779.213879050953</v>
      </c>
      <c r="H99" s="1">
        <v>116938.74999999988</v>
      </c>
      <c r="I99" s="6">
        <f t="shared" si="19"/>
        <v>4.280140466326765E-2</v>
      </c>
      <c r="J99" s="1">
        <f t="shared" si="20"/>
        <v>2898.1681369339826</v>
      </c>
      <c r="K99" s="6">
        <f t="shared" si="21"/>
        <v>-5.7253497272553321E-2</v>
      </c>
      <c r="L99" s="6">
        <f>Corona!D99/(D99*(I$1-P$1))/4</f>
        <v>5.9813904009674221E-3</v>
      </c>
      <c r="M99" s="6">
        <f>(Corona!E99-Corona!D99)/((1-I$1+P$1)*D99)/4</f>
        <v>7.3900255368165562E-3</v>
      </c>
      <c r="N99">
        <v>0</v>
      </c>
      <c r="AD99" s="6">
        <f>((verzamel!F98/verzamel!E98/verzamel!H98)-1)/(1-verzamel!H98)</f>
        <v>1.0005464433433548E-2</v>
      </c>
      <c r="AE99" s="6">
        <f t="shared" si="23"/>
        <v>1.5092342589746165E-2</v>
      </c>
      <c r="AF99" s="6">
        <f t="shared" si="22"/>
        <v>0.10005490193582098</v>
      </c>
    </row>
    <row r="100" spans="1:32" x14ac:dyDescent="0.2">
      <c r="A100">
        <f t="shared" si="10"/>
        <v>47</v>
      </c>
      <c r="B100" s="2">
        <f t="shared" si="16"/>
        <v>44886</v>
      </c>
      <c r="C100" s="13">
        <f>VE!C100</f>
        <v>3409</v>
      </c>
      <c r="D100" s="13">
        <f>VE!D100</f>
        <v>3149.6442612045921</v>
      </c>
      <c r="E100" s="6">
        <f>verzamel!I100</f>
        <v>0.90250678623855518</v>
      </c>
      <c r="F100" s="6">
        <f t="shared" si="24"/>
        <v>0.90119912104671951</v>
      </c>
      <c r="G100" s="1">
        <f t="shared" si="9"/>
        <v>2803.1833924720872</v>
      </c>
      <c r="H100" s="1">
        <v>92909.039999999921</v>
      </c>
      <c r="I100" s="6">
        <f t="shared" si="19"/>
        <v>9.7554174496583726E-2</v>
      </c>
      <c r="J100" s="1">
        <f t="shared" si="20"/>
        <v>3076.6456342872348</v>
      </c>
      <c r="K100" s="6">
        <f t="shared" si="21"/>
        <v>-4.0716006605152968E-2</v>
      </c>
      <c r="L100" s="6">
        <f>Corona!D100/(D100*(I$1-P$1))/4</f>
        <v>5.2003683547942221E-3</v>
      </c>
      <c r="M100" s="6">
        <f>(Corona!E100-Corona!D100)/((1-I$1+P$1)*D100)/4</f>
        <v>5.4951260753088741E-3</v>
      </c>
      <c r="N100">
        <v>0</v>
      </c>
      <c r="AD100" s="6">
        <f>((verzamel!F99/verzamel!E99/verzamel!H99)-1)/(1-verzamel!H99)</f>
        <v>0.10139849443924828</v>
      </c>
      <c r="AE100" s="6">
        <f t="shared" si="23"/>
        <v>8.26867846131316E-2</v>
      </c>
      <c r="AF100" s="6">
        <f t="shared" si="22"/>
        <v>0.13827018110173669</v>
      </c>
    </row>
    <row r="101" spans="1:32" x14ac:dyDescent="0.2">
      <c r="A101">
        <f t="shared" si="10"/>
        <v>48</v>
      </c>
      <c r="B101" s="2">
        <f t="shared" si="16"/>
        <v>44893</v>
      </c>
      <c r="C101" s="13">
        <f>VE!C101</f>
        <v>3430</v>
      </c>
      <c r="D101" s="13">
        <f>VE!D101</f>
        <v>3174.9329558512504</v>
      </c>
      <c r="E101" s="6">
        <f>verzamel!I101</f>
        <v>0.9002893869009585</v>
      </c>
      <c r="F101" s="6">
        <f t="shared" si="24"/>
        <v>0.89968735748094941</v>
      </c>
      <c r="G101" s="1">
        <f t="shared" si="9"/>
        <v>2825.6903307076127</v>
      </c>
      <c r="H101" s="1">
        <v>68626.349999999977</v>
      </c>
      <c r="I101" s="6">
        <f t="shared" si="19"/>
        <v>9.2827675953078961E-2</v>
      </c>
      <c r="J101" s="1">
        <f t="shared" si="20"/>
        <v>3087.9925970702875</v>
      </c>
      <c r="K101" s="6">
        <f t="shared" si="21"/>
        <v>-2.0716893337259283E-2</v>
      </c>
      <c r="L101" s="6">
        <f>Corona!D101/(D101*(I$1-P$1))/4</f>
        <v>6.6070722707996842E-3</v>
      </c>
      <c r="M101" s="6">
        <f>(Corona!E101-Corona!D101)/((1-I$1+P$1)*D101)/4</f>
        <v>6.0570630933569295E-3</v>
      </c>
      <c r="N101">
        <v>0</v>
      </c>
      <c r="AD101" s="6">
        <f>((verzamel!F100/verzamel!E100/verzamel!H100)-1)/(1-verzamel!H100)</f>
        <v>0.11794468514059629</v>
      </c>
      <c r="AE101" s="6">
        <f>0.5*AD101+0.25*(AD100+AD102)</f>
        <v>0.11382034257258808</v>
      </c>
      <c r="AF101" s="6">
        <f t="shared" si="22"/>
        <v>0.11354456929033824</v>
      </c>
    </row>
    <row r="102" spans="1:32" x14ac:dyDescent="0.2">
      <c r="A102">
        <f t="shared" si="10"/>
        <v>49</v>
      </c>
      <c r="B102" s="2">
        <f t="shared" si="16"/>
        <v>44900</v>
      </c>
      <c r="C102" s="13">
        <f>VE!C102</f>
        <v>3616</v>
      </c>
      <c r="D102" s="13">
        <f>VE!D102</f>
        <v>3198.2118823251521</v>
      </c>
      <c r="E102" s="6">
        <f>verzamel!I102</f>
        <v>0.89566386988332536</v>
      </c>
      <c r="F102" s="6">
        <f t="shared" si="24"/>
        <v>0.89663191613546633</v>
      </c>
      <c r="G102" s="1">
        <f t="shared" si="9"/>
        <v>2846.4085752693854</v>
      </c>
      <c r="H102" s="1">
        <v>45922.830000000307</v>
      </c>
      <c r="I102" s="6">
        <f t="shared" si="19"/>
        <v>0.13782700826482383</v>
      </c>
      <c r="J102" s="1">
        <f t="shared" si="20"/>
        <v>3238.7205534981044</v>
      </c>
      <c r="K102" s="6">
        <f t="shared" si="21"/>
        <v>7.2415861179185567E-2</v>
      </c>
      <c r="L102" s="6">
        <f>Corona!D102/(D102*(I$1-P$1))/4</f>
        <v>6.5589811638753102E-3</v>
      </c>
      <c r="M102" s="6">
        <f>(Corona!E102-Corona!D102)/((1-I$1+P$1)*D102)/4</f>
        <v>1.0823355640283179E-2</v>
      </c>
      <c r="N102">
        <v>0</v>
      </c>
      <c r="AD102" s="6">
        <f>((verzamel!F101/verzamel!E101/verzamel!H101)-1)/(1-verzamel!H101)</f>
        <v>0.11799350556991142</v>
      </c>
      <c r="AE102" s="6">
        <f t="shared" ref="AE102:AE105" si="25">0.5*AD102+0.25*(AD101+AD103)</f>
        <v>9.0861130868661155E-2</v>
      </c>
      <c r="AF102" s="6">
        <f t="shared" si="22"/>
        <v>6.5411147085638263E-2</v>
      </c>
    </row>
    <row r="103" spans="1:32" x14ac:dyDescent="0.2">
      <c r="A103">
        <f t="shared" si="10"/>
        <v>50</v>
      </c>
      <c r="B103" s="2">
        <f t="shared" si="16"/>
        <v>44907</v>
      </c>
      <c r="C103" s="13">
        <f>VE!C103</f>
        <v>3996</v>
      </c>
      <c r="D103" s="13">
        <f>VE!D103</f>
        <v>3219.1438818042429</v>
      </c>
      <c r="E103" s="6">
        <f>verzamel!I103</f>
        <v>0.89491053787425645</v>
      </c>
      <c r="F103" s="6">
        <f t="shared" si="24"/>
        <v>0.89567646505046472</v>
      </c>
      <c r="G103" s="1">
        <f t="shared" si="9"/>
        <v>2865.0380548057765</v>
      </c>
      <c r="N103">
        <v>0</v>
      </c>
      <c r="AD103" s="6">
        <f>((verzamel!F102/verzamel!E102/verzamel!H102)-1)/(1-verzamel!H102)</f>
        <v>9.5128271942254514E-3</v>
      </c>
      <c r="AE103" s="6">
        <f t="shared" si="25"/>
        <v>4.3023037801379935E-2</v>
      </c>
      <c r="AF103" s="6">
        <f t="shared" si="22"/>
        <v>0</v>
      </c>
    </row>
    <row r="104" spans="1:32" x14ac:dyDescent="0.2">
      <c r="A104">
        <f t="shared" si="10"/>
        <v>51</v>
      </c>
      <c r="B104" s="2">
        <f t="shared" si="16"/>
        <v>44914</v>
      </c>
      <c r="C104" s="13">
        <f>VE!C104</f>
        <v>4202</v>
      </c>
      <c r="D104" s="13">
        <f>VE!D104</f>
        <v>3237.4259821117435</v>
      </c>
      <c r="E104" s="6">
        <f>verzamel!I104</f>
        <v>0.89722091457002051</v>
      </c>
      <c r="F104" s="6">
        <f>E104</f>
        <v>0.89722091457002051</v>
      </c>
      <c r="G104" s="1">
        <f t="shared" si="9"/>
        <v>2881.3091240794515</v>
      </c>
      <c r="N104">
        <v>0</v>
      </c>
      <c r="AD104" s="6">
        <f>((verzamel!F103/verzamel!E103/verzamel!H103)-1)/(1-verzamel!H103)</f>
        <v>3.5072991247157397E-2</v>
      </c>
      <c r="AE104" s="6">
        <f t="shared" si="25"/>
        <v>3.5234716161545006E-2</v>
      </c>
      <c r="AF104" s="6">
        <f t="shared" si="22"/>
        <v>0</v>
      </c>
    </row>
    <row r="105" spans="1:32" x14ac:dyDescent="0.2">
      <c r="A105">
        <f t="shared" si="10"/>
        <v>52</v>
      </c>
      <c r="B105" s="2">
        <f t="shared" si="16"/>
        <v>44921</v>
      </c>
      <c r="C105" s="13">
        <f>VE!C105</f>
        <v>4134</v>
      </c>
      <c r="D105" s="13">
        <f>VE!D105</f>
        <v>3252.7938199347709</v>
      </c>
      <c r="E105" s="6">
        <f>verzamel!I105</f>
        <v>0.89722091457002051</v>
      </c>
      <c r="G105" s="1"/>
      <c r="AD105" s="6">
        <f>((verzamel!F104/verzamel!E104/verzamel!H104)-1)/(1-verzamel!H104)</f>
        <v>6.1280054957639774E-2</v>
      </c>
      <c r="AE105" s="6">
        <f t="shared" si="25"/>
        <v>3.9408275290609238E-2</v>
      </c>
      <c r="AF105" s="6">
        <f t="shared" si="22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4B8D-7714-CF43-9C49-0F67D71F6B73}">
  <dimension ref="A1:J441"/>
  <sheetViews>
    <sheetView workbookViewId="0">
      <pane xSplit="1" ySplit="2" topLeftCell="B251" activePane="bottomRight" state="frozen"/>
      <selection pane="topRight" activeCell="B1" sqref="B1"/>
      <selection pane="bottomLeft" activeCell="A3" sqref="A3"/>
      <selection pane="bottomRight" activeCell="C264" sqref="C264"/>
    </sheetView>
  </sheetViews>
  <sheetFormatPr baseColWidth="10" defaultRowHeight="16" x14ac:dyDescent="0.2"/>
  <cols>
    <col min="1" max="1" width="10.1640625" customWidth="1"/>
    <col min="2" max="2" width="10.83203125" style="1"/>
    <col min="9" max="9" width="16" bestFit="1" customWidth="1"/>
  </cols>
  <sheetData>
    <row r="1" spans="1:10" x14ac:dyDescent="0.2">
      <c r="I1">
        <v>70</v>
      </c>
      <c r="J1">
        <v>0.75</v>
      </c>
    </row>
    <row r="2" spans="1:10" x14ac:dyDescent="0.2">
      <c r="A2" s="21" t="s">
        <v>139</v>
      </c>
      <c r="B2" s="1" t="s">
        <v>111</v>
      </c>
      <c r="C2" t="s">
        <v>93</v>
      </c>
      <c r="D2" t="s">
        <v>91</v>
      </c>
      <c r="E2" t="s">
        <v>140</v>
      </c>
      <c r="F2" t="s">
        <v>141</v>
      </c>
      <c r="G2" t="s">
        <v>136</v>
      </c>
      <c r="H2" t="s">
        <v>143</v>
      </c>
      <c r="I2" t="s">
        <v>128</v>
      </c>
      <c r="J2" t="s">
        <v>142</v>
      </c>
    </row>
    <row r="3" spans="1:10" x14ac:dyDescent="0.2">
      <c r="A3" s="9">
        <v>42373</v>
      </c>
      <c r="B3" s="1">
        <v>3087.7044756616801</v>
      </c>
      <c r="C3">
        <v>3173</v>
      </c>
      <c r="D3" s="1">
        <f>C3-B3</f>
        <v>85.295524338319865</v>
      </c>
    </row>
    <row r="4" spans="1:10" x14ac:dyDescent="0.2">
      <c r="A4" s="9">
        <f>A3+7</f>
        <v>42380</v>
      </c>
      <c r="B4" s="1">
        <v>3089.5514646061706</v>
      </c>
      <c r="C4">
        <v>3075</v>
      </c>
      <c r="D4" s="1">
        <f t="shared" ref="D4:D67" si="0">C4-B4</f>
        <v>-14.551464606170612</v>
      </c>
      <c r="E4" s="6">
        <f>AVERAGE(D3:D5)/B4</f>
        <v>4.8208548083460328E-3</v>
      </c>
      <c r="F4" s="1">
        <f t="shared" ref="F4:F67" si="1">(0.5*D4+0.25*(D3+D5))/7</f>
        <v>1.0761204462559621</v>
      </c>
    </row>
    <row r="5" spans="1:10" x14ac:dyDescent="0.2">
      <c r="A5" s="9">
        <f t="shared" ref="A5:A18" si="2">A4+7</f>
        <v>42387</v>
      </c>
      <c r="B5" s="1">
        <v>3088.0612226308117</v>
      </c>
      <c r="C5">
        <v>3062</v>
      </c>
      <c r="D5" s="1">
        <f t="shared" si="0"/>
        <v>-26.061222630811699</v>
      </c>
      <c r="E5" s="6">
        <f t="shared" ref="E5:E68" si="3">AVERAGE(D4:D6)/B5</f>
        <v>8.3255912384918116E-3</v>
      </c>
      <c r="F5" s="1">
        <f t="shared" si="1"/>
        <v>1.823877990941875</v>
      </c>
    </row>
    <row r="6" spans="1:10" x14ac:dyDescent="0.2">
      <c r="A6" s="9">
        <f t="shared" si="2"/>
        <v>42394</v>
      </c>
      <c r="B6" s="1">
        <v>3083.2575063858335</v>
      </c>
      <c r="C6">
        <v>3201</v>
      </c>
      <c r="D6" s="1">
        <f t="shared" si="0"/>
        <v>117.74249361416651</v>
      </c>
      <c r="E6" s="6">
        <f t="shared" si="3"/>
        <v>1.2915871681876381E-2</v>
      </c>
      <c r="F6" s="1">
        <f t="shared" si="1"/>
        <v>8.4718345913625424</v>
      </c>
    </row>
    <row r="7" spans="1:10" x14ac:dyDescent="0.2">
      <c r="A7" s="9">
        <f t="shared" si="2"/>
        <v>42401</v>
      </c>
      <c r="B7" s="1">
        <v>3075.2123960393701</v>
      </c>
      <c r="C7">
        <v>3103</v>
      </c>
      <c r="D7" s="1">
        <f t="shared" si="0"/>
        <v>27.787603960629895</v>
      </c>
      <c r="E7" s="6">
        <f t="shared" si="3"/>
        <v>1.2734605260625949E-2</v>
      </c>
      <c r="F7" s="1">
        <f t="shared" si="1"/>
        <v>5.1883018510380419</v>
      </c>
    </row>
    <row r="8" spans="1:10" x14ac:dyDescent="0.2">
      <c r="A8" s="9">
        <f t="shared" si="2"/>
        <v>42408</v>
      </c>
      <c r="B8" s="1">
        <v>3064.0452497063611</v>
      </c>
      <c r="C8">
        <v>3036</v>
      </c>
      <c r="D8" s="1">
        <f t="shared" si="0"/>
        <v>-28.045249706361119</v>
      </c>
      <c r="E8" s="6">
        <f t="shared" si="3"/>
        <v>-2.5215700327656217E-3</v>
      </c>
      <c r="F8" s="1">
        <f t="shared" si="1"/>
        <v>-1.829423705301906</v>
      </c>
    </row>
    <row r="9" spans="1:10" x14ac:dyDescent="0.2">
      <c r="A9" s="9">
        <f t="shared" si="2"/>
        <v>42415</v>
      </c>
      <c r="B9" s="1">
        <v>3049.920968296361</v>
      </c>
      <c r="C9">
        <v>3027</v>
      </c>
      <c r="D9" s="1">
        <f t="shared" si="0"/>
        <v>-22.920968296361025</v>
      </c>
      <c r="E9" s="6">
        <f t="shared" si="3"/>
        <v>2.5682215860171966E-2</v>
      </c>
      <c r="F9" s="1">
        <f t="shared" si="1"/>
        <v>7.5737577748712317</v>
      </c>
    </row>
    <row r="10" spans="1:10" x14ac:dyDescent="0.2">
      <c r="A10" s="9">
        <f t="shared" si="2"/>
        <v>42422</v>
      </c>
      <c r="B10" s="1">
        <v>3033.0475960045223</v>
      </c>
      <c r="C10">
        <v>3319</v>
      </c>
      <c r="D10" s="1">
        <f t="shared" si="0"/>
        <v>285.95240399547765</v>
      </c>
      <c r="E10" s="6">
        <f t="shared" si="3"/>
        <v>4.773616091725677E-2</v>
      </c>
      <c r="F10" s="1">
        <f t="shared" si="1"/>
        <v>25.725376726185345</v>
      </c>
    </row>
    <row r="11" spans="1:10" x14ac:dyDescent="0.2">
      <c r="A11" s="9">
        <f t="shared" si="2"/>
        <v>42429</v>
      </c>
      <c r="B11" s="1">
        <v>3013.6732913614046</v>
      </c>
      <c r="C11">
        <v>3185</v>
      </c>
      <c r="D11" s="1">
        <f t="shared" si="0"/>
        <v>171.32670863859539</v>
      </c>
      <c r="E11" s="6">
        <f t="shared" si="3"/>
        <v>6.8155629373177706E-2</v>
      </c>
      <c r="F11" s="1">
        <f t="shared" si="1"/>
        <v>28.125825297579031</v>
      </c>
    </row>
    <row r="12" spans="1:10" x14ac:dyDescent="0.2">
      <c r="A12" s="9">
        <f t="shared" si="2"/>
        <v>42436</v>
      </c>
      <c r="B12" s="1">
        <v>2992.0827129404556</v>
      </c>
      <c r="C12">
        <v>3151</v>
      </c>
      <c r="D12" s="1">
        <f t="shared" si="0"/>
        <v>158.91728705954438</v>
      </c>
      <c r="E12" s="6">
        <f t="shared" si="3"/>
        <v>4.7196904183451953E-2</v>
      </c>
      <c r="F12" s="1">
        <f t="shared" si="1"/>
        <v>20.806014656942335</v>
      </c>
    </row>
    <row r="13" spans="1:10" x14ac:dyDescent="0.2">
      <c r="A13" s="9">
        <f t="shared" si="2"/>
        <v>42443</v>
      </c>
      <c r="B13" s="1">
        <v>2968.5928723632987</v>
      </c>
      <c r="C13">
        <v>3062</v>
      </c>
      <c r="D13" s="1">
        <f t="shared" si="0"/>
        <v>93.407127636701262</v>
      </c>
      <c r="E13" s="6">
        <f t="shared" si="3"/>
        <v>3.7815435815181347E-2</v>
      </c>
      <c r="F13" s="1">
        <f t="shared" si="1"/>
        <v>15.363679546981384</v>
      </c>
    </row>
    <row r="14" spans="1:10" x14ac:dyDescent="0.2">
      <c r="A14" s="9">
        <f t="shared" si="2"/>
        <v>42450</v>
      </c>
      <c r="B14" s="1">
        <v>2943.5485150174682</v>
      </c>
      <c r="C14">
        <v>3028</v>
      </c>
      <c r="D14" s="1">
        <f t="shared" si="0"/>
        <v>84.451484982531838</v>
      </c>
      <c r="E14" s="6">
        <f t="shared" si="3"/>
        <v>3.3694197701128505E-2</v>
      </c>
      <c r="F14" s="1">
        <f t="shared" si="1"/>
        <v>13.642607207361332</v>
      </c>
    </row>
    <row r="15" spans="1:10" x14ac:dyDescent="0.2">
      <c r="A15" s="9">
        <f t="shared" si="2"/>
        <v>42457</v>
      </c>
      <c r="B15" s="1">
        <v>2917.3170957956477</v>
      </c>
      <c r="C15">
        <v>3037</v>
      </c>
      <c r="D15" s="1">
        <f t="shared" si="0"/>
        <v>119.68290420435233</v>
      </c>
      <c r="E15" s="6">
        <f t="shared" si="3"/>
        <v>3.7003287092612566E-2</v>
      </c>
      <c r="F15" s="1">
        <f t="shared" si="1"/>
        <v>15.840495368288982</v>
      </c>
    </row>
    <row r="16" spans="1:10" x14ac:dyDescent="0.2">
      <c r="A16" s="9">
        <f t="shared" si="2"/>
        <v>42464</v>
      </c>
      <c r="B16" s="1">
        <v>2890.283423079145</v>
      </c>
      <c r="C16">
        <v>3010</v>
      </c>
      <c r="D16" s="1">
        <f t="shared" si="0"/>
        <v>119.716576920855</v>
      </c>
      <c r="E16" s="6">
        <f t="shared" si="3"/>
        <v>1.6556096303469024E-2</v>
      </c>
      <c r="F16" s="1">
        <f t="shared" si="1"/>
        <v>9.4025717504039381</v>
      </c>
    </row>
    <row r="17" spans="1:6" x14ac:dyDescent="0.2">
      <c r="A17" s="9">
        <f t="shared" si="2"/>
        <v>42471</v>
      </c>
      <c r="B17" s="1">
        <v>2862.8440490347521</v>
      </c>
      <c r="C17">
        <v>2767</v>
      </c>
      <c r="D17" s="1">
        <f t="shared" si="0"/>
        <v>-95.844049034752061</v>
      </c>
      <c r="E17" s="6">
        <f t="shared" si="3"/>
        <v>-7.0476490138194547E-3</v>
      </c>
      <c r="F17" s="1">
        <f t="shared" si="1"/>
        <v>-5.5847503268374306</v>
      </c>
    </row>
    <row r="18" spans="1:6" x14ac:dyDescent="0.2">
      <c r="A18" s="9">
        <f t="shared" si="2"/>
        <v>42478</v>
      </c>
      <c r="B18" s="1">
        <v>2835.4014880027989</v>
      </c>
      <c r="C18">
        <v>2751</v>
      </c>
      <c r="D18" s="1">
        <f t="shared" si="0"/>
        <v>-84.401488002798942</v>
      </c>
      <c r="E18" s="6">
        <f t="shared" si="3"/>
        <v>-2.8991060037588744E-2</v>
      </c>
      <c r="F18" s="1">
        <f t="shared" si="1"/>
        <v>-11.821620439673991</v>
      </c>
    </row>
    <row r="19" spans="1:6" x14ac:dyDescent="0.2">
      <c r="A19" s="9">
        <f>A18+7</f>
        <v>42485</v>
      </c>
      <c r="B19" s="1">
        <v>2808.3583472705218</v>
      </c>
      <c r="C19">
        <v>2742</v>
      </c>
      <c r="D19" s="1">
        <f t="shared" si="0"/>
        <v>-66.35834727052179</v>
      </c>
      <c r="E19" s="6">
        <f t="shared" si="3"/>
        <v>-2.1230824674915154E-2</v>
      </c>
      <c r="F19" s="1">
        <f t="shared" si="1"/>
        <v>-8.758201369865235</v>
      </c>
    </row>
    <row r="20" spans="1:6" x14ac:dyDescent="0.2">
      <c r="A20" s="9">
        <f t="shared" ref="A20:A32" si="4">A19+7</f>
        <v>42492</v>
      </c>
      <c r="B20" s="1">
        <v>2782.1114558123841</v>
      </c>
      <c r="C20">
        <v>2754</v>
      </c>
      <c r="D20" s="1">
        <f t="shared" si="0"/>
        <v>-28.111455812384065</v>
      </c>
      <c r="E20" s="6">
        <f t="shared" si="3"/>
        <v>1.2039311615728429E-2</v>
      </c>
      <c r="F20" s="1">
        <f t="shared" si="1"/>
        <v>2.5847380173662651</v>
      </c>
    </row>
    <row r="21" spans="1:6" x14ac:dyDescent="0.2">
      <c r="A21" s="9">
        <f t="shared" si="4"/>
        <v>42499</v>
      </c>
      <c r="B21" s="1">
        <v>2757.0460766184547</v>
      </c>
      <c r="C21">
        <v>2952</v>
      </c>
      <c r="D21" s="1">
        <f t="shared" si="0"/>
        <v>194.95392338154534</v>
      </c>
      <c r="E21" s="6">
        <f t="shared" si="3"/>
        <v>1.261158714162732E-2</v>
      </c>
      <c r="F21" s="1">
        <f t="shared" si="1"/>
        <v>10.688075140278979</v>
      </c>
    </row>
    <row r="22" spans="1:6" x14ac:dyDescent="0.2">
      <c r="A22" s="9">
        <f t="shared" si="4"/>
        <v>42506</v>
      </c>
      <c r="B22" s="1">
        <v>2733.5302870228952</v>
      </c>
      <c r="C22">
        <v>2671</v>
      </c>
      <c r="D22" s="1">
        <f t="shared" si="0"/>
        <v>-62.530287022895209</v>
      </c>
      <c r="E22" s="6">
        <f t="shared" si="3"/>
        <v>1.6281025308571596E-2</v>
      </c>
      <c r="F22" s="1">
        <f t="shared" si="1"/>
        <v>2.5351335832644639</v>
      </c>
    </row>
    <row r="23" spans="1:6" x14ac:dyDescent="0.2">
      <c r="A23" s="9">
        <f t="shared" si="4"/>
        <v>42513</v>
      </c>
      <c r="B23" s="1">
        <v>2711.9096090043499</v>
      </c>
      <c r="C23">
        <v>2713</v>
      </c>
      <c r="D23" s="1">
        <f t="shared" si="0"/>
        <v>1.0903909956500684</v>
      </c>
      <c r="E23" s="6">
        <f t="shared" si="3"/>
        <v>-8.8427067016452771E-3</v>
      </c>
      <c r="F23" s="1">
        <f t="shared" si="1"/>
        <v>-2.530409743776675</v>
      </c>
    </row>
    <row r="24" spans="1:6" x14ac:dyDescent="0.2">
      <c r="A24" s="9">
        <f t="shared" si="4"/>
        <v>42520</v>
      </c>
      <c r="B24" s="1">
        <v>2692.5019677941518</v>
      </c>
      <c r="C24">
        <v>2682</v>
      </c>
      <c r="D24" s="1">
        <f t="shared" si="0"/>
        <v>-10.501967794151824</v>
      </c>
      <c r="E24" s="6">
        <f t="shared" si="3"/>
        <v>-1.2133030952907126E-2</v>
      </c>
      <c r="F24" s="1">
        <f t="shared" si="1"/>
        <v>-3.8752356050779002</v>
      </c>
    </row>
    <row r="25" spans="1:6" x14ac:dyDescent="0.2">
      <c r="A25" s="9">
        <f t="shared" si="4"/>
        <v>42527</v>
      </c>
      <c r="B25" s="1">
        <v>2675.5930523495276</v>
      </c>
      <c r="C25">
        <v>2587</v>
      </c>
      <c r="D25" s="1">
        <f t="shared" si="0"/>
        <v>-88.593052349527625</v>
      </c>
      <c r="E25" s="6">
        <f t="shared" si="3"/>
        <v>-1.7507291877749027E-2</v>
      </c>
      <c r="F25" s="1">
        <f t="shared" si="1"/>
        <v>-8.1828649246503371</v>
      </c>
    </row>
    <row r="26" spans="1:6" x14ac:dyDescent="0.2">
      <c r="A26" s="9">
        <f t="shared" si="4"/>
        <v>42534</v>
      </c>
      <c r="B26" s="1">
        <v>2661.4321453970024</v>
      </c>
      <c r="C26">
        <v>2620</v>
      </c>
      <c r="D26" s="1">
        <f t="shared" si="0"/>
        <v>-41.432145397002387</v>
      </c>
      <c r="E26" s="6">
        <f t="shared" si="3"/>
        <v>-2.2951763267095224E-2</v>
      </c>
      <c r="F26" s="1">
        <f t="shared" si="1"/>
        <v>-8.0244938233846597</v>
      </c>
    </row>
    <row r="27" spans="1:6" x14ac:dyDescent="0.2">
      <c r="A27" s="9">
        <f t="shared" si="4"/>
        <v>42541</v>
      </c>
      <c r="B27" s="1">
        <v>2650.2284839112381</v>
      </c>
      <c r="C27">
        <v>2597</v>
      </c>
      <c r="D27" s="1">
        <f t="shared" si="0"/>
        <v>-53.228483911238072</v>
      </c>
      <c r="E27" s="6">
        <f t="shared" si="3"/>
        <v>-1.6075196692195041E-2</v>
      </c>
      <c r="F27" s="1">
        <f t="shared" si="1"/>
        <v>-6.4656184423439687</v>
      </c>
    </row>
    <row r="28" spans="1:6" x14ac:dyDescent="0.2">
      <c r="A28" s="9">
        <f t="shared" si="4"/>
        <v>42548</v>
      </c>
      <c r="B28" s="1">
        <v>2642.1482031661526</v>
      </c>
      <c r="C28">
        <v>2609</v>
      </c>
      <c r="D28" s="1">
        <f t="shared" si="0"/>
        <v>-33.148203166152598</v>
      </c>
      <c r="E28" s="6">
        <f t="shared" si="3"/>
        <v>-3.8716723045722524E-3</v>
      </c>
      <c r="F28" s="1">
        <f t="shared" si="1"/>
        <v>-2.2798856869454931</v>
      </c>
    </row>
    <row r="29" spans="1:6" x14ac:dyDescent="0.2">
      <c r="A29" s="9">
        <f t="shared" si="4"/>
        <v>42555</v>
      </c>
      <c r="B29" s="1">
        <v>2637.3119089909305</v>
      </c>
      <c r="C29">
        <v>2693</v>
      </c>
      <c r="D29" s="1">
        <f t="shared" si="0"/>
        <v>55.688091009069467</v>
      </c>
      <c r="E29" s="6">
        <f t="shared" si="3"/>
        <v>1.7374982064723543E-3</v>
      </c>
      <c r="F29" s="1">
        <f t="shared" si="1"/>
        <v>2.4798237551574727</v>
      </c>
    </row>
    <row r="30" spans="1:6" x14ac:dyDescent="0.2">
      <c r="A30" s="9">
        <f t="shared" si="4"/>
        <v>42562</v>
      </c>
      <c r="B30" s="1">
        <v>2635.7929137075771</v>
      </c>
      <c r="C30">
        <v>2627</v>
      </c>
      <c r="D30" s="1">
        <f t="shared" si="0"/>
        <v>-8.7929137075770996</v>
      </c>
      <c r="E30" s="6">
        <f t="shared" si="3"/>
        <v>2.0522479201034047E-2</v>
      </c>
      <c r="F30" s="1">
        <f t="shared" si="1"/>
        <v>5.4816465014933202</v>
      </c>
    </row>
    <row r="31" spans="1:6" x14ac:dyDescent="0.2">
      <c r="A31" s="9">
        <f t="shared" si="4"/>
        <v>42569</v>
      </c>
      <c r="B31" s="1">
        <v>2637.6161615521023</v>
      </c>
      <c r="C31">
        <v>2753</v>
      </c>
      <c r="D31" s="1">
        <f t="shared" si="0"/>
        <v>115.38383844789769</v>
      </c>
      <c r="E31" s="6">
        <f t="shared" si="3"/>
        <v>7.371637940493239E-4</v>
      </c>
      <c r="F31" s="1">
        <f t="shared" si="1"/>
        <v>4.329175137806585</v>
      </c>
    </row>
    <row r="32" spans="1:6" x14ac:dyDescent="0.2">
      <c r="A32" s="9">
        <f t="shared" si="4"/>
        <v>42576</v>
      </c>
      <c r="B32" s="1">
        <v>2642.7578593296339</v>
      </c>
      <c r="C32">
        <v>2542</v>
      </c>
      <c r="D32" s="1">
        <f t="shared" si="0"/>
        <v>-100.7578593296339</v>
      </c>
      <c r="E32" s="6">
        <f t="shared" si="3"/>
        <v>-1.7219365264056732E-2</v>
      </c>
      <c r="F32" s="1">
        <f t="shared" si="1"/>
        <v>-8.4742034993712423</v>
      </c>
    </row>
    <row r="33" spans="1:6" x14ac:dyDescent="0.2">
      <c r="A33" s="9">
        <f>A32+7</f>
        <v>42583</v>
      </c>
      <c r="B33" s="1">
        <v>2651.1458177710247</v>
      </c>
      <c r="C33">
        <v>2500</v>
      </c>
      <c r="D33" s="1">
        <f t="shared" si="0"/>
        <v>-151.14581777102467</v>
      </c>
      <c r="E33" s="6">
        <f t="shared" si="3"/>
        <v>-4.4831455315840318E-2</v>
      </c>
      <c r="F33" s="1">
        <f t="shared" si="1"/>
        <v>-18.132499770234308</v>
      </c>
    </row>
    <row r="34" spans="1:6" x14ac:dyDescent="0.2">
      <c r="A34" s="9">
        <f t="shared" ref="A34:A47" si="5">A33+7</f>
        <v>42590</v>
      </c>
      <c r="B34" s="1">
        <v>2662.6604986948773</v>
      </c>
      <c r="C34">
        <v>2558</v>
      </c>
      <c r="D34" s="1">
        <f t="shared" si="0"/>
        <v>-104.66049869487733</v>
      </c>
      <c r="E34" s="6">
        <f t="shared" si="3"/>
        <v>-4.5686519107524866E-2</v>
      </c>
      <c r="F34" s="1">
        <f t="shared" si="1"/>
        <v>-16.771555998082249</v>
      </c>
    </row>
    <row r="35" spans="1:6" x14ac:dyDescent="0.2">
      <c r="A35" s="9">
        <f t="shared" si="5"/>
        <v>42597</v>
      </c>
      <c r="B35" s="1">
        <v>2677.1367527855236</v>
      </c>
      <c r="C35">
        <v>2568</v>
      </c>
      <c r="D35" s="1">
        <f t="shared" si="0"/>
        <v>-109.13675278552364</v>
      </c>
      <c r="E35" s="6">
        <f t="shared" si="3"/>
        <v>-2.5794159125316428E-2</v>
      </c>
      <c r="F35" s="1">
        <f t="shared" si="1"/>
        <v>-11.296436678223992</v>
      </c>
    </row>
    <row r="36" spans="1:6" x14ac:dyDescent="0.2">
      <c r="A36" s="9">
        <f t="shared" si="5"/>
        <v>42604</v>
      </c>
      <c r="B36" s="1">
        <v>2694.3662227243472</v>
      </c>
      <c r="C36">
        <v>2701</v>
      </c>
      <c r="D36" s="1">
        <f t="shared" si="0"/>
        <v>6.6337772756528466</v>
      </c>
      <c r="E36" s="6">
        <f t="shared" si="3"/>
        <v>-2.7910503320243904E-2</v>
      </c>
      <c r="F36" s="1">
        <f t="shared" si="1"/>
        <v>-7.8203419621517822</v>
      </c>
    </row>
    <row r="37" spans="1:6" x14ac:dyDescent="0.2">
      <c r="A37" s="9">
        <f t="shared" si="5"/>
        <v>42611</v>
      </c>
      <c r="B37" s="1">
        <v>2714.100376706032</v>
      </c>
      <c r="C37">
        <v>2591</v>
      </c>
      <c r="D37" s="1">
        <f t="shared" si="0"/>
        <v>-123.10037670603197</v>
      </c>
      <c r="E37" s="6">
        <f t="shared" si="3"/>
        <v>-3.2978481551288921E-2</v>
      </c>
      <c r="F37" s="1">
        <f t="shared" si="1"/>
        <v>-13.986468011095374</v>
      </c>
    </row>
    <row r="38" spans="1:6" x14ac:dyDescent="0.2">
      <c r="A38" s="9">
        <f t="shared" si="5"/>
        <v>42618</v>
      </c>
      <c r="B38" s="1">
        <v>2736.0541281742594</v>
      </c>
      <c r="C38">
        <v>2584</v>
      </c>
      <c r="D38" s="1">
        <f t="shared" si="0"/>
        <v>-152.0541281742594</v>
      </c>
      <c r="E38" s="6">
        <f t="shared" si="3"/>
        <v>-3.7775141305966799E-2</v>
      </c>
      <c r="F38" s="1">
        <f t="shared" si="1"/>
        <v>-16.504236503997454</v>
      </c>
    </row>
    <row r="39" spans="1:6" x14ac:dyDescent="0.2">
      <c r="A39" s="9">
        <f t="shared" si="5"/>
        <v>42625</v>
      </c>
      <c r="B39" s="1">
        <v>2759.909989057378</v>
      </c>
      <c r="C39">
        <v>2725</v>
      </c>
      <c r="D39" s="1">
        <f t="shared" si="0"/>
        <v>-34.90998905737797</v>
      </c>
      <c r="E39" s="6">
        <f t="shared" si="3"/>
        <v>-5.7041330466400163E-2</v>
      </c>
      <c r="F39" s="1">
        <f t="shared" si="1"/>
        <v>-18.114171510264296</v>
      </c>
    </row>
    <row r="40" spans="1:6" x14ac:dyDescent="0.2">
      <c r="A40" s="9">
        <f t="shared" si="5"/>
        <v>42632</v>
      </c>
      <c r="B40" s="1">
        <v>2785.3226959983849</v>
      </c>
      <c r="C40">
        <v>2500</v>
      </c>
      <c r="D40" s="1">
        <f t="shared" si="0"/>
        <v>-285.32269599838492</v>
      </c>
      <c r="E40" s="6">
        <f t="shared" si="3"/>
        <v>-5.5906978378215767E-2</v>
      </c>
      <c r="F40" s="1">
        <f t="shared" si="1"/>
        <v>-26.874272257963963</v>
      </c>
    </row>
    <row r="41" spans="1:6" x14ac:dyDescent="0.2">
      <c r="A41" s="9">
        <f t="shared" si="5"/>
        <v>42639</v>
      </c>
      <c r="B41" s="1">
        <v>2811.9242421688432</v>
      </c>
      <c r="C41">
        <v>2665</v>
      </c>
      <c r="D41" s="1">
        <f t="shared" si="0"/>
        <v>-146.92424216884319</v>
      </c>
      <c r="E41" s="6">
        <f t="shared" si="3"/>
        <v>-6.9771460017137243E-2</v>
      </c>
      <c r="F41" s="1">
        <f t="shared" si="1"/>
        <v>-26.267872202498229</v>
      </c>
    </row>
    <row r="42" spans="1:6" x14ac:dyDescent="0.2">
      <c r="A42" s="9">
        <f t="shared" si="5"/>
        <v>42646</v>
      </c>
      <c r="B42" s="1">
        <v>2839.3292413338791</v>
      </c>
      <c r="C42">
        <v>2683</v>
      </c>
      <c r="D42" s="1">
        <f t="shared" si="0"/>
        <v>-156.32924133387905</v>
      </c>
      <c r="E42" s="6">
        <f t="shared" si="3"/>
        <v>-2.7752332727404627E-2</v>
      </c>
      <c r="F42" s="1">
        <f t="shared" si="1"/>
        <v>-14.025831100654305</v>
      </c>
    </row>
    <row r="43" spans="1:6" x14ac:dyDescent="0.2">
      <c r="A43" s="9">
        <f t="shared" si="5"/>
        <v>42653</v>
      </c>
      <c r="B43" s="1">
        <v>2867.1405459817192</v>
      </c>
      <c r="C43">
        <v>2934</v>
      </c>
      <c r="D43" s="1">
        <f t="shared" si="0"/>
        <v>66.859454018280758</v>
      </c>
      <c r="E43" s="6">
        <f t="shared" si="3"/>
        <v>-2.7951754378844361E-2</v>
      </c>
      <c r="F43" s="1">
        <f t="shared" si="1"/>
        <v>-6.1987632469442655</v>
      </c>
    </row>
    <row r="44" spans="1:6" x14ac:dyDescent="0.2">
      <c r="A44" s="9">
        <f t="shared" si="5"/>
        <v>42660</v>
      </c>
      <c r="B44" s="1">
        <v>2894.9550376171219</v>
      </c>
      <c r="C44">
        <v>2744</v>
      </c>
      <c r="D44" s="1">
        <f t="shared" si="0"/>
        <v>-150.95503761712189</v>
      </c>
      <c r="E44" s="6">
        <f t="shared" si="3"/>
        <v>-6.7318360892281203E-3</v>
      </c>
      <c r="F44" s="1">
        <f t="shared" si="1"/>
        <v>-7.4792902147818916</v>
      </c>
    </row>
    <row r="45" spans="1:6" x14ac:dyDescent="0.2">
      <c r="A45" s="9">
        <f t="shared" si="5"/>
        <v>42667</v>
      </c>
      <c r="B45" s="1">
        <v>2922.3695047979299</v>
      </c>
      <c r="C45">
        <v>2948</v>
      </c>
      <c r="D45" s="1">
        <f t="shared" si="0"/>
        <v>25.630495202070051</v>
      </c>
      <c r="E45" s="6">
        <f t="shared" si="3"/>
        <v>-3.9158984408156058E-2</v>
      </c>
      <c r="F45" s="1">
        <f t="shared" si="1"/>
        <v>-11.345734657774594</v>
      </c>
    </row>
    <row r="46" spans="1:6" x14ac:dyDescent="0.2">
      <c r="A46" s="9">
        <f t="shared" si="5"/>
        <v>42674</v>
      </c>
      <c r="B46" s="1">
        <v>2948.9865232047068</v>
      </c>
      <c r="C46">
        <v>2731</v>
      </c>
      <c r="D46" s="1">
        <f t="shared" si="0"/>
        <v>-217.98652320470683</v>
      </c>
      <c r="E46" s="6">
        <f t="shared" si="3"/>
        <v>-2.8798173880155025E-2</v>
      </c>
      <c r="F46" s="1">
        <f t="shared" si="1"/>
        <v>-16.884385828612704</v>
      </c>
    </row>
    <row r="47" spans="1:6" x14ac:dyDescent="0.2">
      <c r="A47" s="9">
        <f t="shared" si="5"/>
        <v>42681</v>
      </c>
      <c r="B47" s="1">
        <v>2974.4202519938121</v>
      </c>
      <c r="C47">
        <v>2912</v>
      </c>
      <c r="D47" s="1">
        <f t="shared" si="0"/>
        <v>-62.420251993812144</v>
      </c>
      <c r="E47" s="6">
        <f t="shared" si="3"/>
        <v>-4.2216499931523058E-2</v>
      </c>
      <c r="F47" s="1">
        <f t="shared" si="1"/>
        <v>-15.683181753130887</v>
      </c>
    </row>
    <row r="48" spans="1:6" x14ac:dyDescent="0.2">
      <c r="A48" s="9">
        <f>A47+7</f>
        <v>42688</v>
      </c>
      <c r="B48" s="1">
        <v>2998.3020618953337</v>
      </c>
      <c r="C48">
        <v>2902</v>
      </c>
      <c r="D48" s="1">
        <f t="shared" si="0"/>
        <v>-96.302061895333736</v>
      </c>
      <c r="E48" s="6">
        <f t="shared" si="3"/>
        <v>-3.0129077641918196E-2</v>
      </c>
      <c r="F48" s="1">
        <f t="shared" si="1"/>
        <v>-13.118224598058484</v>
      </c>
    </row>
    <row r="49" spans="1:6" x14ac:dyDescent="0.2">
      <c r="A49" s="9">
        <f t="shared" ref="A49:A55" si="6">A48+7</f>
        <v>42695</v>
      </c>
      <c r="B49" s="1">
        <v>3020.2859129611579</v>
      </c>
      <c r="C49">
        <v>2908</v>
      </c>
      <c r="D49" s="1">
        <f t="shared" si="0"/>
        <v>-112.28591296115792</v>
      </c>
      <c r="E49" s="6">
        <f t="shared" si="3"/>
        <v>-3.3069868990497665E-2</v>
      </c>
      <c r="F49" s="1">
        <f t="shared" si="1"/>
        <v>-14.711688975984689</v>
      </c>
    </row>
    <row r="50" spans="1:6" x14ac:dyDescent="0.2">
      <c r="A50" s="9">
        <f t="shared" si="6"/>
        <v>42702</v>
      </c>
      <c r="B50" s="1">
        <v>3040.0534035099217</v>
      </c>
      <c r="C50">
        <v>2949</v>
      </c>
      <c r="D50" s="1">
        <f t="shared" si="0"/>
        <v>-91.053403509921736</v>
      </c>
      <c r="E50" s="6">
        <f t="shared" si="3"/>
        <v>-2.3975207455254791E-2</v>
      </c>
      <c r="F50" s="1">
        <f t="shared" si="1"/>
        <v>-11.061112020804753</v>
      </c>
    </row>
    <row r="51" spans="1:6" x14ac:dyDescent="0.2">
      <c r="A51" s="9">
        <f t="shared" si="6"/>
        <v>42709</v>
      </c>
      <c r="B51" s="1">
        <v>3057.3184166015317</v>
      </c>
      <c r="C51">
        <v>3042</v>
      </c>
      <c r="D51" s="1">
        <f t="shared" si="0"/>
        <v>-15.31841660153168</v>
      </c>
      <c r="E51" s="6">
        <f t="shared" si="3"/>
        <v>-5.3645177070837042E-3</v>
      </c>
      <c r="F51" s="1">
        <f t="shared" si="1"/>
        <v>-2.3043404624174206</v>
      </c>
    </row>
    <row r="52" spans="1:6" x14ac:dyDescent="0.2">
      <c r="A52" s="9">
        <f t="shared" si="6"/>
        <v>42716</v>
      </c>
      <c r="B52" s="1">
        <v>3071.8312962347027</v>
      </c>
      <c r="C52">
        <v>3129</v>
      </c>
      <c r="D52" s="1">
        <f t="shared" si="0"/>
        <v>57.168703765297323</v>
      </c>
      <c r="E52" s="6">
        <f t="shared" si="3"/>
        <v>4.5596027121853717E-3</v>
      </c>
      <c r="F52" s="1">
        <f t="shared" si="1"/>
        <v>3.5424176676557244</v>
      </c>
    </row>
    <row r="53" spans="1:6" x14ac:dyDescent="0.2">
      <c r="A53" s="9">
        <f t="shared" si="6"/>
        <v>42723</v>
      </c>
      <c r="B53" s="1">
        <v>3071.8312962347027</v>
      </c>
      <c r="C53">
        <v>3072</v>
      </c>
      <c r="D53" s="1">
        <f t="shared" si="0"/>
        <v>0.16870376529732312</v>
      </c>
      <c r="E53" s="6">
        <f t="shared" si="3"/>
        <v>3.1266765787843626E-2</v>
      </c>
      <c r="F53" s="1">
        <f t="shared" si="1"/>
        <v>10.29669260009689</v>
      </c>
    </row>
    <row r="54" spans="1:6" x14ac:dyDescent="0.2">
      <c r="A54" s="9">
        <f t="shared" si="6"/>
        <v>42730</v>
      </c>
      <c r="B54" s="1">
        <v>3105.1987184931791</v>
      </c>
      <c r="C54">
        <v>3336</v>
      </c>
      <c r="D54" s="1">
        <f t="shared" si="0"/>
        <v>230.80128150682094</v>
      </c>
      <c r="E54" s="6">
        <f t="shared" si="3"/>
        <v>7.356351547582872E-2</v>
      </c>
      <c r="F54" s="1">
        <f t="shared" si="1"/>
        <v>32.717474409178941</v>
      </c>
    </row>
    <row r="55" spans="1:6" x14ac:dyDescent="0.2">
      <c r="A55" s="9">
        <f t="shared" si="6"/>
        <v>42737</v>
      </c>
      <c r="B55" s="1">
        <v>3113.6819833219288</v>
      </c>
      <c r="C55">
        <v>3568</v>
      </c>
      <c r="D55" s="1">
        <f t="shared" si="0"/>
        <v>454.31801667807122</v>
      </c>
      <c r="E55" s="6">
        <f t="shared" si="3"/>
        <v>0.12881061659160625</v>
      </c>
      <c r="F55" s="1">
        <f t="shared" si="1"/>
        <v>59.19799661084609</v>
      </c>
    </row>
    <row r="56" spans="1:6" x14ac:dyDescent="0.2">
      <c r="A56" s="9">
        <f>A55+7</f>
        <v>42744</v>
      </c>
      <c r="B56" s="1">
        <v>3118.8934097592728</v>
      </c>
      <c r="C56">
        <v>3637</v>
      </c>
      <c r="D56" s="1">
        <f t="shared" si="0"/>
        <v>518.1065902407272</v>
      </c>
      <c r="E56" s="6">
        <f t="shared" si="3"/>
        <v>0.14307056765414042</v>
      </c>
      <c r="F56" s="1">
        <f t="shared" si="1"/>
        <v>66.313290785777767</v>
      </c>
    </row>
    <row r="57" spans="1:6" x14ac:dyDescent="0.2">
      <c r="A57" s="9">
        <f t="shared" ref="A57:A120" si="7">A56+7</f>
        <v>42751</v>
      </c>
      <c r="B57" s="1">
        <v>3120.7590551577482</v>
      </c>
      <c r="C57">
        <v>3487</v>
      </c>
      <c r="D57" s="1">
        <f t="shared" si="0"/>
        <v>366.24094484225179</v>
      </c>
      <c r="E57" s="6">
        <f t="shared" si="3"/>
        <v>0.14858498101081574</v>
      </c>
      <c r="F57" s="1">
        <f t="shared" si="1"/>
        <v>62.761954274717418</v>
      </c>
    </row>
    <row r="58" spans="1:6" x14ac:dyDescent="0.2">
      <c r="A58" s="9">
        <f t="shared" si="7"/>
        <v>42758</v>
      </c>
      <c r="B58" s="1">
        <v>3119.2537602331431</v>
      </c>
      <c r="C58">
        <v>3626</v>
      </c>
      <c r="D58" s="1">
        <f t="shared" si="0"/>
        <v>506.74623976685689</v>
      </c>
      <c r="E58" s="6">
        <f t="shared" si="3"/>
        <v>0.14240432332418454</v>
      </c>
      <c r="F58" s="1">
        <f t="shared" si="1"/>
        <v>65.690425099075483</v>
      </c>
    </row>
    <row r="59" spans="1:6" x14ac:dyDescent="0.2">
      <c r="A59" s="9">
        <f t="shared" si="7"/>
        <v>42765</v>
      </c>
      <c r="B59" s="1">
        <v>3114.401521601852</v>
      </c>
      <c r="C59">
        <v>3574</v>
      </c>
      <c r="D59" s="1">
        <f t="shared" si="0"/>
        <v>459.59847839814802</v>
      </c>
      <c r="E59" s="6">
        <f t="shared" si="3"/>
        <v>0.13978818098131524</v>
      </c>
      <c r="F59" s="1">
        <f t="shared" si="1"/>
        <v>63.059573180308497</v>
      </c>
    </row>
    <row r="60" spans="1:6" x14ac:dyDescent="0.2">
      <c r="A60" s="9">
        <f t="shared" si="7"/>
        <v>42772</v>
      </c>
      <c r="B60" s="1">
        <v>3106.2751475145151</v>
      </c>
      <c r="C60">
        <v>3446</v>
      </c>
      <c r="D60" s="1">
        <f t="shared" si="0"/>
        <v>339.72485248548492</v>
      </c>
      <c r="E60" s="6">
        <f t="shared" si="3"/>
        <v>0.12032934151130241</v>
      </c>
      <c r="F60" s="1">
        <f t="shared" si="1"/>
        <v>52.180463630197174</v>
      </c>
    </row>
    <row r="61" spans="1:6" x14ac:dyDescent="0.2">
      <c r="A61" s="9">
        <f t="shared" si="7"/>
        <v>42779</v>
      </c>
      <c r="B61" s="1">
        <v>3094.9952017235969</v>
      </c>
      <c r="C61">
        <v>3417</v>
      </c>
      <c r="D61" s="1">
        <f t="shared" si="0"/>
        <v>322.00479827640311</v>
      </c>
      <c r="E61" s="6">
        <f t="shared" si="3"/>
        <v>9.7900141003047114E-2</v>
      </c>
      <c r="F61" s="1">
        <f t="shared" si="1"/>
        <v>43.964507079781647</v>
      </c>
    </row>
    <row r="62" spans="1:6" x14ac:dyDescent="0.2">
      <c r="A62" s="9">
        <f t="shared" si="7"/>
        <v>42786</v>
      </c>
      <c r="B62" s="1">
        <v>3080.728250804405</v>
      </c>
      <c r="C62">
        <v>3328</v>
      </c>
      <c r="D62" s="1">
        <f t="shared" si="0"/>
        <v>247.27174919559502</v>
      </c>
      <c r="E62" s="6">
        <f t="shared" si="3"/>
        <v>7.115115361567366E-2</v>
      </c>
      <c r="F62" s="1">
        <f t="shared" si="1"/>
        <v>32.316566294963728</v>
      </c>
    </row>
    <row r="63" spans="1:6" x14ac:dyDescent="0.2">
      <c r="A63" s="9">
        <f t="shared" si="7"/>
        <v>42793</v>
      </c>
      <c r="B63" s="1">
        <v>3063.6844404086087</v>
      </c>
      <c r="C63">
        <v>3152</v>
      </c>
      <c r="D63" s="1">
        <f t="shared" si="0"/>
        <v>88.31555959139132</v>
      </c>
      <c r="E63" s="6">
        <f t="shared" si="3"/>
        <v>3.7587952217681145E-2</v>
      </c>
      <c r="F63" s="1">
        <f t="shared" si="1"/>
        <v>15.492444023563833</v>
      </c>
    </row>
    <row r="64" spans="1:6" x14ac:dyDescent="0.2">
      <c r="A64" s="9">
        <f t="shared" si="7"/>
        <v>42800</v>
      </c>
      <c r="B64" s="1">
        <v>3044.1144357185904</v>
      </c>
      <c r="C64">
        <v>3054</v>
      </c>
      <c r="D64" s="1">
        <f t="shared" si="0"/>
        <v>9.8855642814096427</v>
      </c>
      <c r="E64" s="6">
        <f t="shared" si="3"/>
        <v>-8.8810334923100486E-3</v>
      </c>
      <c r="F64" s="1">
        <f t="shared" si="1"/>
        <v>-2.5435386604540815</v>
      </c>
    </row>
    <row r="65" spans="1:6" x14ac:dyDescent="0.2">
      <c r="A65" s="9">
        <f t="shared" si="7"/>
        <v>42807</v>
      </c>
      <c r="B65" s="1">
        <v>3022.3057706469249</v>
      </c>
      <c r="C65">
        <v>2843</v>
      </c>
      <c r="D65" s="1">
        <f t="shared" si="0"/>
        <v>-179.30577064692488</v>
      </c>
      <c r="E65" s="6">
        <f t="shared" si="3"/>
        <v>-4.3013391641360733E-2</v>
      </c>
      <c r="F65" s="1">
        <f t="shared" si="1"/>
        <v>-20.332308427330968</v>
      </c>
    </row>
    <row r="66" spans="1:6" x14ac:dyDescent="0.2">
      <c r="A66" s="9">
        <f t="shared" si="7"/>
        <v>42814</v>
      </c>
      <c r="B66" s="1">
        <v>2998.578658952827</v>
      </c>
      <c r="C66">
        <v>2778</v>
      </c>
      <c r="D66" s="1">
        <f t="shared" si="0"/>
        <v>-220.57865895282703</v>
      </c>
      <c r="E66" s="6">
        <f t="shared" si="3"/>
        <v>-5.8157082338350985E-2</v>
      </c>
      <c r="F66" s="1">
        <f t="shared" si="1"/>
        <v>-26.562300601894712</v>
      </c>
    </row>
    <row r="67" spans="1:6" x14ac:dyDescent="0.2">
      <c r="A67" s="9">
        <f t="shared" si="7"/>
        <v>42821</v>
      </c>
      <c r="B67" s="1">
        <v>2973.281328300473</v>
      </c>
      <c r="C67">
        <v>2850</v>
      </c>
      <c r="D67" s="1">
        <f t="shared" si="0"/>
        <v>-123.28132830047298</v>
      </c>
      <c r="E67" s="6">
        <f t="shared" si="3"/>
        <v>-5.9041944387466724E-2</v>
      </c>
      <c r="F67" s="1">
        <f t="shared" si="1"/>
        <v>-23.211652171496503</v>
      </c>
    </row>
    <row r="68" spans="1:6" x14ac:dyDescent="0.2">
      <c r="A68" s="9">
        <f t="shared" si="7"/>
        <v>42828</v>
      </c>
      <c r="B68" s="1">
        <v>2946.7849452481291</v>
      </c>
      <c r="C68">
        <v>2764</v>
      </c>
      <c r="D68" s="1">
        <f t="shared" ref="D68:D131" si="8">C68-B68</f>
        <v>-182.78494524812913</v>
      </c>
      <c r="E68" s="6">
        <f t="shared" si="3"/>
        <v>-4.7005407181041223E-2</v>
      </c>
      <c r="F68" s="1">
        <f t="shared" ref="F68:F131" si="9">(0.5*D68+0.25*(D67+D69))/7</f>
        <v>-21.368907997399315</v>
      </c>
    </row>
    <row r="69" spans="1:6" x14ac:dyDescent="0.2">
      <c r="A69" s="9">
        <f t="shared" si="7"/>
        <v>42835</v>
      </c>
      <c r="B69" s="1">
        <v>2919.4782051304496</v>
      </c>
      <c r="C69">
        <v>2810</v>
      </c>
      <c r="D69" s="1">
        <f t="shared" si="8"/>
        <v>-109.47820513044962</v>
      </c>
      <c r="E69" s="6">
        <f t="shared" ref="E69:E132" si="10">AVERAGE(D68:D70)/B69</f>
        <v>-5.3779566412759147E-2</v>
      </c>
      <c r="F69" s="1">
        <f t="shared" si="9"/>
        <v>-20.732250757167758</v>
      </c>
    </row>
    <row r="70" spans="1:6" x14ac:dyDescent="0.2">
      <c r="A70" s="9">
        <f t="shared" si="7"/>
        <v>42842</v>
      </c>
      <c r="B70" s="1">
        <v>2891.7616656916689</v>
      </c>
      <c r="C70">
        <v>2713</v>
      </c>
      <c r="D70" s="1">
        <f t="shared" si="8"/>
        <v>-178.7616656916689</v>
      </c>
      <c r="E70" s="6">
        <f t="shared" si="10"/>
        <v>-4.3143456154102963E-2</v>
      </c>
      <c r="F70" s="1">
        <f t="shared" si="9"/>
        <v>-19.75155155669006</v>
      </c>
    </row>
    <row r="71" spans="1:6" x14ac:dyDescent="0.2">
      <c r="A71" s="9">
        <f t="shared" si="7"/>
        <v>42849</v>
      </c>
      <c r="B71" s="1">
        <v>2864.0419070735343</v>
      </c>
      <c r="C71">
        <v>2778</v>
      </c>
      <c r="D71" s="1">
        <f t="shared" si="8"/>
        <v>-86.041907073534276</v>
      </c>
      <c r="E71" s="6">
        <f t="shared" si="10"/>
        <v>-3.8701619000696047E-2</v>
      </c>
      <c r="F71" s="1">
        <f t="shared" si="9"/>
        <v>-14.948967255081957</v>
      </c>
    </row>
    <row r="72" spans="1:6" x14ac:dyDescent="0.2">
      <c r="A72" s="9">
        <f t="shared" si="7"/>
        <v>42856</v>
      </c>
      <c r="B72" s="1">
        <v>2836.7256033035574</v>
      </c>
      <c r="C72">
        <v>2769</v>
      </c>
      <c r="D72" s="1">
        <f t="shared" si="8"/>
        <v>-67.725603303557364</v>
      </c>
      <c r="E72" s="6">
        <f t="shared" si="10"/>
        <v>-1.9033811602848807E-2</v>
      </c>
      <c r="F72" s="1">
        <f t="shared" si="9"/>
        <v>-8.2038109075117838</v>
      </c>
    </row>
    <row r="73" spans="1:6" x14ac:dyDescent="0.2">
      <c r="A73" s="9">
        <f t="shared" si="7"/>
        <v>42863</v>
      </c>
      <c r="B73" s="1">
        <v>2810.213591729681</v>
      </c>
      <c r="C73">
        <v>2802</v>
      </c>
      <c r="D73" s="1">
        <f t="shared" si="8"/>
        <v>-8.2135917296809566</v>
      </c>
      <c r="E73" s="6">
        <f t="shared" si="10"/>
        <v>-7.0972329999702578E-3</v>
      </c>
      <c r="F73" s="1">
        <f t="shared" si="9"/>
        <v>-2.4302790589374093</v>
      </c>
    </row>
    <row r="74" spans="1:6" x14ac:dyDescent="0.2">
      <c r="A74" s="9">
        <f t="shared" si="7"/>
        <v>42870</v>
      </c>
      <c r="B74" s="1">
        <v>2784.8950268873282</v>
      </c>
      <c r="C74">
        <v>2801</v>
      </c>
      <c r="D74" s="1">
        <f t="shared" si="8"/>
        <v>16.104973112671814</v>
      </c>
      <c r="E74" s="6">
        <f t="shared" si="10"/>
        <v>2.2442111388326115E-3</v>
      </c>
      <c r="F74" s="1">
        <f t="shared" si="9"/>
        <v>1.244808944004717</v>
      </c>
    </row>
    <row r="75" spans="1:6" x14ac:dyDescent="0.2">
      <c r="A75" s="9">
        <f t="shared" si="7"/>
        <v>42877</v>
      </c>
      <c r="B75" s="1">
        <v>2761.1417040635306</v>
      </c>
      <c r="C75">
        <v>2772</v>
      </c>
      <c r="D75" s="1">
        <f t="shared" si="8"/>
        <v>10.858295936469403</v>
      </c>
      <c r="E75" s="6">
        <f t="shared" si="10"/>
        <v>-1.3689224149681977E-3</v>
      </c>
      <c r="F75" s="1">
        <f t="shared" si="9"/>
        <v>-1.7181084725669798E-2</v>
      </c>
    </row>
    <row r="76" spans="1:6" x14ac:dyDescent="0.2">
      <c r="A76" s="9">
        <f t="shared" si="7"/>
        <v>42884</v>
      </c>
      <c r="B76" s="1">
        <v>2739.3026353579294</v>
      </c>
      <c r="C76">
        <v>2701</v>
      </c>
      <c r="D76" s="1">
        <f t="shared" si="8"/>
        <v>-38.302635357929375</v>
      </c>
      <c r="E76" s="6">
        <f t="shared" si="10"/>
        <v>-1.4984750157430697E-2</v>
      </c>
      <c r="F76" s="1">
        <f t="shared" si="9"/>
        <v>-5.7659261481149837</v>
      </c>
    </row>
    <row r="77" spans="1:6" x14ac:dyDescent="0.2">
      <c r="A77" s="9">
        <f t="shared" si="7"/>
        <v>42891</v>
      </c>
      <c r="B77" s="1">
        <v>2719.6989573678302</v>
      </c>
      <c r="C77">
        <v>2624</v>
      </c>
      <c r="D77" s="1">
        <f t="shared" si="8"/>
        <v>-95.698957367830189</v>
      </c>
      <c r="E77" s="6">
        <f t="shared" si="10"/>
        <v>-2.3730670263919174E-2</v>
      </c>
      <c r="F77" s="1">
        <f t="shared" si="9"/>
        <v>-10.332849817539016</v>
      </c>
    </row>
    <row r="78" spans="1:6" x14ac:dyDescent="0.2">
      <c r="A78" s="9">
        <f t="shared" si="7"/>
        <v>42898</v>
      </c>
      <c r="B78" s="1">
        <v>2702.6192447975027</v>
      </c>
      <c r="C78">
        <v>2643</v>
      </c>
      <c r="D78" s="1">
        <f t="shared" si="8"/>
        <v>-59.619244797502688</v>
      </c>
      <c r="E78" s="6">
        <f t="shared" si="10"/>
        <v>-2.6718956800044893E-2</v>
      </c>
      <c r="F78" s="1">
        <f t="shared" si="9"/>
        <v>-9.8661694765587846</v>
      </c>
    </row>
    <row r="79" spans="1:6" x14ac:dyDescent="0.2">
      <c r="A79" s="9">
        <f t="shared" si="7"/>
        <v>42905</v>
      </c>
      <c r="B79" s="1">
        <v>2688.3152983808104</v>
      </c>
      <c r="C79">
        <v>2627</v>
      </c>
      <c r="D79" s="1">
        <f t="shared" si="8"/>
        <v>-61.315298380810418</v>
      </c>
      <c r="E79" s="6">
        <f t="shared" si="10"/>
        <v>-1.3258986875526334E-2</v>
      </c>
      <c r="F79" s="1">
        <f t="shared" si="9"/>
        <v>-6.0088682198690675</v>
      </c>
    </row>
    <row r="80" spans="1:6" x14ac:dyDescent="0.2">
      <c r="A80" s="9">
        <f t="shared" si="7"/>
        <v>42912</v>
      </c>
      <c r="B80" s="1">
        <v>2676.9984685972104</v>
      </c>
      <c r="C80">
        <v>2691</v>
      </c>
      <c r="D80" s="1">
        <f t="shared" si="8"/>
        <v>14.001531402789624</v>
      </c>
      <c r="E80" s="6">
        <f t="shared" si="10"/>
        <v>-2.3845532048131887E-3</v>
      </c>
      <c r="F80" s="1">
        <f t="shared" si="9"/>
        <v>-0.18388587249752877</v>
      </c>
    </row>
    <row r="81" spans="1:6" x14ac:dyDescent="0.2">
      <c r="A81" s="9">
        <f t="shared" si="7"/>
        <v>42919</v>
      </c>
      <c r="B81" s="1">
        <v>2668.8365688546996</v>
      </c>
      <c r="C81">
        <v>2697</v>
      </c>
      <c r="D81" s="1">
        <f t="shared" si="8"/>
        <v>28.163431145300365</v>
      </c>
      <c r="E81" s="6">
        <f t="shared" si="10"/>
        <v>-1.2712962877147717E-2</v>
      </c>
      <c r="F81" s="1">
        <f t="shared" si="9"/>
        <v>-2.6293939117775671</v>
      </c>
    </row>
    <row r="82" spans="1:6" x14ac:dyDescent="0.2">
      <c r="A82" s="9">
        <f t="shared" si="7"/>
        <v>42926</v>
      </c>
      <c r="B82" s="1">
        <v>2663.9514232231622</v>
      </c>
      <c r="C82">
        <v>2520</v>
      </c>
      <c r="D82" s="1">
        <f t="shared" si="8"/>
        <v>-143.95142322316224</v>
      </c>
      <c r="E82" s="6">
        <f t="shared" si="10"/>
        <v>-1.3038911010483104E-2</v>
      </c>
      <c r="F82" s="1">
        <f t="shared" si="9"/>
        <v>-8.8627321376475745</v>
      </c>
    </row>
    <row r="83" spans="1:6" x14ac:dyDescent="0.2">
      <c r="A83" s="9">
        <f t="shared" si="7"/>
        <v>42933</v>
      </c>
      <c r="B83" s="1">
        <v>2662.417084553108</v>
      </c>
      <c r="C83">
        <v>2674</v>
      </c>
      <c r="D83" s="1">
        <f t="shared" si="8"/>
        <v>11.582915446892002</v>
      </c>
      <c r="E83" s="6">
        <f t="shared" si="10"/>
        <v>-2.8248423600725932E-2</v>
      </c>
      <c r="F83" s="1">
        <f t="shared" si="9"/>
        <v>-7.6444407632823514</v>
      </c>
    </row>
    <row r="84" spans="1:6" x14ac:dyDescent="0.2">
      <c r="A84" s="9">
        <f t="shared" si="7"/>
        <v>42940</v>
      </c>
      <c r="B84" s="1">
        <v>2664.2587490425276</v>
      </c>
      <c r="C84">
        <v>2571</v>
      </c>
      <c r="D84" s="1">
        <f t="shared" si="8"/>
        <v>-93.258749042527597</v>
      </c>
      <c r="E84" s="6">
        <f t="shared" si="10"/>
        <v>-3.0168268108786089E-2</v>
      </c>
      <c r="F84" s="1">
        <f t="shared" si="9"/>
        <v>-11.9423916356932</v>
      </c>
    </row>
    <row r="85" spans="1:6" x14ac:dyDescent="0.2">
      <c r="A85" s="9">
        <f t="shared" si="7"/>
        <v>42947</v>
      </c>
      <c r="B85" s="1">
        <v>2669.4523831612464</v>
      </c>
      <c r="C85">
        <v>2510</v>
      </c>
      <c r="D85" s="1">
        <f t="shared" si="8"/>
        <v>-159.45238316124642</v>
      </c>
      <c r="E85" s="6">
        <f t="shared" si="10"/>
        <v>-3.4168830829053934E-2</v>
      </c>
      <c r="F85" s="1">
        <f t="shared" si="9"/>
        <v>-15.467449422164318</v>
      </c>
    </row>
    <row r="86" spans="1:6" x14ac:dyDescent="0.2">
      <c r="A86" s="9">
        <f t="shared" si="7"/>
        <v>42954</v>
      </c>
      <c r="B86" s="1">
        <v>2677.9250684555805</v>
      </c>
      <c r="C86">
        <v>2657</v>
      </c>
      <c r="D86" s="1">
        <f t="shared" si="8"/>
        <v>-20.925068455580458</v>
      </c>
      <c r="E86" s="6">
        <f t="shared" si="10"/>
        <v>-4.1068302568906701E-2</v>
      </c>
      <c r="F86" s="1">
        <f t="shared" si="9"/>
        <v>-12.530663548577227</v>
      </c>
    </row>
    <row r="87" spans="1:6" x14ac:dyDescent="0.2">
      <c r="A87" s="9">
        <f t="shared" si="7"/>
        <v>42961</v>
      </c>
      <c r="B87" s="1">
        <v>2689.556059287755</v>
      </c>
      <c r="C87">
        <v>2540</v>
      </c>
      <c r="D87" s="1">
        <f t="shared" si="8"/>
        <v>-149.55605928775503</v>
      </c>
      <c r="E87" s="6">
        <f t="shared" si="10"/>
        <v>-4.0856763302643498E-2</v>
      </c>
      <c r="F87" s="1">
        <f t="shared" si="9"/>
        <v>-17.114847328510223</v>
      </c>
    </row>
    <row r="88" spans="1:6" x14ac:dyDescent="0.2">
      <c r="A88" s="9">
        <f t="shared" si="7"/>
        <v>42968</v>
      </c>
      <c r="B88" s="1">
        <v>2704.1785381671957</v>
      </c>
      <c r="C88">
        <v>2545</v>
      </c>
      <c r="D88" s="1">
        <f t="shared" si="8"/>
        <v>-159.17853816719571</v>
      </c>
      <c r="E88" s="6">
        <f t="shared" si="10"/>
        <v>-5.6001805378671263E-2</v>
      </c>
      <c r="F88" s="1">
        <f t="shared" si="9"/>
        <v>-21.910542099216173</v>
      </c>
    </row>
    <row r="89" spans="1:6" x14ac:dyDescent="0.2">
      <c r="A89" s="9">
        <f t="shared" si="7"/>
        <v>42975</v>
      </c>
      <c r="B89" s="1">
        <v>2721.5820431559064</v>
      </c>
      <c r="C89">
        <v>2576</v>
      </c>
      <c r="D89" s="1">
        <f t="shared" si="8"/>
        <v>-145.58204315590638</v>
      </c>
      <c r="E89" s="6">
        <f t="shared" si="10"/>
        <v>-5.8333242185014088E-2</v>
      </c>
      <c r="F89" s="1">
        <f t="shared" si="9"/>
        <v>-22.209219875189401</v>
      </c>
    </row>
    <row r="90" spans="1:6" x14ac:dyDescent="0.2">
      <c r="A90" s="9">
        <f t="shared" si="7"/>
        <v>42982</v>
      </c>
      <c r="B90" s="1">
        <v>2741.5155320262947</v>
      </c>
      <c r="C90">
        <v>2570</v>
      </c>
      <c r="D90" s="1">
        <f t="shared" si="8"/>
        <v>-171.51553202629475</v>
      </c>
      <c r="E90" s="6">
        <f t="shared" si="10"/>
        <v>-4.5447929484680134E-2</v>
      </c>
      <c r="F90" s="1">
        <f t="shared" si="9"/>
        <v>-19.475148063155498</v>
      </c>
    </row>
    <row r="91" spans="1:6" x14ac:dyDescent="0.2">
      <c r="A91" s="9">
        <f t="shared" si="7"/>
        <v>42989</v>
      </c>
      <c r="B91" s="1">
        <v>2763.691038559858</v>
      </c>
      <c r="C91">
        <v>2707</v>
      </c>
      <c r="D91" s="1">
        <f t="shared" si="8"/>
        <v>-56.691038559858043</v>
      </c>
      <c r="E91" s="6">
        <f t="shared" si="10"/>
        <v>-3.6303435528949282E-2</v>
      </c>
      <c r="F91" s="1">
        <f t="shared" si="9"/>
        <v>-12.774481317169148</v>
      </c>
    </row>
    <row r="92" spans="1:6" x14ac:dyDescent="0.2">
      <c r="A92" s="9">
        <f t="shared" si="7"/>
        <v>42996</v>
      </c>
      <c r="B92" s="1">
        <v>2787.7878677347253</v>
      </c>
      <c r="C92">
        <v>2715</v>
      </c>
      <c r="D92" s="1">
        <f t="shared" si="8"/>
        <v>-72.787867734725296</v>
      </c>
      <c r="E92" s="6">
        <f t="shared" si="10"/>
        <v>-3.2754306517878799E-2</v>
      </c>
      <c r="F92" s="1">
        <f t="shared" si="9"/>
        <v>-12.383001525519505</v>
      </c>
    </row>
    <row r="93" spans="1:6" x14ac:dyDescent="0.2">
      <c r="A93" s="9">
        <f t="shared" si="7"/>
        <v>43003</v>
      </c>
      <c r="B93" s="1">
        <v>2813.4572686852375</v>
      </c>
      <c r="C93">
        <v>2669</v>
      </c>
      <c r="D93" s="1">
        <f t="shared" si="8"/>
        <v>-144.45726868523752</v>
      </c>
      <c r="E93" s="6">
        <f t="shared" si="10"/>
        <v>-4.9354775279372196E-2</v>
      </c>
      <c r="F93" s="1">
        <f t="shared" si="9"/>
        <v>-20.03678294455236</v>
      </c>
    </row>
    <row r="94" spans="1:6" x14ac:dyDescent="0.2">
      <c r="A94" s="9">
        <f t="shared" si="7"/>
        <v>43010</v>
      </c>
      <c r="B94" s="1">
        <v>2840.3275173422658</v>
      </c>
      <c r="C94">
        <v>2641</v>
      </c>
      <c r="D94" s="1">
        <f t="shared" si="8"/>
        <v>-199.32751734226576</v>
      </c>
      <c r="E94" s="6">
        <f t="shared" si="10"/>
        <v>-5.2669292299095193E-2</v>
      </c>
      <c r="F94" s="1">
        <f t="shared" si="9"/>
        <v>-23.14720135894483</v>
      </c>
    </row>
    <row r="95" spans="1:6" x14ac:dyDescent="0.2">
      <c r="A95" s="9">
        <f t="shared" si="7"/>
        <v>43017</v>
      </c>
      <c r="B95" s="1">
        <v>2868.0093346806862</v>
      </c>
      <c r="C95">
        <v>2763</v>
      </c>
      <c r="D95" s="1">
        <f t="shared" si="8"/>
        <v>-105.00933468068615</v>
      </c>
      <c r="E95" s="6">
        <f t="shared" si="10"/>
        <v>-5.7465923331301044E-2</v>
      </c>
      <c r="F95" s="1">
        <f t="shared" si="9"/>
        <v>-21.408848153619083</v>
      </c>
    </row>
    <row r="96" spans="1:6" x14ac:dyDescent="0.2">
      <c r="A96" s="9">
        <f t="shared" si="7"/>
        <v>43024</v>
      </c>
      <c r="B96" s="1">
        <v>2896.1015615976962</v>
      </c>
      <c r="C96">
        <v>2706</v>
      </c>
      <c r="D96" s="1">
        <f t="shared" si="8"/>
        <v>-190.10156159769622</v>
      </c>
      <c r="E96" s="6">
        <f t="shared" si="10"/>
        <v>-6.2533247127415134E-2</v>
      </c>
      <c r="F96" s="1">
        <f t="shared" si="9"/>
        <v>-26.193195198933608</v>
      </c>
    </row>
    <row r="97" spans="1:6" x14ac:dyDescent="0.2">
      <c r="A97" s="9">
        <f t="shared" si="7"/>
        <v>43031</v>
      </c>
      <c r="B97" s="1">
        <v>2924.1970076940624</v>
      </c>
      <c r="C97">
        <v>2676</v>
      </c>
      <c r="D97" s="1">
        <f t="shared" si="8"/>
        <v>-248.19700769406245</v>
      </c>
      <c r="E97" s="6">
        <f t="shared" si="10"/>
        <v>-7.5711606323484948E-2</v>
      </c>
      <c r="F97" s="1">
        <f t="shared" si="9"/>
        <v>-32.585141631092824</v>
      </c>
    </row>
    <row r="98" spans="1:6" x14ac:dyDescent="0.2">
      <c r="A98" s="9">
        <f t="shared" si="7"/>
        <v>43038</v>
      </c>
      <c r="B98" s="1">
        <v>2951.888388684778</v>
      </c>
      <c r="C98">
        <v>2726</v>
      </c>
      <c r="D98" s="1">
        <f t="shared" si="8"/>
        <v>-225.88838868477796</v>
      </c>
      <c r="E98" s="6">
        <f t="shared" si="10"/>
        <v>-7.406102759578484E-2</v>
      </c>
      <c r="F98" s="1">
        <f t="shared" si="9"/>
        <v>-31.491001818819946</v>
      </c>
    </row>
    <row r="99" spans="1:6" x14ac:dyDescent="0.2">
      <c r="A99" s="9">
        <f t="shared" si="7"/>
        <v>43045</v>
      </c>
      <c r="B99" s="1">
        <v>2978.7742658633401</v>
      </c>
      <c r="C99">
        <v>2797</v>
      </c>
      <c r="D99" s="1">
        <f t="shared" si="8"/>
        <v>-181.77426586334013</v>
      </c>
      <c r="E99" s="6">
        <f t="shared" si="10"/>
        <v>-5.5518088008835821E-2</v>
      </c>
      <c r="F99" s="1">
        <f t="shared" si="9"/>
        <v>-24.21077933626103</v>
      </c>
    </row>
    <row r="100" spans="1:6" x14ac:dyDescent="0.2">
      <c r="A100" s="9">
        <f t="shared" si="7"/>
        <v>43052</v>
      </c>
      <c r="B100" s="1">
        <v>3004.4649010038506</v>
      </c>
      <c r="C100">
        <v>2916</v>
      </c>
      <c r="D100" s="1">
        <f t="shared" si="8"/>
        <v>-88.464901003850628</v>
      </c>
      <c r="E100" s="6">
        <f t="shared" si="10"/>
        <v>-4.2362186585264361E-2</v>
      </c>
      <c r="F100" s="1">
        <f t="shared" si="9"/>
        <v>-16.796143184980696</v>
      </c>
    </row>
    <row r="101" spans="1:6" x14ac:dyDescent="0.2">
      <c r="A101" s="9">
        <f t="shared" si="7"/>
        <v>43059</v>
      </c>
      <c r="B101" s="1">
        <v>3028.5879413084181</v>
      </c>
      <c r="C101">
        <v>2917</v>
      </c>
      <c r="D101" s="1">
        <f t="shared" si="8"/>
        <v>-111.58794130841807</v>
      </c>
      <c r="E101" s="6">
        <f t="shared" si="10"/>
        <v>-4.0155863707071776E-2</v>
      </c>
      <c r="F101" s="1">
        <f t="shared" si="9"/>
        <v>-17.015522682021565</v>
      </c>
    </row>
    <row r="102" spans="1:6" x14ac:dyDescent="0.2">
      <c r="A102" s="9">
        <f t="shared" si="7"/>
        <v>43066</v>
      </c>
      <c r="B102" s="1">
        <v>3050.7938514759171</v>
      </c>
      <c r="C102">
        <v>2886</v>
      </c>
      <c r="D102" s="1">
        <f t="shared" si="8"/>
        <v>-164.79385147591711</v>
      </c>
      <c r="E102" s="6">
        <f t="shared" si="10"/>
        <v>-3.4979180503662624E-2</v>
      </c>
      <c r="F102" s="1">
        <f t="shared" si="9"/>
        <v>-17.319166353808491</v>
      </c>
    </row>
    <row r="103" spans="1:6" x14ac:dyDescent="0.2">
      <c r="A103" s="9">
        <f t="shared" si="7"/>
        <v>43073</v>
      </c>
      <c r="B103" s="1">
        <v>3070.7610136463854</v>
      </c>
      <c r="C103">
        <v>3027</v>
      </c>
      <c r="D103" s="1">
        <f t="shared" si="8"/>
        <v>-43.761013646385436</v>
      </c>
      <c r="E103" s="6">
        <f t="shared" si="10"/>
        <v>-8.5489433598538202E-3</v>
      </c>
      <c r="F103" s="1">
        <f t="shared" si="9"/>
        <v>-4.3755821277970073</v>
      </c>
    </row>
    <row r="104" spans="1:6" x14ac:dyDescent="0.2">
      <c r="A104" s="9">
        <f t="shared" si="7"/>
        <v>43080</v>
      </c>
      <c r="B104" s="1">
        <v>3088.2004208096282</v>
      </c>
      <c r="C104">
        <v>3218</v>
      </c>
      <c r="D104" s="1">
        <f t="shared" si="8"/>
        <v>129.79957919037179</v>
      </c>
      <c r="E104" s="6">
        <f t="shared" si="10"/>
        <v>6.7114243339941359E-3</v>
      </c>
      <c r="F104" s="1">
        <f t="shared" si="9"/>
        <v>6.8563660552782073</v>
      </c>
    </row>
    <row r="105" spans="1:6" x14ac:dyDescent="0.2">
      <c r="A105" s="9">
        <f t="shared" si="7"/>
        <v>43087</v>
      </c>
      <c r="B105" s="1">
        <v>3102.8598951865683</v>
      </c>
      <c r="C105">
        <v>3079</v>
      </c>
      <c r="D105" s="1">
        <f t="shared" si="8"/>
        <v>-23.859895186568338</v>
      </c>
      <c r="E105" s="6">
        <f t="shared" si="10"/>
        <v>2.0419848702815935E-2</v>
      </c>
      <c r="F105" s="1">
        <f t="shared" si="9"/>
        <v>5.9364247725238135</v>
      </c>
    </row>
    <row r="106" spans="1:6" x14ac:dyDescent="0.2">
      <c r="A106" s="9">
        <f t="shared" si="7"/>
        <v>43094</v>
      </c>
      <c r="B106" s="1">
        <v>3102.8598951865683</v>
      </c>
      <c r="C106">
        <v>3187</v>
      </c>
      <c r="D106" s="1">
        <f t="shared" si="8"/>
        <v>84.140104813431662</v>
      </c>
      <c r="E106" s="6">
        <f t="shared" si="10"/>
        <v>2.8652689940044711E-2</v>
      </c>
      <c r="F106" s="1">
        <f t="shared" si="9"/>
        <v>12.530569725927601</v>
      </c>
    </row>
    <row r="107" spans="1:6" x14ac:dyDescent="0.2">
      <c r="A107" s="9">
        <f t="shared" si="7"/>
        <v>43101</v>
      </c>
      <c r="B107" s="1">
        <v>3136.5643621143222</v>
      </c>
      <c r="C107">
        <v>3343</v>
      </c>
      <c r="D107" s="1">
        <f t="shared" si="8"/>
        <v>206.43563788567781</v>
      </c>
      <c r="E107" s="6">
        <f t="shared" si="10"/>
        <v>5.3608807596971446E-2</v>
      </c>
      <c r="F107" s="1">
        <f t="shared" si="9"/>
        <v>25.388502289213939</v>
      </c>
    </row>
    <row r="108" spans="1:6" x14ac:dyDescent="0.2">
      <c r="A108" s="9">
        <f t="shared" si="7"/>
        <v>43108</v>
      </c>
      <c r="B108" s="1">
        <v>3145.133316486797</v>
      </c>
      <c r="C108">
        <v>3359</v>
      </c>
      <c r="D108" s="1">
        <f t="shared" si="8"/>
        <v>213.86668351320304</v>
      </c>
      <c r="E108" s="6">
        <f t="shared" si="10"/>
        <v>6.7183684973513874E-2</v>
      </c>
      <c r="F108" s="1">
        <f t="shared" si="9"/>
        <v>30.277557904173527</v>
      </c>
    </row>
    <row r="109" spans="1:6" x14ac:dyDescent="0.2">
      <c r="A109" s="9">
        <f t="shared" si="7"/>
        <v>43115</v>
      </c>
      <c r="B109" s="1">
        <v>3150.3973835952252</v>
      </c>
      <c r="C109">
        <v>3364</v>
      </c>
      <c r="D109" s="1">
        <f t="shared" si="8"/>
        <v>213.60261640477484</v>
      </c>
      <c r="E109" s="6">
        <f t="shared" si="10"/>
        <v>6.3186465420832491E-2</v>
      </c>
      <c r="F109" s="1">
        <f t="shared" si="9"/>
        <v>28.956787229501337</v>
      </c>
    </row>
    <row r="110" spans="1:6" x14ac:dyDescent="0.2">
      <c r="A110" s="9">
        <f t="shared" si="7"/>
        <v>43122</v>
      </c>
      <c r="B110" s="1">
        <v>3152.2818738967153</v>
      </c>
      <c r="C110">
        <v>3322</v>
      </c>
      <c r="D110" s="1">
        <f t="shared" si="8"/>
        <v>169.7181261032847</v>
      </c>
      <c r="E110" s="6">
        <f t="shared" si="10"/>
        <v>6.720627511117172E-2</v>
      </c>
      <c r="F110" s="1">
        <f t="shared" si="9"/>
        <v>28.759910522802588</v>
      </c>
    </row>
    <row r="111" spans="1:6" x14ac:dyDescent="0.2">
      <c r="A111" s="9">
        <f t="shared" si="7"/>
        <v>43129</v>
      </c>
      <c r="B111" s="1">
        <v>3150.7613739728718</v>
      </c>
      <c r="C111">
        <v>3403</v>
      </c>
      <c r="D111" s="1">
        <f t="shared" si="8"/>
        <v>252.23862602712825</v>
      </c>
      <c r="E111" s="6">
        <f t="shared" si="10"/>
        <v>8.3482110685865557E-2</v>
      </c>
      <c r="F111" s="1">
        <f t="shared" si="9"/>
        <v>37.190544833120988</v>
      </c>
    </row>
    <row r="112" spans="1:6" x14ac:dyDescent="0.2">
      <c r="A112" s="9">
        <f t="shared" si="7"/>
        <v>43136</v>
      </c>
      <c r="B112" s="1">
        <v>3145.8601228301536</v>
      </c>
      <c r="C112">
        <v>3513</v>
      </c>
      <c r="D112" s="1">
        <f t="shared" si="8"/>
        <v>367.13987716984639</v>
      </c>
      <c r="E112" s="6">
        <f t="shared" si="10"/>
        <v>0.12097664808797993</v>
      </c>
      <c r="F112" s="1">
        <f t="shared" si="9"/>
        <v>53.888097007526603</v>
      </c>
    </row>
    <row r="113" spans="1:6" x14ac:dyDescent="0.2">
      <c r="A113" s="9">
        <f t="shared" si="7"/>
        <v>43143</v>
      </c>
      <c r="B113" s="1">
        <v>3137.6516641560761</v>
      </c>
      <c r="C113">
        <v>3660</v>
      </c>
      <c r="D113" s="1">
        <f t="shared" si="8"/>
        <v>522.34833584392391</v>
      </c>
      <c r="E113" s="6">
        <f t="shared" si="10"/>
        <v>0.15449244521604397</v>
      </c>
      <c r="F113" s="1">
        <f t="shared" si="9"/>
        <v>70.592098904961048</v>
      </c>
    </row>
    <row r="114" spans="1:6" x14ac:dyDescent="0.2">
      <c r="A114" s="9">
        <f t="shared" si="7"/>
        <v>43150</v>
      </c>
      <c r="B114" s="1">
        <v>3126.2577795187849</v>
      </c>
      <c r="C114">
        <v>3691</v>
      </c>
      <c r="D114" s="1">
        <f t="shared" si="8"/>
        <v>564.7422204812151</v>
      </c>
      <c r="E114" s="6">
        <f t="shared" si="10"/>
        <v>0.20389061227011565</v>
      </c>
      <c r="F114" s="1">
        <f t="shared" si="9"/>
        <v>88.463787815075236</v>
      </c>
    </row>
    <row r="115" spans="1:6" x14ac:dyDescent="0.2">
      <c r="A115" s="9">
        <f t="shared" si="7"/>
        <v>43157</v>
      </c>
      <c r="B115" s="1">
        <v>3111.8467179842473</v>
      </c>
      <c r="C115">
        <v>3937</v>
      </c>
      <c r="D115" s="1">
        <f t="shared" si="8"/>
        <v>825.15328201575267</v>
      </c>
      <c r="E115" s="6">
        <f t="shared" si="10"/>
        <v>0.25571790332867855</v>
      </c>
      <c r="F115" s="1">
        <f t="shared" si="9"/>
        <v>114.72921559375845</v>
      </c>
    </row>
    <row r="116" spans="1:6" x14ac:dyDescent="0.2">
      <c r="A116" s="9">
        <f t="shared" si="7"/>
        <v>43164</v>
      </c>
      <c r="B116" s="1">
        <v>3094.6307478874837</v>
      </c>
      <c r="C116">
        <v>4092</v>
      </c>
      <c r="D116" s="1">
        <f t="shared" si="8"/>
        <v>997.36925211251628</v>
      </c>
      <c r="E116" s="6">
        <f t="shared" si="10"/>
        <v>0.26720037271428365</v>
      </c>
      <c r="F116" s="1">
        <f t="shared" si="9"/>
        <v>124.21531142351323</v>
      </c>
    </row>
    <row r="117" spans="1:6" x14ac:dyDescent="0.2">
      <c r="A117" s="9">
        <f t="shared" si="7"/>
        <v>43171</v>
      </c>
      <c r="B117" s="1">
        <v>3074.8630663824147</v>
      </c>
      <c r="C117">
        <v>3733</v>
      </c>
      <c r="D117" s="1">
        <f t="shared" si="8"/>
        <v>658.13693361758533</v>
      </c>
      <c r="E117" s="6">
        <f t="shared" si="10"/>
        <v>0.22035366888245159</v>
      </c>
      <c r="F117" s="1">
        <f t="shared" si="9"/>
        <v>96.100321699397014</v>
      </c>
    </row>
    <row r="118" spans="1:6" x14ac:dyDescent="0.2">
      <c r="A118" s="9">
        <f t="shared" si="7"/>
        <v>43178</v>
      </c>
      <c r="B118" s="1">
        <v>3052.8341117645705</v>
      </c>
      <c r="C118">
        <v>3430</v>
      </c>
      <c r="D118" s="1">
        <f t="shared" si="8"/>
        <v>377.16588823542952</v>
      </c>
      <c r="E118" s="6">
        <f t="shared" si="10"/>
        <v>0.1344581727988324</v>
      </c>
      <c r="F118" s="1">
        <f t="shared" si="9"/>
        <v>57.450049207602191</v>
      </c>
    </row>
    <row r="119" spans="1:6" x14ac:dyDescent="0.2">
      <c r="A119" s="9">
        <f t="shared" si="7"/>
        <v>43185</v>
      </c>
      <c r="B119" s="1">
        <v>3028.8673322755831</v>
      </c>
      <c r="C119">
        <v>3225</v>
      </c>
      <c r="D119" s="1">
        <f t="shared" si="8"/>
        <v>196.13266772441693</v>
      </c>
      <c r="E119" s="6">
        <f t="shared" si="10"/>
        <v>6.7130054022624314E-2</v>
      </c>
      <c r="F119" s="1">
        <f t="shared" si="9"/>
        <v>28.789883951910092</v>
      </c>
    </row>
    <row r="120" spans="1:6" x14ac:dyDescent="0.2">
      <c r="A120" s="9">
        <f t="shared" si="7"/>
        <v>43192</v>
      </c>
      <c r="B120" s="1">
        <v>3003.3144730307808</v>
      </c>
      <c r="C120">
        <v>3040</v>
      </c>
      <c r="D120" s="1">
        <f t="shared" si="8"/>
        <v>36.685526969219154</v>
      </c>
      <c r="E120" s="6">
        <f t="shared" si="10"/>
        <v>1.2904381253013894E-2</v>
      </c>
      <c r="F120" s="1">
        <f t="shared" si="9"/>
        <v>5.4626168541882247</v>
      </c>
    </row>
    <row r="121" spans="1:6" x14ac:dyDescent="0.2">
      <c r="A121" s="9">
        <f t="shared" ref="A121:A184" si="11">A120+7</f>
        <v>43199</v>
      </c>
      <c r="B121" s="1">
        <v>2976.550449745585</v>
      </c>
      <c r="C121">
        <v>2860</v>
      </c>
      <c r="D121" s="1">
        <f t="shared" si="8"/>
        <v>-116.55044974558496</v>
      </c>
      <c r="E121" s="6">
        <f t="shared" si="10"/>
        <v>-3.0105633045739773E-2</v>
      </c>
      <c r="F121" s="1">
        <f t="shared" si="9"/>
        <v>-13.763687731860776</v>
      </c>
    </row>
    <row r="122" spans="1:6" x14ac:dyDescent="0.2">
      <c r="A122" s="9">
        <f t="shared" si="11"/>
        <v>43206</v>
      </c>
      <c r="B122" s="1">
        <v>2948.967883970151</v>
      </c>
      <c r="C122">
        <v>2760</v>
      </c>
      <c r="D122" s="1">
        <f t="shared" si="8"/>
        <v>-188.96788397015098</v>
      </c>
      <c r="E122" s="6">
        <f t="shared" si="10"/>
        <v>-6.3693438447313358E-2</v>
      </c>
      <c r="F122" s="1">
        <f t="shared" si="9"/>
        <v>-26.873485613300755</v>
      </c>
    </row>
    <row r="123" spans="1:6" x14ac:dyDescent="0.2">
      <c r="A123" s="9">
        <f t="shared" si="11"/>
        <v>43213</v>
      </c>
      <c r="B123" s="1">
        <v>2920.9713794865343</v>
      </c>
      <c r="C123">
        <v>2663</v>
      </c>
      <c r="D123" s="1">
        <f t="shared" si="8"/>
        <v>-257.97137948653426</v>
      </c>
      <c r="E123" s="6">
        <f t="shared" si="10"/>
        <v>-7.9301346079997184E-2</v>
      </c>
      <c r="F123" s="1">
        <f t="shared" si="9"/>
        <v>-34.031509508922127</v>
      </c>
    </row>
    <row r="124" spans="1:6" x14ac:dyDescent="0.2">
      <c r="A124" s="9">
        <f t="shared" si="11"/>
        <v>43220</v>
      </c>
      <c r="B124" s="1">
        <v>2892.9716233066001</v>
      </c>
      <c r="C124">
        <v>2645</v>
      </c>
      <c r="D124" s="1">
        <f t="shared" si="8"/>
        <v>-247.97162330660012</v>
      </c>
      <c r="E124" s="6">
        <f t="shared" si="10"/>
        <v>-8.4149045245353771E-2</v>
      </c>
      <c r="F124" s="1">
        <f t="shared" si="9"/>
        <v>-34.939072263430539</v>
      </c>
    </row>
    <row r="125" spans="1:6" x14ac:dyDescent="0.2">
      <c r="A125" s="9">
        <f t="shared" si="11"/>
        <v>43227</v>
      </c>
      <c r="B125" s="1">
        <v>2865.3793972763206</v>
      </c>
      <c r="C125">
        <v>2641</v>
      </c>
      <c r="D125" s="1">
        <f t="shared" si="8"/>
        <v>-224.37939727632056</v>
      </c>
      <c r="E125" s="6">
        <f t="shared" si="10"/>
        <v>-8.2007826358439409E-2</v>
      </c>
      <c r="F125" s="1">
        <f t="shared" si="9"/>
        <v>-33.190357338034978</v>
      </c>
    </row>
    <row r="126" spans="1:6" x14ac:dyDescent="0.2">
      <c r="A126" s="9">
        <f t="shared" si="11"/>
        <v>43234</v>
      </c>
      <c r="B126" s="1">
        <v>2838.5995876057382</v>
      </c>
      <c r="C126">
        <v>2606</v>
      </c>
      <c r="D126" s="1">
        <f t="shared" si="8"/>
        <v>-232.59958760573818</v>
      </c>
      <c r="E126" s="6">
        <f t="shared" si="10"/>
        <v>-6.9988063500112274E-2</v>
      </c>
      <c r="F126" s="1">
        <f t="shared" si="9"/>
        <v>-29.592994720427392</v>
      </c>
    </row>
    <row r="127" spans="1:6" x14ac:dyDescent="0.2">
      <c r="A127" s="9">
        <f t="shared" si="11"/>
        <v>43241</v>
      </c>
      <c r="B127" s="1">
        <v>2813.0252796841701</v>
      </c>
      <c r="C127">
        <v>2674</v>
      </c>
      <c r="D127" s="1">
        <f t="shared" si="8"/>
        <v>-139.02527968417007</v>
      </c>
      <c r="E127" s="6">
        <f t="shared" si="10"/>
        <v>-4.5580452046238742E-2</v>
      </c>
      <c r="F127" s="1">
        <f t="shared" si="9"/>
        <v>-18.702934688595537</v>
      </c>
    </row>
    <row r="128" spans="1:6" x14ac:dyDescent="0.2">
      <c r="A128" s="9">
        <f t="shared" si="11"/>
        <v>43248</v>
      </c>
      <c r="B128" s="1">
        <v>2789.0320243065967</v>
      </c>
      <c r="C128">
        <v>2776</v>
      </c>
      <c r="D128" s="1">
        <f t="shared" si="8"/>
        <v>-13.032024306596668</v>
      </c>
      <c r="E128" s="6">
        <f t="shared" si="10"/>
        <v>-2.8687332002201943E-2</v>
      </c>
      <c r="F128" s="1">
        <f t="shared" si="9"/>
        <v>-9.0379174015988131</v>
      </c>
    </row>
    <row r="129" spans="1:6" x14ac:dyDescent="0.2">
      <c r="A129" s="9">
        <f t="shared" si="11"/>
        <v>43255</v>
      </c>
      <c r="B129" s="1">
        <v>2766.9723589474033</v>
      </c>
      <c r="C129">
        <v>2679</v>
      </c>
      <c r="D129" s="1">
        <f t="shared" si="8"/>
        <v>-87.972358947403336</v>
      </c>
      <c r="E129" s="6">
        <f t="shared" si="10"/>
        <v>-3.5077455245785497E-2</v>
      </c>
      <c r="F129" s="1">
        <f t="shared" si="9"/>
        <v>-13.540978793189733</v>
      </c>
    </row>
    <row r="130" spans="1:6" x14ac:dyDescent="0.2">
      <c r="A130" s="9">
        <f t="shared" si="11"/>
        <v>43262</v>
      </c>
      <c r="B130" s="1">
        <v>2747.1706640079092</v>
      </c>
      <c r="C130">
        <v>2557</v>
      </c>
      <c r="D130" s="1">
        <f t="shared" si="8"/>
        <v>-190.17066400790918</v>
      </c>
      <c r="E130" s="6">
        <f t="shared" si="10"/>
        <v>-4.9391598585024225E-2</v>
      </c>
      <c r="F130" s="1">
        <f t="shared" si="9"/>
        <v>-21.329718430414591</v>
      </c>
    </row>
    <row r="131" spans="1:6" x14ac:dyDescent="0.2">
      <c r="A131" s="9">
        <f t="shared" si="11"/>
        <v>43269</v>
      </c>
      <c r="B131" s="1">
        <v>2729.9184290883868</v>
      </c>
      <c r="C131">
        <v>2601</v>
      </c>
      <c r="D131" s="1">
        <f t="shared" si="8"/>
        <v>-128.9184290883868</v>
      </c>
      <c r="E131" s="6">
        <f t="shared" si="10"/>
        <v>-5.0741331930507588E-2</v>
      </c>
      <c r="F131" s="1">
        <f t="shared" si="9"/>
        <v>-19.445625733897778</v>
      </c>
    </row>
    <row r="132" spans="1:6" x14ac:dyDescent="0.2">
      <c r="A132" s="9">
        <f t="shared" si="11"/>
        <v>43276</v>
      </c>
      <c r="B132" s="1">
        <v>2715.469998364455</v>
      </c>
      <c r="C132">
        <v>2619</v>
      </c>
      <c r="D132" s="1">
        <f t="shared" ref="D132:D195" si="12">C132-B132</f>
        <v>-96.469998364455023</v>
      </c>
      <c r="E132" s="6">
        <f t="shared" si="10"/>
        <v>-2.497140270920159E-2</v>
      </c>
      <c r="F132" s="1">
        <f t="shared" ref="F132:F195" si="13">(0.5*D132+0.25*(D131+D133))/7</f>
        <v>-10.710617249507013</v>
      </c>
    </row>
    <row r="133" spans="1:6" x14ac:dyDescent="0.2">
      <c r="A133" s="9">
        <f t="shared" si="11"/>
        <v>43283</v>
      </c>
      <c r="B133" s="1">
        <v>2704.0388571688995</v>
      </c>
      <c r="C133">
        <v>2726</v>
      </c>
      <c r="D133" s="1">
        <f t="shared" si="12"/>
        <v>21.96114283110046</v>
      </c>
      <c r="E133" s="6">
        <f t="shared" ref="E133:E196" si="14">AVERAGE(D132:D134)/B133</f>
        <v>-1.224136372457928E-2</v>
      </c>
      <c r="F133" s="1">
        <f t="shared" si="13"/>
        <v>-2.7622223820321454</v>
      </c>
    </row>
    <row r="134" spans="1:6" x14ac:dyDescent="0.2">
      <c r="A134" s="9">
        <f t="shared" si="11"/>
        <v>43290</v>
      </c>
      <c r="B134" s="1">
        <v>2695.794513994646</v>
      </c>
      <c r="C134">
        <v>2671</v>
      </c>
      <c r="D134" s="1">
        <f t="shared" si="12"/>
        <v>-24.794513994645968</v>
      </c>
      <c r="E134" s="6">
        <f t="shared" si="14"/>
        <v>1.2744054149540656E-3</v>
      </c>
      <c r="F134" s="1">
        <f t="shared" si="13"/>
        <v>-0.51742530771183026</v>
      </c>
    </row>
    <row r="135" spans="1:6" x14ac:dyDescent="0.2">
      <c r="A135" s="9">
        <f t="shared" si="11"/>
        <v>43297</v>
      </c>
      <c r="B135" s="1">
        <v>2690.8600234577398</v>
      </c>
      <c r="C135">
        <v>2704</v>
      </c>
      <c r="D135" s="1">
        <f t="shared" si="12"/>
        <v>13.139976542260229</v>
      </c>
      <c r="E135" s="6">
        <f t="shared" si="14"/>
        <v>8.1801946285656821E-3</v>
      </c>
      <c r="F135" s="1">
        <f t="shared" si="13"/>
        <v>2.8276875954497718</v>
      </c>
    </row>
    <row r="136" spans="1:6" x14ac:dyDescent="0.2">
      <c r="A136" s="9">
        <f t="shared" si="11"/>
        <v>43304</v>
      </c>
      <c r="B136" s="1">
        <v>2689.3101864172809</v>
      </c>
      <c r="C136">
        <v>2767</v>
      </c>
      <c r="D136" s="1">
        <f t="shared" si="12"/>
        <v>77.689813582719125</v>
      </c>
      <c r="E136" s="6">
        <f t="shared" si="14"/>
        <v>1.9789379119479478E-2</v>
      </c>
      <c r="F136" s="1">
        <f t="shared" si="13"/>
        <v>8.4767553617638534</v>
      </c>
    </row>
    <row r="137" spans="1:6" x14ac:dyDescent="0.2">
      <c r="A137" s="9">
        <f t="shared" si="11"/>
        <v>43311</v>
      </c>
      <c r="B137" s="1">
        <v>2691.1704535783106</v>
      </c>
      <c r="C137">
        <v>2760</v>
      </c>
      <c r="D137" s="1">
        <f t="shared" si="12"/>
        <v>68.829546421689429</v>
      </c>
      <c r="E137" s="6">
        <f t="shared" si="14"/>
        <v>2.4165793870750771E-2</v>
      </c>
      <c r="F137" s="1">
        <f t="shared" si="13"/>
        <v>9.4261556349419404</v>
      </c>
    </row>
    <row r="138" spans="1:6" x14ac:dyDescent="0.2">
      <c r="A138" s="9">
        <f t="shared" si="11"/>
        <v>43318</v>
      </c>
      <c r="B138" s="1">
        <v>2696.4165486477236</v>
      </c>
      <c r="C138">
        <v>2745</v>
      </c>
      <c r="D138" s="1">
        <f t="shared" si="12"/>
        <v>48.58345135227637</v>
      </c>
      <c r="E138" s="6">
        <f t="shared" si="14"/>
        <v>2.1557229552079584E-3</v>
      </c>
      <c r="F138" s="1">
        <f t="shared" si="13"/>
        <v>2.3579154465872825</v>
      </c>
    </row>
    <row r="139" spans="1:6" x14ac:dyDescent="0.2">
      <c r="A139" s="9">
        <f t="shared" si="11"/>
        <v>43325</v>
      </c>
      <c r="B139" s="1">
        <v>2704.9748166217983</v>
      </c>
      <c r="C139">
        <v>2605</v>
      </c>
      <c r="D139" s="1">
        <f t="shared" si="12"/>
        <v>-99.974816621798254</v>
      </c>
      <c r="E139" s="6">
        <f t="shared" si="14"/>
        <v>-1.9237968072760698E-2</v>
      </c>
      <c r="F139" s="1">
        <f t="shared" si="13"/>
        <v>-9.1460526464704959</v>
      </c>
    </row>
    <row r="140" spans="1:6" x14ac:dyDescent="0.2">
      <c r="A140" s="9">
        <f t="shared" si="11"/>
        <v>43332</v>
      </c>
      <c r="B140" s="1">
        <v>2716.7232922098538</v>
      </c>
      <c r="C140">
        <v>2612</v>
      </c>
      <c r="D140" s="1">
        <f t="shared" si="12"/>
        <v>-104.72329220985375</v>
      </c>
      <c r="E140" s="6">
        <f t="shared" si="14"/>
        <v>-5.0206509547875519E-2</v>
      </c>
      <c r="F140" s="1">
        <f t="shared" si="13"/>
        <v>-18.354102640630831</v>
      </c>
    </row>
    <row r="141" spans="1:6" x14ac:dyDescent="0.2">
      <c r="A141" s="9">
        <f t="shared" si="11"/>
        <v>43339</v>
      </c>
      <c r="B141" s="1">
        <v>2731.4934728961575</v>
      </c>
      <c r="C141">
        <v>2527</v>
      </c>
      <c r="D141" s="1">
        <f t="shared" si="12"/>
        <v>-204.49347289615753</v>
      </c>
      <c r="E141" s="6">
        <f t="shared" si="14"/>
        <v>-5.4340179391365449E-2</v>
      </c>
      <c r="F141" s="1">
        <f t="shared" si="13"/>
        <v>-23.206536030954307</v>
      </c>
    </row>
    <row r="142" spans="1:6" x14ac:dyDescent="0.2">
      <c r="A142" s="9">
        <f t="shared" si="11"/>
        <v>43346</v>
      </c>
      <c r="B142" s="1">
        <v>2749.0727708645518</v>
      </c>
      <c r="C142">
        <v>2613</v>
      </c>
      <c r="D142" s="1">
        <f t="shared" si="12"/>
        <v>-136.07277086455179</v>
      </c>
      <c r="E142" s="6">
        <f t="shared" si="14"/>
        <v>-6.9208044486526482E-2</v>
      </c>
      <c r="F142" s="1">
        <f t="shared" si="13"/>
        <v>-25.244522240451051</v>
      </c>
    </row>
    <row r="143" spans="1:6" x14ac:dyDescent="0.2">
      <c r="A143" s="9">
        <f t="shared" si="11"/>
        <v>43353</v>
      </c>
      <c r="B143" s="1">
        <v>2769.2076081073683</v>
      </c>
      <c r="C143">
        <v>2539</v>
      </c>
      <c r="D143" s="1">
        <f t="shared" si="12"/>
        <v>-230.20760810736829</v>
      </c>
      <c r="E143" s="6">
        <f t="shared" si="14"/>
        <v>-5.439431931182024E-2</v>
      </c>
      <c r="F143" s="1">
        <f t="shared" si="13"/>
        <v>-24.360539169132526</v>
      </c>
    </row>
    <row r="144" spans="1:6" x14ac:dyDescent="0.2">
      <c r="A144" s="9">
        <f t="shared" si="11"/>
        <v>43360</v>
      </c>
      <c r="B144" s="1">
        <v>2791.6071096564224</v>
      </c>
      <c r="C144">
        <v>2706</v>
      </c>
      <c r="D144" s="1">
        <f t="shared" si="12"/>
        <v>-85.607109656422381</v>
      </c>
      <c r="E144" s="6">
        <f t="shared" si="14"/>
        <v>-5.203240066777752E-2</v>
      </c>
      <c r="F144" s="1">
        <f t="shared" si="13"/>
        <v>-18.620327448800008</v>
      </c>
    </row>
    <row r="145" spans="1:6" x14ac:dyDescent="0.2">
      <c r="A145" s="9">
        <f t="shared" si="11"/>
        <v>43367</v>
      </c>
      <c r="B145" s="1">
        <v>2815.9473411461872</v>
      </c>
      <c r="C145">
        <v>2696</v>
      </c>
      <c r="D145" s="1">
        <f t="shared" si="12"/>
        <v>-119.94734114618723</v>
      </c>
      <c r="E145" s="6">
        <f t="shared" si="14"/>
        <v>-2.857895295718689E-2</v>
      </c>
      <c r="F145" s="1">
        <f t="shared" si="13"/>
        <v>-12.906350747278013</v>
      </c>
    </row>
    <row r="146" spans="1:6" x14ac:dyDescent="0.2">
      <c r="A146" s="9">
        <f t="shared" si="11"/>
        <v>43374</v>
      </c>
      <c r="B146" s="1">
        <v>2841.8760289749875</v>
      </c>
      <c r="C146">
        <v>2806</v>
      </c>
      <c r="D146" s="1">
        <f t="shared" si="12"/>
        <v>-35.876028974987548</v>
      </c>
      <c r="E146" s="6">
        <f t="shared" si="14"/>
        <v>-3.1064111840916019E-2</v>
      </c>
      <c r="F146" s="1">
        <f t="shared" si="13"/>
        <v>-10.739896192188553</v>
      </c>
    </row>
    <row r="147" spans="1:6" x14ac:dyDescent="0.2">
      <c r="A147" s="9">
        <f t="shared" si="11"/>
        <v>43381</v>
      </c>
      <c r="B147" s="1">
        <v>2869.0176942851172</v>
      </c>
      <c r="C147">
        <v>2760</v>
      </c>
      <c r="D147" s="1">
        <f t="shared" si="12"/>
        <v>-109.01769428511716</v>
      </c>
      <c r="E147" s="6">
        <f t="shared" si="14"/>
        <v>-3.5188913822722143E-2</v>
      </c>
      <c r="F147" s="1">
        <f t="shared" si="13"/>
        <v>-14.710376553046753</v>
      </c>
    </row>
    <row r="148" spans="1:6" x14ac:dyDescent="0.2">
      <c r="A148" s="9">
        <f t="shared" si="11"/>
        <v>43388</v>
      </c>
      <c r="B148" s="1">
        <v>2896.9791259400872</v>
      </c>
      <c r="C148">
        <v>2739</v>
      </c>
      <c r="D148" s="1">
        <f t="shared" si="12"/>
        <v>-157.97912594008721</v>
      </c>
      <c r="E148" s="6">
        <f t="shared" si="14"/>
        <v>-5.9987997874736521E-2</v>
      </c>
      <c r="F148" s="1">
        <f t="shared" si="13"/>
        <v>-24.261823531794189</v>
      </c>
    </row>
    <row r="149" spans="1:6" x14ac:dyDescent="0.2">
      <c r="A149" s="9">
        <f t="shared" si="11"/>
        <v>43395</v>
      </c>
      <c r="B149" s="1">
        <v>2925.3551127249457</v>
      </c>
      <c r="C149">
        <v>2671</v>
      </c>
      <c r="D149" s="1">
        <f t="shared" si="12"/>
        <v>-254.35511272494568</v>
      </c>
      <c r="E149" s="6">
        <f t="shared" si="14"/>
        <v>-6.2792215946031557E-2</v>
      </c>
      <c r="F149" s="1">
        <f t="shared" si="13"/>
        <v>-28.765132235575088</v>
      </c>
    </row>
    <row r="150" spans="1:6" x14ac:dyDescent="0.2">
      <c r="A150" s="9">
        <f t="shared" si="11"/>
        <v>43402</v>
      </c>
      <c r="B150" s="1">
        <v>2953.7343512061238</v>
      </c>
      <c r="C150">
        <v>2815</v>
      </c>
      <c r="D150" s="1">
        <f t="shared" si="12"/>
        <v>-138.73435120612385</v>
      </c>
      <c r="E150" s="6">
        <f t="shared" si="14"/>
        <v>-6.5092166781064692E-2</v>
      </c>
      <c r="F150" s="1">
        <f t="shared" si="13"/>
        <v>-25.554616366183236</v>
      </c>
    </row>
    <row r="151" spans="1:6" x14ac:dyDescent="0.2">
      <c r="A151" s="9">
        <f t="shared" si="11"/>
        <v>43409</v>
      </c>
      <c r="B151" s="1">
        <v>2981.7054431159372</v>
      </c>
      <c r="C151">
        <v>2798</v>
      </c>
      <c r="D151" s="1">
        <f t="shared" si="12"/>
        <v>-183.70544311593721</v>
      </c>
      <c r="E151" s="6">
        <f t="shared" si="14"/>
        <v>-6.3755759918115731E-2</v>
      </c>
      <c r="F151" s="1">
        <f t="shared" si="13"/>
        <v>-26.928861866051893</v>
      </c>
    </row>
    <row r="152" spans="1:6" x14ac:dyDescent="0.2">
      <c r="A152" s="9">
        <f t="shared" si="11"/>
        <v>43416</v>
      </c>
      <c r="B152" s="1">
        <v>3008.8628948114547</v>
      </c>
      <c r="C152">
        <v>2761</v>
      </c>
      <c r="D152" s="1">
        <f t="shared" si="12"/>
        <v>-247.86289481145468</v>
      </c>
      <c r="E152" s="6">
        <f t="shared" si="14"/>
        <v>-6.728802989459283E-2</v>
      </c>
      <c r="F152" s="1">
        <f t="shared" si="13"/>
        <v>-30.544438001995267</v>
      </c>
    </row>
    <row r="153" spans="1:6" x14ac:dyDescent="0.2">
      <c r="A153" s="9">
        <f t="shared" si="11"/>
        <v>43423</v>
      </c>
      <c r="B153" s="1">
        <v>3034.8130313170209</v>
      </c>
      <c r="C153">
        <v>2859</v>
      </c>
      <c r="D153" s="1">
        <f t="shared" si="12"/>
        <v>-175.81303131702089</v>
      </c>
      <c r="E153" s="6">
        <f t="shared" si="14"/>
        <v>-6.3249988152091929E-2</v>
      </c>
      <c r="F153" s="1">
        <f t="shared" si="13"/>
        <v>-26.845310576459578</v>
      </c>
    </row>
    <row r="154" spans="1:6" x14ac:dyDescent="0.2">
      <c r="A154" s="9">
        <f t="shared" si="11"/>
        <v>43430</v>
      </c>
      <c r="B154" s="1">
        <v>3059.1797386953717</v>
      </c>
      <c r="C154">
        <v>2907</v>
      </c>
      <c r="D154" s="1">
        <f t="shared" si="12"/>
        <v>-152.17973869537173</v>
      </c>
      <c r="E154" s="6">
        <f t="shared" si="14"/>
        <v>-4.8117769981754974E-2</v>
      </c>
      <c r="F154" s="1">
        <f t="shared" si="13"/>
        <v>-21.206516417626403</v>
      </c>
    </row>
    <row r="155" spans="1:6" x14ac:dyDescent="0.2">
      <c r="A155" s="9">
        <f t="shared" si="11"/>
        <v>43437</v>
      </c>
      <c r="B155" s="1">
        <v>3081.609950985775</v>
      </c>
      <c r="C155">
        <v>2968</v>
      </c>
      <c r="D155" s="1">
        <f t="shared" si="12"/>
        <v>-113.60995098577496</v>
      </c>
      <c r="E155" s="6">
        <f t="shared" si="14"/>
        <v>-3.7920491444417351E-2</v>
      </c>
      <c r="F155" s="1">
        <f t="shared" si="13"/>
        <v>-16.577801511783473</v>
      </c>
    </row>
    <row r="156" spans="1:6" x14ac:dyDescent="0.2">
      <c r="A156" s="9">
        <f t="shared" si="11"/>
        <v>43444</v>
      </c>
      <c r="B156" s="1">
        <v>3101.7788016630157</v>
      </c>
      <c r="C156">
        <v>3017</v>
      </c>
      <c r="D156" s="1">
        <f t="shared" si="12"/>
        <v>-84.778801663015656</v>
      </c>
      <c r="E156" s="6">
        <f t="shared" si="14"/>
        <v>-2.9744557859785022E-2</v>
      </c>
      <c r="F156" s="1">
        <f t="shared" si="13"/>
        <v>-12.91292567021344</v>
      </c>
    </row>
    <row r="157" spans="1:6" x14ac:dyDescent="0.2">
      <c r="A157" s="9">
        <f t="shared" si="11"/>
        <v>43451</v>
      </c>
      <c r="B157" s="1">
        <v>3119.39436445417</v>
      </c>
      <c r="C157">
        <v>3041</v>
      </c>
      <c r="D157" s="1">
        <f t="shared" si="12"/>
        <v>-78.394364454170045</v>
      </c>
      <c r="E157" s="6">
        <f t="shared" si="14"/>
        <v>-4.2355986893245358E-2</v>
      </c>
      <c r="F157" s="1">
        <f t="shared" si="13"/>
        <v>-16.956051603615101</v>
      </c>
    </row>
    <row r="158" spans="1:6" x14ac:dyDescent="0.2">
      <c r="A158" s="9">
        <f t="shared" si="11"/>
        <v>43458</v>
      </c>
      <c r="B158" s="1">
        <v>3134.2019143298671</v>
      </c>
      <c r="C158">
        <v>2901</v>
      </c>
      <c r="D158" s="1">
        <f t="shared" si="12"/>
        <v>-233.20191432986712</v>
      </c>
      <c r="E158" s="6">
        <f t="shared" si="14"/>
        <v>-5.7941192899648601E-2</v>
      </c>
      <c r="F158" s="1">
        <f t="shared" si="13"/>
        <v>-27.785718122991835</v>
      </c>
    </row>
    <row r="159" spans="1:6" x14ac:dyDescent="0.2">
      <c r="A159" s="9">
        <f t="shared" si="11"/>
        <v>43465</v>
      </c>
      <c r="B159" s="1">
        <v>3134.2019143298671</v>
      </c>
      <c r="C159">
        <v>2901</v>
      </c>
      <c r="D159" s="1">
        <f t="shared" si="12"/>
        <v>-233.20191432986712</v>
      </c>
      <c r="E159" s="6">
        <f t="shared" si="14"/>
        <v>-6.1991828476187484E-2</v>
      </c>
      <c r="F159" s="1">
        <f t="shared" si="13"/>
        <v>-29.145951313517635</v>
      </c>
    </row>
    <row r="160" spans="1:6" x14ac:dyDescent="0.2">
      <c r="A160" s="9">
        <f t="shared" si="11"/>
        <v>43472</v>
      </c>
      <c r="B160" s="1">
        <v>3178.4808937888924</v>
      </c>
      <c r="C160">
        <v>3062</v>
      </c>
      <c r="D160" s="1">
        <f t="shared" si="12"/>
        <v>-116.48089378889244</v>
      </c>
      <c r="E160" s="6">
        <f t="shared" si="14"/>
        <v>-2.882374521719459E-2</v>
      </c>
      <c r="F160" s="1">
        <f t="shared" si="13"/>
        <v>-13.976002291777442</v>
      </c>
    </row>
    <row r="161" spans="1:6" x14ac:dyDescent="0.2">
      <c r="A161" s="9">
        <f t="shared" si="11"/>
        <v>43479</v>
      </c>
      <c r="B161" s="1">
        <v>3187.1643622621164</v>
      </c>
      <c r="C161">
        <v>3262</v>
      </c>
      <c r="D161" s="1">
        <f t="shared" si="12"/>
        <v>74.835637737883644</v>
      </c>
      <c r="E161" s="6">
        <f t="shared" si="14"/>
        <v>-8.5911303606438002E-3</v>
      </c>
      <c r="F161" s="1">
        <f t="shared" si="13"/>
        <v>-0.26101413618187053</v>
      </c>
    </row>
    <row r="162" spans="1:6" x14ac:dyDescent="0.2">
      <c r="A162" s="9">
        <f t="shared" si="11"/>
        <v>43486</v>
      </c>
      <c r="B162" s="1">
        <v>3192.4987774999672</v>
      </c>
      <c r="C162">
        <v>3152</v>
      </c>
      <c r="D162" s="1">
        <f t="shared" si="12"/>
        <v>-40.498777499967218</v>
      </c>
      <c r="E162" s="6">
        <f t="shared" si="14"/>
        <v>1.9763420167475823E-3</v>
      </c>
      <c r="F162" s="1">
        <f t="shared" si="13"/>
        <v>-0.77037032438577824</v>
      </c>
    </row>
    <row r="163" spans="1:6" x14ac:dyDescent="0.2">
      <c r="A163" s="9">
        <f t="shared" si="11"/>
        <v>43493</v>
      </c>
      <c r="B163" s="1">
        <v>3194.408451820751</v>
      </c>
      <c r="C163">
        <v>3179</v>
      </c>
      <c r="D163" s="1">
        <f t="shared" si="12"/>
        <v>-15.408451820750997</v>
      </c>
      <c r="E163" s="6">
        <f t="shared" si="14"/>
        <v>-1.145489722241237E-2</v>
      </c>
      <c r="F163" s="1">
        <f t="shared" si="13"/>
        <v>-4.4708326188138345</v>
      </c>
    </row>
    <row r="164" spans="1:6" x14ac:dyDescent="0.2">
      <c r="A164" s="9">
        <f t="shared" si="11"/>
        <v>43500</v>
      </c>
      <c r="B164" s="1">
        <v>3192.8676321853181</v>
      </c>
      <c r="C164">
        <v>3139</v>
      </c>
      <c r="D164" s="1">
        <f t="shared" si="12"/>
        <v>-53.867632185318143</v>
      </c>
      <c r="E164" s="6">
        <f t="shared" si="14"/>
        <v>-7.744027634653791E-3</v>
      </c>
      <c r="F164" s="1">
        <f t="shared" si="13"/>
        <v>-4.5730213470579395</v>
      </c>
    </row>
    <row r="165" spans="1:6" x14ac:dyDescent="0.2">
      <c r="A165" s="9">
        <f t="shared" si="11"/>
        <v>43507</v>
      </c>
      <c r="B165" s="1">
        <v>3187.900881526235</v>
      </c>
      <c r="C165">
        <v>3183</v>
      </c>
      <c r="D165" s="1">
        <f t="shared" si="12"/>
        <v>-4.9008815262350254</v>
      </c>
      <c r="E165" s="6">
        <f t="shared" si="14"/>
        <v>1.6362658389975533E-3</v>
      </c>
      <c r="F165" s="1">
        <f t="shared" si="13"/>
        <v>0.38385280019355961</v>
      </c>
    </row>
    <row r="166" spans="1:6" x14ac:dyDescent="0.2">
      <c r="A166" s="9">
        <f t="shared" si="11"/>
        <v>43514</v>
      </c>
      <c r="B166" s="1">
        <v>3179.5827263567921</v>
      </c>
      <c r="C166">
        <v>3254</v>
      </c>
      <c r="D166" s="1">
        <f t="shared" si="12"/>
        <v>74.417273643207864</v>
      </c>
      <c r="E166" s="6">
        <f t="shared" si="14"/>
        <v>1.2735404491491038E-2</v>
      </c>
      <c r="F166" s="1">
        <f t="shared" si="13"/>
        <v>6.9963246445050959</v>
      </c>
    </row>
    <row r="167" spans="1:6" x14ac:dyDescent="0.2">
      <c r="A167" s="9">
        <f t="shared" si="11"/>
        <v>43521</v>
      </c>
      <c r="B167" s="1">
        <v>3168.036575714038</v>
      </c>
      <c r="C167">
        <v>3220</v>
      </c>
      <c r="D167" s="1">
        <f t="shared" si="12"/>
        <v>51.963424285961992</v>
      </c>
      <c r="E167" s="6">
        <f t="shared" si="14"/>
        <v>3.9927749049378332E-3</v>
      </c>
      <c r="F167" s="1">
        <f t="shared" si="13"/>
        <v>3.2111141106525207</v>
      </c>
    </row>
    <row r="168" spans="1:6" x14ac:dyDescent="0.2">
      <c r="A168" s="9">
        <f t="shared" si="11"/>
        <v>43528</v>
      </c>
      <c r="B168" s="1">
        <v>3153.4329271168613</v>
      </c>
      <c r="C168">
        <v>3065</v>
      </c>
      <c r="D168" s="1">
        <f t="shared" si="12"/>
        <v>-88.432927116861265</v>
      </c>
      <c r="E168" s="6">
        <f t="shared" si="14"/>
        <v>-4.8242498566237045E-5</v>
      </c>
      <c r="F168" s="1">
        <f t="shared" si="13"/>
        <v>-3.1746184131163124</v>
      </c>
    </row>
    <row r="169" spans="1:6" x14ac:dyDescent="0.2">
      <c r="A169" s="9">
        <f t="shared" si="11"/>
        <v>43535</v>
      </c>
      <c r="B169" s="1">
        <v>3135.9868856194962</v>
      </c>
      <c r="C169">
        <v>3172</v>
      </c>
      <c r="D169" s="1">
        <f t="shared" si="12"/>
        <v>36.013114380503794</v>
      </c>
      <c r="E169" s="6">
        <f t="shared" si="14"/>
        <v>6.0188554425198246E-3</v>
      </c>
      <c r="F169" s="1">
        <f t="shared" si="13"/>
        <v>3.308509627966032</v>
      </c>
    </row>
    <row r="170" spans="1:6" x14ac:dyDescent="0.2">
      <c r="A170" s="9">
        <f t="shared" si="11"/>
        <v>43542</v>
      </c>
      <c r="B170" s="1">
        <v>3115.9550320610974</v>
      </c>
      <c r="C170">
        <v>3225</v>
      </c>
      <c r="D170" s="1">
        <f t="shared" si="12"/>
        <v>109.04496793890257</v>
      </c>
      <c r="E170" s="6">
        <f t="shared" si="14"/>
        <v>1.0101386278137506E-2</v>
      </c>
      <c r="F170" s="1">
        <f t="shared" si="13"/>
        <v>7.2668344339774649</v>
      </c>
    </row>
    <row r="171" spans="1:6" x14ac:dyDescent="0.2">
      <c r="A171" s="9">
        <f t="shared" si="11"/>
        <v>43549</v>
      </c>
      <c r="B171" s="1">
        <v>3093.6316861069399</v>
      </c>
      <c r="C171">
        <v>3043</v>
      </c>
      <c r="D171" s="1">
        <f t="shared" si="12"/>
        <v>-50.631686106939924</v>
      </c>
      <c r="E171" s="6">
        <f t="shared" si="14"/>
        <v>2.2289480821186759E-4</v>
      </c>
      <c r="F171" s="1">
        <f t="shared" si="13"/>
        <v>-1.7343936708171799</v>
      </c>
    </row>
    <row r="172" spans="1:6" x14ac:dyDescent="0.2">
      <c r="A172" s="9">
        <f t="shared" si="11"/>
        <v>43556</v>
      </c>
      <c r="B172" s="1">
        <v>3069.3446185079038</v>
      </c>
      <c r="C172">
        <v>3013</v>
      </c>
      <c r="D172" s="1">
        <f t="shared" si="12"/>
        <v>-56.34461850790376</v>
      </c>
      <c r="E172" s="6">
        <f t="shared" si="14"/>
        <v>-2.7413732792344575E-2</v>
      </c>
      <c r="F172" s="1">
        <f t="shared" si="13"/>
        <v>-11.027542791646185</v>
      </c>
    </row>
    <row r="173" spans="1:6" x14ac:dyDescent="0.2">
      <c r="A173" s="9">
        <f t="shared" si="11"/>
        <v>43563</v>
      </c>
      <c r="B173" s="1">
        <v>3043.4502750433458</v>
      </c>
      <c r="C173">
        <v>2898</v>
      </c>
      <c r="D173" s="1">
        <f t="shared" si="12"/>
        <v>-145.45027504334575</v>
      </c>
      <c r="E173" s="6">
        <f t="shared" si="14"/>
        <v>-3.462336566761242E-2</v>
      </c>
      <c r="F173" s="1">
        <f t="shared" si="13"/>
        <v>-16.484776797693208</v>
      </c>
    </row>
    <row r="174" spans="1:6" x14ac:dyDescent="0.2">
      <c r="A174" s="9">
        <f t="shared" si="11"/>
        <v>43570</v>
      </c>
      <c r="B174" s="1">
        <v>3016.3285817408146</v>
      </c>
      <c r="C174">
        <v>2902</v>
      </c>
      <c r="D174" s="1">
        <f t="shared" si="12"/>
        <v>-114.32858174081457</v>
      </c>
      <c r="E174" s="6">
        <f t="shared" si="14"/>
        <v>-2.3445308660877722E-2</v>
      </c>
      <c r="F174" s="1">
        <f t="shared" si="13"/>
        <v>-11.660173057337049</v>
      </c>
    </row>
    <row r="175" spans="1:6" x14ac:dyDescent="0.2">
      <c r="A175" s="9">
        <f t="shared" si="11"/>
        <v>43577</v>
      </c>
      <c r="B175" s="1">
        <v>2988.3774070804625</v>
      </c>
      <c r="C175">
        <v>3036</v>
      </c>
      <c r="D175" s="1">
        <f t="shared" si="12"/>
        <v>47.62259291953751</v>
      </c>
      <c r="E175" s="6">
        <f t="shared" si="14"/>
        <v>-7.8875301533937667E-3</v>
      </c>
      <c r="F175" s="1">
        <f t="shared" si="13"/>
        <v>-0.82464849302378496</v>
      </c>
    </row>
    <row r="176" spans="1:6" x14ac:dyDescent="0.2">
      <c r="A176" s="9">
        <f t="shared" si="11"/>
        <v>43584</v>
      </c>
      <c r="B176" s="1">
        <v>2960.0067619029264</v>
      </c>
      <c r="C176">
        <v>2956</v>
      </c>
      <c r="D176" s="1">
        <f t="shared" si="12"/>
        <v>-4.0067619029264279</v>
      </c>
      <c r="E176" s="6">
        <f t="shared" si="14"/>
        <v>-9.2361264860307546E-3</v>
      </c>
      <c r="F176" s="1">
        <f t="shared" si="13"/>
        <v>-3.0722768735804169</v>
      </c>
    </row>
    <row r="177" spans="1:6" x14ac:dyDescent="0.2">
      <c r="A177" s="9">
        <f t="shared" si="11"/>
        <v>43591</v>
      </c>
      <c r="B177" s="1">
        <v>2931.6328215739363</v>
      </c>
      <c r="C177">
        <v>2806</v>
      </c>
      <c r="D177" s="1">
        <f t="shared" si="12"/>
        <v>-125.63282157393633</v>
      </c>
      <c r="E177" s="6">
        <f t="shared" si="14"/>
        <v>-2.9711706404083618E-2</v>
      </c>
      <c r="F177" s="1">
        <f t="shared" si="13"/>
        <v>-13.819437950409874</v>
      </c>
    </row>
    <row r="178" spans="1:6" x14ac:dyDescent="0.2">
      <c r="A178" s="9">
        <f t="shared" si="11"/>
        <v>43598</v>
      </c>
      <c r="B178" s="1">
        <v>2903.6718575606774</v>
      </c>
      <c r="C178">
        <v>2772</v>
      </c>
      <c r="D178" s="1">
        <f t="shared" si="12"/>
        <v>-131.67185756067738</v>
      </c>
      <c r="E178" s="6">
        <f t="shared" si="14"/>
        <v>-3.5913016505420829E-2</v>
      </c>
      <c r="F178" s="1">
        <f t="shared" si="13"/>
        <v>-15.87538227147804</v>
      </c>
    </row>
    <row r="179" spans="1:6" x14ac:dyDescent="0.2">
      <c r="A179" s="9">
        <f t="shared" si="11"/>
        <v>43605</v>
      </c>
      <c r="B179" s="1">
        <v>2876.534166906094</v>
      </c>
      <c r="C179">
        <v>2821</v>
      </c>
      <c r="D179" s="1">
        <f t="shared" si="12"/>
        <v>-55.534166906094015</v>
      </c>
      <c r="E179" s="6">
        <f t="shared" si="14"/>
        <v>-1.9099849915592798E-2</v>
      </c>
      <c r="F179" s="1">
        <f t="shared" si="13"/>
        <v>-7.869938553608482</v>
      </c>
    </row>
    <row r="180" spans="1:6" x14ac:dyDescent="0.2">
      <c r="A180" s="9">
        <f t="shared" si="11"/>
        <v>43612</v>
      </c>
      <c r="B180" s="1">
        <v>2850.6180881281721</v>
      </c>
      <c r="C180">
        <v>2873</v>
      </c>
      <c r="D180" s="1">
        <f t="shared" si="12"/>
        <v>22.381911871827924</v>
      </c>
      <c r="E180" s="6">
        <f t="shared" si="14"/>
        <v>-1.5137821793166431E-2</v>
      </c>
      <c r="F180" s="1">
        <f t="shared" si="13"/>
        <v>-3.8240904994126885</v>
      </c>
    </row>
    <row r="181" spans="1:6" x14ac:dyDescent="0.2">
      <c r="A181" s="9">
        <f t="shared" si="11"/>
        <v>43619</v>
      </c>
      <c r="B181" s="1">
        <v>2826.3041908211171</v>
      </c>
      <c r="C181">
        <v>2730</v>
      </c>
      <c r="D181" s="1">
        <f t="shared" si="12"/>
        <v>-96.304190821117118</v>
      </c>
      <c r="E181" s="6">
        <f t="shared" si="14"/>
        <v>-1.6968213958100775E-2</v>
      </c>
      <c r="F181" s="1">
        <f t="shared" si="13"/>
        <v>-8.5777211958109252</v>
      </c>
    </row>
    <row r="182" spans="1:6" x14ac:dyDescent="0.2">
      <c r="A182" s="9">
        <f t="shared" si="11"/>
        <v>43626</v>
      </c>
      <c r="B182" s="1">
        <v>2803.9497237122996</v>
      </c>
      <c r="C182">
        <v>2734</v>
      </c>
      <c r="D182" s="1">
        <f t="shared" si="12"/>
        <v>-69.949723712299601</v>
      </c>
      <c r="E182" s="6">
        <f t="shared" si="14"/>
        <v>-3.6036941525660268E-2</v>
      </c>
      <c r="F182" s="1">
        <f t="shared" si="13"/>
        <v>-13.324537157686921</v>
      </c>
    </row>
    <row r="183" spans="1:6" x14ac:dyDescent="0.2">
      <c r="A183" s="9">
        <f t="shared" si="11"/>
        <v>43633</v>
      </c>
      <c r="B183" s="1">
        <v>2783.8834021695175</v>
      </c>
      <c r="C183">
        <v>2647</v>
      </c>
      <c r="D183" s="1">
        <f t="shared" si="12"/>
        <v>-136.88340216951747</v>
      </c>
      <c r="E183" s="6">
        <f t="shared" si="14"/>
        <v>-3.367403209426785E-2</v>
      </c>
      <c r="F183" s="1">
        <f t="shared" si="13"/>
        <v>-14.93275497369947</v>
      </c>
    </row>
    <row r="184" spans="1:6" x14ac:dyDescent="0.2">
      <c r="A184" s="9">
        <f t="shared" si="11"/>
        <v>43640</v>
      </c>
      <c r="B184" s="1">
        <v>2766.4006112122506</v>
      </c>
      <c r="C184">
        <v>2692</v>
      </c>
      <c r="D184" s="1">
        <f t="shared" si="12"/>
        <v>-74.400611212250624</v>
      </c>
      <c r="E184" s="6">
        <f t="shared" si="14"/>
        <v>-1.5307870558928034E-2</v>
      </c>
      <c r="F184" s="1">
        <f t="shared" si="13"/>
        <v>-7.194418522285007</v>
      </c>
    </row>
    <row r="185" spans="1:6" x14ac:dyDescent="0.2">
      <c r="A185" s="9">
        <f t="shared" ref="A185:A248" si="15">A184+7</f>
        <v>43647</v>
      </c>
      <c r="B185" s="1">
        <v>2751.7590940299615</v>
      </c>
      <c r="C185">
        <v>2836</v>
      </c>
      <c r="D185" s="1">
        <f t="shared" si="12"/>
        <v>84.240905970038511</v>
      </c>
      <c r="E185" s="6">
        <f t="shared" si="14"/>
        <v>-6.4624045908151832E-4</v>
      </c>
      <c r="F185" s="1">
        <f t="shared" si="13"/>
        <v>2.8180718496219828</v>
      </c>
    </row>
    <row r="186" spans="1:6" x14ac:dyDescent="0.2">
      <c r="A186" s="9">
        <f t="shared" si="15"/>
        <v>43654</v>
      </c>
      <c r="B186" s="1">
        <v>2740.1751889384109</v>
      </c>
      <c r="C186">
        <v>2725</v>
      </c>
      <c r="D186" s="1">
        <f t="shared" si="12"/>
        <v>-15.175188938410884</v>
      </c>
      <c r="E186" s="6">
        <f t="shared" si="14"/>
        <v>1.1951188098484684E-2</v>
      </c>
      <c r="F186" s="1">
        <f t="shared" si="13"/>
        <v>2.9667806563928707</v>
      </c>
    </row>
    <row r="187" spans="1:6" x14ac:dyDescent="0.2">
      <c r="A187" s="9">
        <f t="shared" si="15"/>
        <v>43661</v>
      </c>
      <c r="B187" s="1">
        <v>2731.8206697142164</v>
      </c>
      <c r="C187">
        <v>2761</v>
      </c>
      <c r="D187" s="1">
        <f t="shared" si="12"/>
        <v>29.179330285783635</v>
      </c>
      <c r="E187" s="6">
        <f t="shared" si="14"/>
        <v>-1.5473940818258635E-2</v>
      </c>
      <c r="F187" s="1">
        <f t="shared" si="13"/>
        <v>-3.4870272793563117</v>
      </c>
    </row>
    <row r="188" spans="1:6" x14ac:dyDescent="0.2">
      <c r="A188" s="9">
        <f t="shared" si="15"/>
        <v>43668</v>
      </c>
      <c r="B188" s="1">
        <v>2726.8202354551331</v>
      </c>
      <c r="C188">
        <v>2586</v>
      </c>
      <c r="D188" s="1">
        <f t="shared" si="12"/>
        <v>-140.82023545513312</v>
      </c>
      <c r="E188" s="6">
        <f t="shared" si="14"/>
        <v>2.0672357493556795E-2</v>
      </c>
      <c r="F188" s="1">
        <f t="shared" si="13"/>
        <v>1.0103275974588055</v>
      </c>
    </row>
    <row r="189" spans="1:6" x14ac:dyDescent="0.2">
      <c r="A189" s="9">
        <f t="shared" si="15"/>
        <v>43675</v>
      </c>
      <c r="B189" s="1">
        <v>2725.2496866466709</v>
      </c>
      <c r="C189">
        <v>3006</v>
      </c>
      <c r="D189" s="1">
        <f t="shared" si="12"/>
        <v>280.75031335332915</v>
      </c>
      <c r="E189" s="6">
        <f t="shared" si="14"/>
        <v>1.7588023156172271E-2</v>
      </c>
      <c r="F189" s="1">
        <f t="shared" si="13"/>
        <v>15.162342040664564</v>
      </c>
    </row>
    <row r="190" spans="1:6" x14ac:dyDescent="0.2">
      <c r="A190" s="9">
        <f t="shared" si="15"/>
        <v>43682</v>
      </c>
      <c r="B190" s="1">
        <v>2727.1348141129174</v>
      </c>
      <c r="C190">
        <v>2731</v>
      </c>
      <c r="D190" s="1">
        <f t="shared" si="12"/>
        <v>3.865185887082589</v>
      </c>
      <c r="E190" s="6">
        <f t="shared" si="14"/>
        <v>2.2143445343749908E-2</v>
      </c>
      <c r="F190" s="1">
        <f t="shared" si="13"/>
        <v>6.6082024282544092</v>
      </c>
    </row>
    <row r="191" spans="1:6" x14ac:dyDescent="0.2">
      <c r="A191" s="9">
        <f t="shared" si="15"/>
        <v>43689</v>
      </c>
      <c r="B191" s="1">
        <v>2732.4510171363709</v>
      </c>
      <c r="C191">
        <v>2629</v>
      </c>
      <c r="D191" s="1">
        <f t="shared" si="12"/>
        <v>-103.45101713637087</v>
      </c>
      <c r="E191" s="6">
        <f t="shared" si="14"/>
        <v>-2.7778416547530153E-2</v>
      </c>
      <c r="F191" s="1">
        <f t="shared" si="13"/>
        <v>-11.827160885199305</v>
      </c>
    </row>
    <row r="192" spans="1:6" x14ac:dyDescent="0.2">
      <c r="A192" s="9">
        <f t="shared" si="15"/>
        <v>43696</v>
      </c>
      <c r="B192" s="1">
        <v>2741.1236563999214</v>
      </c>
      <c r="C192">
        <v>2613</v>
      </c>
      <c r="D192" s="1">
        <f t="shared" si="12"/>
        <v>-128.1236563999214</v>
      </c>
      <c r="E192" s="6">
        <f t="shared" si="14"/>
        <v>-4.4702326041459031E-2</v>
      </c>
      <c r="F192" s="1">
        <f t="shared" si="13"/>
        <v>-17.704552379462793</v>
      </c>
    </row>
    <row r="193" spans="1:6" x14ac:dyDescent="0.2">
      <c r="A193" s="9">
        <f t="shared" si="15"/>
        <v>43703</v>
      </c>
      <c r="B193" s="1">
        <v>2753.0291366887445</v>
      </c>
      <c r="C193">
        <v>2617</v>
      </c>
      <c r="D193" s="1">
        <f t="shared" si="12"/>
        <v>-136.02913668874453</v>
      </c>
      <c r="E193" s="6">
        <f t="shared" si="14"/>
        <v>-3.0166710238727978E-2</v>
      </c>
      <c r="F193" s="1">
        <f t="shared" si="13"/>
        <v>-13.756379765162105</v>
      </c>
    </row>
    <row r="194" spans="1:6" x14ac:dyDescent="0.2">
      <c r="A194" s="9">
        <f t="shared" si="15"/>
        <v>43710</v>
      </c>
      <c r="B194" s="1">
        <v>2767.9967036471285</v>
      </c>
      <c r="C194">
        <v>2783</v>
      </c>
      <c r="D194" s="1">
        <f t="shared" si="12"/>
        <v>15.00329635287153</v>
      </c>
      <c r="E194" s="6">
        <f t="shared" si="14"/>
        <v>-4.2610451611673261E-2</v>
      </c>
      <c r="F194" s="1">
        <f t="shared" si="13"/>
        <v>-12.101195444757488</v>
      </c>
    </row>
    <row r="195" spans="1:6" x14ac:dyDescent="0.2">
      <c r="A195" s="9">
        <f t="shared" si="15"/>
        <v>43717</v>
      </c>
      <c r="B195" s="1">
        <v>2785.8109284702082</v>
      </c>
      <c r="C195">
        <v>2553</v>
      </c>
      <c r="D195" s="1">
        <f t="shared" si="12"/>
        <v>-232.81092847020818</v>
      </c>
      <c r="E195" s="6">
        <f t="shared" si="14"/>
        <v>-4.571050540300331E-2</v>
      </c>
      <c r="F195" s="1">
        <f t="shared" si="13"/>
        <v>-21.958335891534198</v>
      </c>
    </row>
    <row r="196" spans="1:6" x14ac:dyDescent="0.2">
      <c r="A196" s="9">
        <f t="shared" si="15"/>
        <v>43724</v>
      </c>
      <c r="B196" s="1">
        <v>2806.2148443754127</v>
      </c>
      <c r="C196">
        <v>2642</v>
      </c>
      <c r="D196" s="1">
        <f t="shared" ref="D196:D259" si="16">C196-B196</f>
        <v>-164.21484437541267</v>
      </c>
      <c r="E196" s="6">
        <f t="shared" si="14"/>
        <v>-7.672725217143056E-2</v>
      </c>
      <c r="F196" s="1">
        <f t="shared" ref="F196:F212" si="17">(0.5*D196+0.25*(D195+D197))/7</f>
        <v>-28.934082371793743</v>
      </c>
    </row>
    <row r="197" spans="1:6" x14ac:dyDescent="0.2">
      <c r="A197" s="9">
        <f t="shared" si="15"/>
        <v>43731</v>
      </c>
      <c r="B197" s="1">
        <v>2828.9136891891912</v>
      </c>
      <c r="C197">
        <v>2580</v>
      </c>
      <c r="D197" s="1">
        <f t="shared" si="16"/>
        <v>-248.91368918919125</v>
      </c>
      <c r="E197" s="6">
        <f t="shared" ref="E197:E260" si="18">AVERAGE(D196:D198)/B197</f>
        <v>-6.0766285786153146E-2</v>
      </c>
      <c r="F197" s="1">
        <f t="shared" si="17"/>
        <v>-27.307907939074457</v>
      </c>
    </row>
    <row r="198" spans="1:6" x14ac:dyDescent="0.2">
      <c r="A198" s="9">
        <f t="shared" si="15"/>
        <v>43738</v>
      </c>
      <c r="B198" s="1">
        <v>2853.5791995402897</v>
      </c>
      <c r="C198">
        <v>2751</v>
      </c>
      <c r="D198" s="1">
        <f t="shared" si="16"/>
        <v>-102.57919954028966</v>
      </c>
      <c r="E198" s="6">
        <f t="shared" si="18"/>
        <v>-6.0082122235908766E-2</v>
      </c>
      <c r="F198" s="1">
        <f t="shared" si="17"/>
        <v>-22.033088656077457</v>
      </c>
    </row>
    <row r="199" spans="1:6" x14ac:dyDescent="0.2">
      <c r="A199" s="9">
        <f t="shared" si="15"/>
        <v>43745</v>
      </c>
      <c r="B199" s="1">
        <v>2879.8543941003982</v>
      </c>
      <c r="C199">
        <v>2717</v>
      </c>
      <c r="D199" s="1">
        <f t="shared" si="16"/>
        <v>-162.85439410039817</v>
      </c>
      <c r="E199" s="6">
        <f t="shared" si="18"/>
        <v>-3.0185828185027342E-2</v>
      </c>
      <c r="F199" s="1">
        <f t="shared" si="17"/>
        <v>-15.130241568393931</v>
      </c>
    </row>
    <row r="200" spans="1:6" x14ac:dyDescent="0.2">
      <c r="A200" s="9">
        <f t="shared" si="15"/>
        <v>43752</v>
      </c>
      <c r="B200" s="1">
        <v>2907.3587761739441</v>
      </c>
      <c r="C200">
        <v>2912</v>
      </c>
      <c r="D200" s="1">
        <f t="shared" si="16"/>
        <v>4.6412238260559207</v>
      </c>
      <c r="E200" s="6">
        <f t="shared" si="18"/>
        <v>-2.4639436986682237E-2</v>
      </c>
      <c r="F200" s="1">
        <f t="shared" si="17"/>
        <v>-7.5094937951282317</v>
      </c>
    </row>
    <row r="201" spans="1:6" x14ac:dyDescent="0.2">
      <c r="A201" s="9">
        <f t="shared" si="15"/>
        <v>43759</v>
      </c>
      <c r="B201" s="1">
        <v>2935.6938798153042</v>
      </c>
      <c r="C201">
        <v>2879</v>
      </c>
      <c r="D201" s="1">
        <f t="shared" si="16"/>
        <v>-56.693879815304172</v>
      </c>
      <c r="E201" s="6">
        <f t="shared" si="18"/>
        <v>-1.6975173019057873E-2</v>
      </c>
      <c r="F201" s="1">
        <f t="shared" si="17"/>
        <v>-7.364129087066658</v>
      </c>
    </row>
    <row r="202" spans="1:6" x14ac:dyDescent="0.2">
      <c r="A202" s="9">
        <f t="shared" si="15"/>
        <v>43766</v>
      </c>
      <c r="B202" s="1">
        <v>2964.449078633314</v>
      </c>
      <c r="C202">
        <v>2867</v>
      </c>
      <c r="D202" s="1">
        <f t="shared" si="16"/>
        <v>-97.449078633314002</v>
      </c>
      <c r="E202" s="6">
        <f t="shared" si="18"/>
        <v>-3.2760503252959282E-2</v>
      </c>
      <c r="F202" s="1">
        <f t="shared" si="17"/>
        <v>-13.885700345882517</v>
      </c>
    </row>
    <row r="203" spans="1:6" x14ac:dyDescent="0.2">
      <c r="A203" s="9">
        <f t="shared" si="15"/>
        <v>43773</v>
      </c>
      <c r="B203" s="1">
        <v>2993.2075726027783</v>
      </c>
      <c r="C203">
        <v>2856</v>
      </c>
      <c r="D203" s="1">
        <f t="shared" si="16"/>
        <v>-137.20757260277833</v>
      </c>
      <c r="E203" s="6">
        <f t="shared" si="18"/>
        <v>-2.686183199598929E-2</v>
      </c>
      <c r="F203" s="1">
        <f t="shared" si="17"/>
        <v>-13.514881765568378</v>
      </c>
    </row>
    <row r="204" spans="1:6" x14ac:dyDescent="0.2">
      <c r="A204" s="9">
        <f t="shared" si="15"/>
        <v>43780</v>
      </c>
      <c r="B204" s="1">
        <v>3021.5524655970439</v>
      </c>
      <c r="C204">
        <v>3015</v>
      </c>
      <c r="D204" s="1">
        <f t="shared" si="16"/>
        <v>-6.5524655970439198</v>
      </c>
      <c r="E204" s="6">
        <f t="shared" si="18"/>
        <v>-1.4653933117150882E-2</v>
      </c>
      <c r="F204" s="1">
        <f t="shared" si="17"/>
        <v>-4.978048172125292</v>
      </c>
    </row>
    <row r="205" spans="1:6" x14ac:dyDescent="0.2">
      <c r="A205" s="9">
        <f t="shared" si="15"/>
        <v>43787</v>
      </c>
      <c r="B205" s="1">
        <v>3049.072845022642</v>
      </c>
      <c r="C205">
        <v>3060</v>
      </c>
      <c r="D205" s="1">
        <f t="shared" si="16"/>
        <v>10.927154977357986</v>
      </c>
      <c r="E205" s="6">
        <f t="shared" si="18"/>
        <v>-5.2469595354916743E-3</v>
      </c>
      <c r="F205" s="1">
        <f t="shared" si="17"/>
        <v>-1.3238546620872447</v>
      </c>
    </row>
    <row r="206" spans="1:6" x14ac:dyDescent="0.2">
      <c r="A206" s="9">
        <f t="shared" si="15"/>
        <v>43794</v>
      </c>
      <c r="B206" s="1">
        <v>3075.3697748961149</v>
      </c>
      <c r="C206">
        <v>3023</v>
      </c>
      <c r="D206" s="1">
        <f t="shared" si="16"/>
        <v>-52.369774896114905</v>
      </c>
      <c r="E206" s="6">
        <f t="shared" si="18"/>
        <v>-1.0459960041417403E-2</v>
      </c>
      <c r="F206" s="1">
        <f t="shared" si="17"/>
        <v>-5.3169467775036958</v>
      </c>
    </row>
    <row r="207" spans="1:6" x14ac:dyDescent="0.2">
      <c r="A207" s="9">
        <f t="shared" si="15"/>
        <v>43801</v>
      </c>
      <c r="B207" s="1">
        <v>3100.0621149552317</v>
      </c>
      <c r="C207">
        <v>3045</v>
      </c>
      <c r="D207" s="1">
        <f t="shared" si="16"/>
        <v>-55.062114955231664</v>
      </c>
      <c r="E207" s="6">
        <f t="shared" si="18"/>
        <v>-2.2819324571080039E-2</v>
      </c>
      <c r="F207" s="1">
        <f t="shared" si="17"/>
        <v>-9.5459316332231605</v>
      </c>
    </row>
    <row r="208" spans="1:6" x14ac:dyDescent="0.2">
      <c r="A208" s="9">
        <f t="shared" si="15"/>
        <v>43808</v>
      </c>
      <c r="B208" s="1">
        <v>3122.7920809236703</v>
      </c>
      <c r="C208">
        <v>3018</v>
      </c>
      <c r="D208" s="1">
        <f t="shared" si="16"/>
        <v>-104.79208092367026</v>
      </c>
      <c r="E208" s="6">
        <f t="shared" si="18"/>
        <v>-1.5166412728331427E-2</v>
      </c>
      <c r="F208" s="1">
        <f t="shared" si="17"/>
        <v>-8.8170264862796532</v>
      </c>
    </row>
    <row r="209" spans="1:9" x14ac:dyDescent="0.2">
      <c r="A209" s="9">
        <f t="shared" si="15"/>
        <v>43815</v>
      </c>
      <c r="B209" s="1">
        <v>3143.2304648132581</v>
      </c>
      <c r="C209">
        <v>3161</v>
      </c>
      <c r="D209" s="1">
        <f t="shared" si="16"/>
        <v>17.769535186741905</v>
      </c>
      <c r="E209" s="6">
        <f t="shared" si="18"/>
        <v>5.1921266158488368E-4</v>
      </c>
      <c r="F209" s="1">
        <f t="shared" si="17"/>
        <v>0.80948394119903766</v>
      </c>
    </row>
    <row r="210" spans="1:9" x14ac:dyDescent="0.2">
      <c r="A210" s="9">
        <f t="shared" si="15"/>
        <v>43822</v>
      </c>
      <c r="B210" s="1">
        <v>3161.0814390962405</v>
      </c>
      <c r="C210">
        <v>3253</v>
      </c>
      <c r="D210" s="1">
        <f t="shared" si="16"/>
        <v>91.918560903759499</v>
      </c>
      <c r="E210" s="6">
        <f t="shared" si="18"/>
        <v>-4.0491183464744793E-3</v>
      </c>
      <c r="F210" s="1">
        <f t="shared" si="17"/>
        <v>1.9114207983759246</v>
      </c>
    </row>
    <row r="211" spans="1:9" x14ac:dyDescent="0.2">
      <c r="A211" s="9">
        <f t="shared" si="15"/>
        <v>43829</v>
      </c>
      <c r="B211" s="1">
        <v>3176.086874639735</v>
      </c>
      <c r="C211">
        <v>3028</v>
      </c>
      <c r="D211" s="1">
        <f t="shared" si="16"/>
        <v>-148.08687463973502</v>
      </c>
      <c r="E211" s="6">
        <f t="shared" si="18"/>
        <v>-2.0259164275164953E-2</v>
      </c>
      <c r="F211" s="1">
        <f t="shared" si="17"/>
        <v>-12.182909709867854</v>
      </c>
    </row>
    <row r="212" spans="1:9" x14ac:dyDescent="0.2">
      <c r="A212" s="9">
        <f t="shared" si="15"/>
        <v>43836</v>
      </c>
      <c r="B212" s="1">
        <v>3212.8662835005894</v>
      </c>
      <c r="C212">
        <v>3076</v>
      </c>
      <c r="D212" s="1">
        <f t="shared" si="16"/>
        <v>-136.86628350058936</v>
      </c>
      <c r="E212" s="6">
        <f t="shared" si="18"/>
        <v>-1.4794354623700108E-2</v>
      </c>
      <c r="F212" s="1">
        <f t="shared" si="17"/>
        <v>-9.9808261775178835</v>
      </c>
      <c r="G212" s="1">
        <v>0</v>
      </c>
      <c r="H212" s="1">
        <f t="shared" ref="H212:H225" si="19">F212-G212</f>
        <v>-9.9808261775178835</v>
      </c>
      <c r="I212" s="10"/>
    </row>
    <row r="213" spans="1:9" x14ac:dyDescent="0.2">
      <c r="A213" s="9">
        <f t="shared" si="15"/>
        <v>43843</v>
      </c>
      <c r="B213" s="1">
        <v>3221.643691329587</v>
      </c>
      <c r="C213">
        <v>3364</v>
      </c>
      <c r="D213" s="1">
        <f t="shared" si="16"/>
        <v>142.356308670413</v>
      </c>
      <c r="E213" s="6">
        <f t="shared" si="18"/>
        <v>-6.6783497561083548E-3</v>
      </c>
      <c r="F213" s="1">
        <f>(0.5*D213+0.25*(D212+D214))/7</f>
        <v>2.7789470924870039</v>
      </c>
      <c r="G213" s="1">
        <v>0</v>
      </c>
      <c r="H213" s="1">
        <f t="shared" si="19"/>
        <v>2.7789470924870039</v>
      </c>
      <c r="I213" s="10"/>
    </row>
    <row r="214" spans="1:9" x14ac:dyDescent="0.2">
      <c r="A214" s="9">
        <f t="shared" si="15"/>
        <v>43850</v>
      </c>
      <c r="B214" s="1">
        <v>3227.0358152506005</v>
      </c>
      <c r="C214">
        <v>3157</v>
      </c>
      <c r="D214" s="1">
        <f t="shared" si="16"/>
        <v>-70.035815250600535</v>
      </c>
      <c r="E214" s="6">
        <f t="shared" si="18"/>
        <v>-1.1429028753052715E-2</v>
      </c>
      <c r="F214" s="1">
        <f t="shared" ref="F214:F277" si="20">(0.5*D214+0.25*(D213+D215))/7</f>
        <v>-6.4529096646246638</v>
      </c>
      <c r="G214" s="1">
        <v>0</v>
      </c>
      <c r="H214" s="1">
        <f t="shared" si="19"/>
        <v>-6.4529096646246638</v>
      </c>
      <c r="I214" s="10"/>
    </row>
    <row r="215" spans="1:9" x14ac:dyDescent="0.2">
      <c r="A215" s="9">
        <f t="shared" si="15"/>
        <v>43857</v>
      </c>
      <c r="B215" s="1">
        <v>3228.9661487787025</v>
      </c>
      <c r="C215">
        <v>3046</v>
      </c>
      <c r="D215" s="1">
        <f t="shared" si="16"/>
        <v>-182.96614877870252</v>
      </c>
      <c r="E215" s="6">
        <f t="shared" si="18"/>
        <v>-3.2663770148495752E-2</v>
      </c>
      <c r="F215" s="1">
        <f t="shared" si="20"/>
        <v>-17.834884752915919</v>
      </c>
      <c r="G215" s="1">
        <v>0</v>
      </c>
      <c r="H215" s="1">
        <f t="shared" si="19"/>
        <v>-17.834884752915919</v>
      </c>
      <c r="I215" s="10"/>
    </row>
    <row r="216" spans="1:9" x14ac:dyDescent="0.2">
      <c r="A216" s="9">
        <f t="shared" si="15"/>
        <v>43864</v>
      </c>
      <c r="B216" s="1">
        <v>3227.4086602736402</v>
      </c>
      <c r="C216">
        <v>3164</v>
      </c>
      <c r="D216" s="1">
        <f t="shared" si="16"/>
        <v>-63.40866027364018</v>
      </c>
      <c r="E216" s="6">
        <f t="shared" si="18"/>
        <v>-2.8171516342103357E-2</v>
      </c>
      <c r="F216" s="1">
        <f t="shared" si="20"/>
        <v>-12.006130275724088</v>
      </c>
      <c r="G216" s="1">
        <v>0</v>
      </c>
      <c r="H216" s="1">
        <f t="shared" si="19"/>
        <v>-12.006130275724088</v>
      </c>
      <c r="I216" s="10"/>
    </row>
    <row r="217" spans="1:9" x14ac:dyDescent="0.2">
      <c r="A217" s="9">
        <f t="shared" si="15"/>
        <v>43871</v>
      </c>
      <c r="B217" s="1">
        <v>3222.3881783942916</v>
      </c>
      <c r="C217">
        <v>3196</v>
      </c>
      <c r="D217" s="1">
        <f t="shared" si="16"/>
        <v>-26.388178394291572</v>
      </c>
      <c r="E217" s="6">
        <f t="shared" si="18"/>
        <v>-1.094187175344051E-2</v>
      </c>
      <c r="F217" s="1">
        <f t="shared" si="20"/>
        <v>-4.7201804627739614</v>
      </c>
      <c r="G217" s="1">
        <v>0</v>
      </c>
      <c r="H217" s="1">
        <f t="shared" si="19"/>
        <v>-4.7201804627739614</v>
      </c>
      <c r="I217" s="10"/>
    </row>
    <row r="218" spans="1:9" x14ac:dyDescent="0.2">
      <c r="A218" s="9">
        <f t="shared" si="15"/>
        <v>43878</v>
      </c>
      <c r="B218" s="1">
        <v>3213.9800358954476</v>
      </c>
      <c r="C218">
        <v>3198</v>
      </c>
      <c r="D218" s="1">
        <f t="shared" si="16"/>
        <v>-15.9800358954476</v>
      </c>
      <c r="E218" s="6">
        <f t="shared" si="18"/>
        <v>-2.9628600465768807E-2</v>
      </c>
      <c r="F218" s="1">
        <f t="shared" si="20"/>
        <v>-10.773472395034219</v>
      </c>
      <c r="G218" s="1">
        <v>0</v>
      </c>
      <c r="H218" s="1">
        <f t="shared" si="19"/>
        <v>-10.773472395034219</v>
      </c>
      <c r="I218" s="10"/>
    </row>
    <row r="219" spans="1:9" x14ac:dyDescent="0.2">
      <c r="A219" s="9">
        <f t="shared" si="15"/>
        <v>43885</v>
      </c>
      <c r="B219" s="1">
        <v>3202.3089768757714</v>
      </c>
      <c r="C219">
        <v>2959</v>
      </c>
      <c r="D219" s="1">
        <f t="shared" si="16"/>
        <v>-243.30897687577135</v>
      </c>
      <c r="E219" s="6">
        <f t="shared" si="18"/>
        <v>-3.6310920091077059E-2</v>
      </c>
      <c r="F219" s="1">
        <f t="shared" si="20"/>
        <v>-21.148047606235568</v>
      </c>
      <c r="G219" s="1">
        <v>0</v>
      </c>
      <c r="H219" s="1">
        <f t="shared" si="19"/>
        <v>-21.148047606235568</v>
      </c>
      <c r="I219" s="10"/>
    </row>
    <row r="220" spans="1:9" x14ac:dyDescent="0.2">
      <c r="A220" s="9">
        <f t="shared" si="15"/>
        <v>43892</v>
      </c>
      <c r="B220" s="1">
        <v>3187.5473433276056</v>
      </c>
      <c r="C220">
        <v>3098</v>
      </c>
      <c r="D220" s="1">
        <f t="shared" si="16"/>
        <v>-89.547343327605631</v>
      </c>
      <c r="E220" s="6">
        <f t="shared" si="18"/>
        <v>-4.1386981371217324E-2</v>
      </c>
      <c r="F220" s="1">
        <f t="shared" si="20"/>
        <v>-17.332722531504437</v>
      </c>
      <c r="G220" s="1">
        <v>0</v>
      </c>
      <c r="H220" s="1">
        <f t="shared" si="19"/>
        <v>-17.332722531504437</v>
      </c>
      <c r="I220" s="10">
        <v>0</v>
      </c>
    </row>
    <row r="221" spans="1:9" x14ac:dyDescent="0.2">
      <c r="A221" s="9">
        <f t="shared" si="15"/>
        <v>43899</v>
      </c>
      <c r="B221" s="1">
        <v>3169.9125673511417</v>
      </c>
      <c r="C221">
        <v>3107</v>
      </c>
      <c r="D221" s="1">
        <f t="shared" si="16"/>
        <v>-62.912567351141661</v>
      </c>
      <c r="E221" s="6">
        <f t="shared" si="18"/>
        <v>-8.8460816521501728E-3</v>
      </c>
      <c r="F221" s="1">
        <f t="shared" si="20"/>
        <v>-5.2513029840727574</v>
      </c>
      <c r="G221" s="1">
        <v>5</v>
      </c>
      <c r="H221" s="1">
        <f t="shared" si="19"/>
        <v>-10.251302984072758</v>
      </c>
      <c r="I221" s="10">
        <f ca="1">-SUM(INDIRECT("F"&amp;MAX(220,ROW()-I$1)):INDIRECT("F"&amp;ROW()))/I$1</f>
        <v>0.32262893593681707</v>
      </c>
    </row>
    <row r="222" spans="1:9" x14ac:dyDescent="0.2">
      <c r="A222" s="9">
        <f t="shared" si="15"/>
        <v>43906</v>
      </c>
      <c r="B222" s="1">
        <v>3149.6640055241483</v>
      </c>
      <c r="C222">
        <v>3218</v>
      </c>
      <c r="D222" s="1">
        <f t="shared" si="16"/>
        <v>68.335994475851749</v>
      </c>
      <c r="E222" s="6">
        <f t="shared" si="18"/>
        <v>5.2103363485244664E-2</v>
      </c>
      <c r="F222" s="1">
        <f t="shared" si="20"/>
        <v>20.023580717303599</v>
      </c>
      <c r="G222" s="1">
        <v>23</v>
      </c>
      <c r="H222" s="1">
        <f t="shared" si="19"/>
        <v>-2.9764192826964013</v>
      </c>
      <c r="I222" s="10">
        <f ca="1">-SUM(INDIRECT("F"&amp;MAX(220,ROW()-I$1)):INDIRECT("F"&amp;ROW()))/I$1</f>
        <v>3.6577782832479956E-2</v>
      </c>
    </row>
    <row r="223" spans="1:9" x14ac:dyDescent="0.2">
      <c r="A223" s="9">
        <f t="shared" si="15"/>
        <v>43913</v>
      </c>
      <c r="B223" s="1">
        <v>3127.099161516061</v>
      </c>
      <c r="C223">
        <v>3614</v>
      </c>
      <c r="D223" s="1">
        <f t="shared" si="16"/>
        <v>486.90083848393897</v>
      </c>
      <c r="E223" s="6">
        <f t="shared" si="18"/>
        <v>0.20366985314610855</v>
      </c>
      <c r="F223" s="1">
        <f t="shared" si="20"/>
        <v>85.628154267208032</v>
      </c>
      <c r="G223" s="1">
        <v>84.428571428571431</v>
      </c>
      <c r="H223" s="1">
        <f t="shared" si="19"/>
        <v>1.1995828386366014</v>
      </c>
      <c r="I223" s="10">
        <f ca="1">-SUM(INDIRECT("F"&amp;MAX(220,ROW()-I$1)):INDIRECT("F"&amp;ROW()))/I$1</f>
        <v>-1.1866815638419206</v>
      </c>
    </row>
    <row r="224" spans="1:9" x14ac:dyDescent="0.2">
      <c r="A224" s="9">
        <f t="shared" si="15"/>
        <v>43920</v>
      </c>
      <c r="B224" s="1">
        <v>3102.5493519619049</v>
      </c>
      <c r="C224">
        <v>4458</v>
      </c>
      <c r="D224" s="1">
        <f t="shared" si="16"/>
        <v>1355.4506480380951</v>
      </c>
      <c r="E224" s="6">
        <f t="shared" si="18"/>
        <v>0.41374325551017777</v>
      </c>
      <c r="F224" s="1">
        <f t="shared" si="20"/>
        <v>185.94383056511529</v>
      </c>
      <c r="G224" s="1">
        <v>178.57142857142858</v>
      </c>
      <c r="H224" s="1">
        <f t="shared" si="19"/>
        <v>7.372401993686708</v>
      </c>
      <c r="I224" s="10">
        <f ca="1">-SUM(INDIRECT("F"&amp;MAX(220,ROW()-I$1)):INDIRECT("F"&amp;ROW()))/I$1</f>
        <v>-3.8430220004864251</v>
      </c>
    </row>
    <row r="225" spans="1:9" x14ac:dyDescent="0.2">
      <c r="A225" s="9">
        <f t="shared" si="15"/>
        <v>43927</v>
      </c>
      <c r="B225" s="1">
        <v>3076.3748787369018</v>
      </c>
      <c r="C225">
        <v>5085</v>
      </c>
      <c r="D225" s="1">
        <f t="shared" si="16"/>
        <v>2008.6251212630982</v>
      </c>
      <c r="E225" s="6">
        <f t="shared" si="18"/>
        <v>0.57395649101321311</v>
      </c>
      <c r="F225" s="1">
        <f t="shared" si="20"/>
        <v>260.9193254495068</v>
      </c>
      <c r="G225" s="1">
        <v>274.42857142857144</v>
      </c>
      <c r="H225" s="1">
        <f t="shared" si="19"/>
        <v>-13.509245979064644</v>
      </c>
      <c r="I225" s="10">
        <f ca="1">-SUM(INDIRECT("F"&amp;MAX(220,ROW()-I$1)):INDIRECT("F"&amp;ROW()))/I$1</f>
        <v>-7.5704409354793789</v>
      </c>
    </row>
    <row r="226" spans="1:9" x14ac:dyDescent="0.2">
      <c r="A226" s="9">
        <f t="shared" si="15"/>
        <v>43934</v>
      </c>
      <c r="B226" s="1">
        <v>3048.9597779781002</v>
      </c>
      <c r="C226">
        <v>4982</v>
      </c>
      <c r="D226" s="1">
        <f t="shared" si="16"/>
        <v>1933.0402220218998</v>
      </c>
      <c r="E226" s="6">
        <f t="shared" si="18"/>
        <v>0.57166591249389453</v>
      </c>
      <c r="F226" s="1">
        <f t="shared" si="20"/>
        <v>255.78569081882137</v>
      </c>
      <c r="G226" s="1">
        <v>282.42857142857144</v>
      </c>
      <c r="H226" s="1">
        <f>F226-G226</f>
        <v>-26.64288060975008</v>
      </c>
      <c r="I226" s="10">
        <f ca="1">-SUM(INDIRECT("F"&amp;MAX(220,ROW()-I$1)):INDIRECT("F"&amp;ROW()))/I$1</f>
        <v>-11.224522232891113</v>
      </c>
    </row>
    <row r="227" spans="1:9" x14ac:dyDescent="0.2">
      <c r="A227" s="9">
        <f t="shared" si="15"/>
        <v>43941</v>
      </c>
      <c r="B227" s="1">
        <v>3020.7062223799003</v>
      </c>
      <c r="C227">
        <v>4308</v>
      </c>
      <c r="D227" s="1">
        <f t="shared" si="16"/>
        <v>1287.2937776200997</v>
      </c>
      <c r="E227" s="6">
        <f t="shared" si="18"/>
        <v>0.45665980476425544</v>
      </c>
      <c r="F227" s="1">
        <f t="shared" si="20"/>
        <v>193.7713971038082</v>
      </c>
      <c r="G227" s="1">
        <v>209.85714285714286</v>
      </c>
      <c r="H227" s="1">
        <f t="shared" ref="H227:H290" si="21">F227-G227</f>
        <v>-16.085745753334663</v>
      </c>
      <c r="I227" s="10">
        <f ca="1">-SUM(INDIRECT("F"&amp;MAX(220,ROW()-I$1)):INDIRECT("F"&amp;ROW()))/I$1</f>
        <v>-13.992685048659803</v>
      </c>
    </row>
    <row r="228" spans="1:9" x14ac:dyDescent="0.2">
      <c r="A228" s="9">
        <f t="shared" si="15"/>
        <v>43948</v>
      </c>
      <c r="B228" s="1">
        <v>2992.0286583554689</v>
      </c>
      <c r="C228">
        <v>3910</v>
      </c>
      <c r="D228" s="1">
        <f t="shared" si="16"/>
        <v>917.97134164453109</v>
      </c>
      <c r="E228" s="6">
        <f t="shared" si="18"/>
        <v>0.29243451578160512</v>
      </c>
      <c r="F228" s="1">
        <f t="shared" si="20"/>
        <v>126.53173919204043</v>
      </c>
      <c r="G228" s="1">
        <v>156.42857142857142</v>
      </c>
      <c r="H228" s="1">
        <f t="shared" si="21"/>
        <v>-29.896832236530983</v>
      </c>
      <c r="I228" s="10">
        <f ca="1">-SUM(INDIRECT("F"&amp;MAX(220,ROW()-I$1)):INDIRECT("F"&amp;ROW()))/I$1</f>
        <v>-15.800281322831808</v>
      </c>
    </row>
    <row r="229" spans="1:9" x14ac:dyDescent="0.2">
      <c r="A229" s="9">
        <f t="shared" si="15"/>
        <v>43955</v>
      </c>
      <c r="B229" s="1">
        <v>2963.3477635320296</v>
      </c>
      <c r="C229">
        <v>3383</v>
      </c>
      <c r="D229" s="1">
        <f t="shared" si="16"/>
        <v>419.6522364679704</v>
      </c>
      <c r="E229" s="6">
        <f t="shared" si="18"/>
        <v>0.15652783906087048</v>
      </c>
      <c r="F229" s="1">
        <f t="shared" si="20"/>
        <v>64.685410782234513</v>
      </c>
      <c r="G229" s="1">
        <v>54.857142857142854</v>
      </c>
      <c r="H229" s="1">
        <f t="shared" si="21"/>
        <v>9.8282679250916587</v>
      </c>
      <c r="I229" s="10">
        <f ca="1">-SUM(INDIRECT("F"&amp;MAX(220,ROW()-I$1)):INDIRECT("F"&amp;ROW()))/I$1</f>
        <v>-16.724358619720874</v>
      </c>
    </row>
    <row r="230" spans="1:9" x14ac:dyDescent="0.2">
      <c r="A230" s="9">
        <f t="shared" si="15"/>
        <v>43962</v>
      </c>
      <c r="B230" s="1">
        <v>2935.0843126779055</v>
      </c>
      <c r="C230">
        <v>2989</v>
      </c>
      <c r="D230" s="1">
        <f t="shared" si="16"/>
        <v>53.915687322094527</v>
      </c>
      <c r="E230" s="6">
        <f t="shared" si="18"/>
        <v>3.8944353410235902E-2</v>
      </c>
      <c r="F230" s="1">
        <f t="shared" si="20"/>
        <v>14.172520343121343</v>
      </c>
      <c r="G230" s="1">
        <v>34.285714285714285</v>
      </c>
      <c r="H230" s="1">
        <f t="shared" si="21"/>
        <v>-20.113193942592943</v>
      </c>
      <c r="I230" s="10">
        <f ca="1">-SUM(INDIRECT("F"&amp;MAX(220,ROW()-I$1)):INDIRECT("F"&amp;ROW()))/I$1</f>
        <v>-16.926823196051178</v>
      </c>
    </row>
    <row r="231" spans="1:9" x14ac:dyDescent="0.2">
      <c r="A231" s="9">
        <f t="shared" si="15"/>
        <v>43969</v>
      </c>
      <c r="B231" s="1">
        <v>2907.6530415047619</v>
      </c>
      <c r="C231">
        <v>2777</v>
      </c>
      <c r="D231" s="1">
        <f t="shared" si="16"/>
        <v>-130.65304150476186</v>
      </c>
      <c r="E231" s="6">
        <f t="shared" si="18"/>
        <v>-2.1574553924432374E-2</v>
      </c>
      <c r="F231" s="1">
        <f t="shared" si="20"/>
        <v>-11.387392625614812</v>
      </c>
      <c r="G231" s="1">
        <v>20.285714285714285</v>
      </c>
      <c r="H231" s="1">
        <f t="shared" si="21"/>
        <v>-31.673106911329096</v>
      </c>
      <c r="I231" s="10">
        <f ca="1">-SUM(INDIRECT("F"&amp;MAX(220,ROW()-I$1)):INDIRECT("F"&amp;ROW()))/I$1</f>
        <v>-16.764146158542395</v>
      </c>
    </row>
    <row r="232" spans="1:9" x14ac:dyDescent="0.2">
      <c r="A232" s="9">
        <f t="shared" si="15"/>
        <v>43976</v>
      </c>
      <c r="B232" s="1">
        <v>2881.4565978297856</v>
      </c>
      <c r="C232">
        <v>2770</v>
      </c>
      <c r="D232" s="1">
        <f t="shared" si="16"/>
        <v>-111.45659782978555</v>
      </c>
      <c r="E232" s="6">
        <f t="shared" si="18"/>
        <v>-4.2454142571486886E-2</v>
      </c>
      <c r="F232" s="1">
        <f t="shared" si="20"/>
        <v>-17.087353767258474</v>
      </c>
      <c r="G232" s="1">
        <v>19.142857142857142</v>
      </c>
      <c r="H232" s="1">
        <f t="shared" si="21"/>
        <v>-36.230210910115616</v>
      </c>
      <c r="I232" s="10">
        <f ca="1">-SUM(INDIRECT("F"&amp;MAX(220,ROW()-I$1)):INDIRECT("F"&amp;ROW()))/I$1</f>
        <v>-16.520041104724417</v>
      </c>
    </row>
    <row r="233" spans="1:9" x14ac:dyDescent="0.2">
      <c r="A233" s="9">
        <f t="shared" si="15"/>
        <v>43983</v>
      </c>
      <c r="B233" s="1">
        <v>2856.8796683189044</v>
      </c>
      <c r="C233">
        <v>2732</v>
      </c>
      <c r="D233" s="1">
        <f t="shared" si="16"/>
        <v>-124.87966831890435</v>
      </c>
      <c r="E233" s="6">
        <f t="shared" si="18"/>
        <v>-4.5343133972359659E-2</v>
      </c>
      <c r="F233" s="1">
        <f t="shared" si="20"/>
        <v>-18.339260748192423</v>
      </c>
      <c r="G233" s="1">
        <v>8.1428571428571423</v>
      </c>
      <c r="H233" s="1">
        <f t="shared" si="21"/>
        <v>-26.482117891049565</v>
      </c>
      <c r="I233" s="10">
        <f ca="1">-SUM(INDIRECT("F"&amp;MAX(220,ROW()-I$1)):INDIRECT("F"&amp;ROW()))/I$1</f>
        <v>-16.258051665464524</v>
      </c>
    </row>
    <row r="234" spans="1:9" x14ac:dyDescent="0.2">
      <c r="A234" s="9">
        <f t="shared" si="15"/>
        <v>43990</v>
      </c>
      <c r="B234" s="1">
        <v>2834.2833664817936</v>
      </c>
      <c r="C234">
        <v>2682</v>
      </c>
      <c r="D234" s="1">
        <f t="shared" si="16"/>
        <v>-152.28336648179356</v>
      </c>
      <c r="E234" s="6">
        <f t="shared" si="18"/>
        <v>-4.7297434846742238E-2</v>
      </c>
      <c r="F234" s="1">
        <f t="shared" si="20"/>
        <v>-19.80165589542597</v>
      </c>
      <c r="G234" s="1">
        <v>6.5714285714285712</v>
      </c>
      <c r="H234" s="1">
        <f t="shared" si="21"/>
        <v>-26.373084466854543</v>
      </c>
      <c r="I234" s="10">
        <f ca="1">-SUM(INDIRECT("F"&amp;MAX(220,ROW()-I$1)):INDIRECT("F"&amp;ROW()))/I$1</f>
        <v>-15.97517086695844</v>
      </c>
    </row>
    <row r="235" spans="1:9" x14ac:dyDescent="0.2">
      <c r="A235" s="9">
        <f t="shared" si="15"/>
        <v>43997</v>
      </c>
      <c r="B235" s="1">
        <v>2813.9999637894357</v>
      </c>
      <c r="C235">
        <v>2689</v>
      </c>
      <c r="D235" s="1">
        <f t="shared" si="16"/>
        <v>-124.9999637894357</v>
      </c>
      <c r="E235" s="6">
        <f t="shared" si="18"/>
        <v>-4.4730084804667301E-2</v>
      </c>
      <c r="F235" s="1">
        <f t="shared" si="20"/>
        <v>-17.950404816119008</v>
      </c>
      <c r="G235" s="1">
        <v>4.4285714285714288</v>
      </c>
      <c r="H235" s="1">
        <f t="shared" si="21"/>
        <v>-22.378976244690435</v>
      </c>
      <c r="I235" s="10">
        <f ca="1">-SUM(INDIRECT("F"&amp;MAX(220,ROW()-I$1)):INDIRECT("F"&amp;ROW()))/I$1</f>
        <v>-15.718736512442453</v>
      </c>
    </row>
    <row r="236" spans="1:9" x14ac:dyDescent="0.2">
      <c r="A236" s="9">
        <f t="shared" si="15"/>
        <v>44004</v>
      </c>
      <c r="B236" s="1">
        <v>2796.3280407906673</v>
      </c>
      <c r="C236">
        <v>2696</v>
      </c>
      <c r="D236" s="1">
        <f t="shared" si="16"/>
        <v>-100.32804079066727</v>
      </c>
      <c r="E236" s="6">
        <f t="shared" si="18"/>
        <v>-4.1465823333782986E-2</v>
      </c>
      <c r="F236" s="1">
        <f t="shared" si="20"/>
        <v>-16.0065776556734</v>
      </c>
      <c r="G236" s="1">
        <v>2.1428571428571428</v>
      </c>
      <c r="H236" s="1">
        <f t="shared" si="21"/>
        <v>-18.149434798530542</v>
      </c>
      <c r="I236" s="10">
        <f ca="1">-SUM(INDIRECT("F"&amp;MAX(220,ROW()-I$1)):INDIRECT("F"&amp;ROW()))/I$1</f>
        <v>-15.490071117361403</v>
      </c>
    </row>
    <row r="237" spans="1:9" x14ac:dyDescent="0.2">
      <c r="A237" s="9">
        <f t="shared" si="15"/>
        <v>44011</v>
      </c>
      <c r="B237" s="1">
        <v>2781.528128988085</v>
      </c>
      <c r="C237">
        <v>2659</v>
      </c>
      <c r="D237" s="1">
        <f t="shared" si="16"/>
        <v>-122.52812898808497</v>
      </c>
      <c r="E237" s="6">
        <f t="shared" si="18"/>
        <v>-4.2503623957338553E-2</v>
      </c>
      <c r="F237" s="1">
        <f t="shared" si="20"/>
        <v>-17.042971637567575</v>
      </c>
      <c r="G237" s="1">
        <v>3.1428571428571428</v>
      </c>
      <c r="H237" s="1">
        <f t="shared" si="21"/>
        <v>-20.185828780424718</v>
      </c>
      <c r="I237" s="10">
        <f ca="1">-SUM(INDIRECT("F"&amp;MAX(220,ROW()-I$1)):INDIRECT("F"&amp;ROW()))/I$1</f>
        <v>-15.246600093967579</v>
      </c>
    </row>
    <row r="238" spans="1:9" x14ac:dyDescent="0.2">
      <c r="A238" s="9">
        <f t="shared" si="15"/>
        <v>44018</v>
      </c>
      <c r="B238" s="1">
        <v>2769.8189070850549</v>
      </c>
      <c r="C238">
        <v>2638</v>
      </c>
      <c r="D238" s="1">
        <f t="shared" si="16"/>
        <v>-131.81890708505489</v>
      </c>
      <c r="E238" s="6">
        <f t="shared" si="18"/>
        <v>-4.7743319030327108E-2</v>
      </c>
      <c r="F238" s="1">
        <f t="shared" si="20"/>
        <v>-18.876426796308433</v>
      </c>
      <c r="G238" s="1">
        <v>1.4285714285714286</v>
      </c>
      <c r="H238" s="1">
        <f t="shared" si="21"/>
        <v>-20.30499822487986</v>
      </c>
      <c r="I238" s="10">
        <f ca="1">-SUM(INDIRECT("F"&amp;MAX(220,ROW()-I$1)):INDIRECT("F"&amp;ROW()))/I$1</f>
        <v>-14.976936854020316</v>
      </c>
    </row>
    <row r="239" spans="1:9" x14ac:dyDescent="0.2">
      <c r="A239" s="9">
        <f t="shared" si="15"/>
        <v>44025</v>
      </c>
      <c r="B239" s="1">
        <v>2761.3740071384414</v>
      </c>
      <c r="C239">
        <v>2619</v>
      </c>
      <c r="D239" s="1">
        <f t="shared" si="16"/>
        <v>-142.37400713844136</v>
      </c>
      <c r="E239" s="6">
        <f t="shared" si="18"/>
        <v>-6.0659704213454832E-2</v>
      </c>
      <c r="F239" s="1">
        <f t="shared" si="20"/>
        <v>-23.031657093773656</v>
      </c>
      <c r="G239" s="1">
        <v>-0.14285714285714285</v>
      </c>
      <c r="H239" s="1">
        <f t="shared" si="21"/>
        <v>-22.888799950916514</v>
      </c>
      <c r="I239" s="10">
        <f ca="1">-SUM(INDIRECT("F"&amp;MAX(220,ROW()-I$1)):INDIRECT("F"&amp;ROW()))/I$1</f>
        <v>-14.647913181252122</v>
      </c>
    </row>
    <row r="240" spans="1:9" x14ac:dyDescent="0.2">
      <c r="A240" s="9">
        <f t="shared" si="15"/>
        <v>44032</v>
      </c>
      <c r="B240" s="1">
        <v>2756.3194772637248</v>
      </c>
      <c r="C240">
        <v>2528</v>
      </c>
      <c r="D240" s="1">
        <f t="shared" si="16"/>
        <v>-228.31947726372482</v>
      </c>
      <c r="E240" s="6">
        <f t="shared" si="18"/>
        <v>-5.4713713474811354E-2</v>
      </c>
      <c r="F240" s="1">
        <f t="shared" si="20"/>
        <v>-24.312317844138306</v>
      </c>
      <c r="G240" s="1">
        <v>0.5714285714285714</v>
      </c>
      <c r="H240" s="1">
        <f t="shared" si="21"/>
        <v>-24.883746415566879</v>
      </c>
      <c r="I240" s="10">
        <f ca="1">-SUM(INDIRECT("F"&amp;MAX(220,ROW()-I$1)):INDIRECT("F"&amp;ROW()))/I$1</f>
        <v>-14.300594354907288</v>
      </c>
    </row>
    <row r="241" spans="1:9" x14ac:dyDescent="0.2">
      <c r="A241" s="9">
        <f t="shared" si="15"/>
        <v>44039</v>
      </c>
      <c r="B241" s="1">
        <v>2754.7319379699816</v>
      </c>
      <c r="C241">
        <v>2673</v>
      </c>
      <c r="D241" s="1">
        <f t="shared" si="16"/>
        <v>-81.731937969981573</v>
      </c>
      <c r="E241" s="6">
        <f t="shared" si="18"/>
        <v>-4.8484920172202774E-2</v>
      </c>
      <c r="F241" s="1">
        <f t="shared" si="20"/>
        <v>-17.229314724816341</v>
      </c>
      <c r="G241" s="1">
        <v>1.2857142857142858</v>
      </c>
      <c r="H241" s="1">
        <f t="shared" si="21"/>
        <v>-18.515029010530625</v>
      </c>
      <c r="I241" s="10">
        <f ca="1">-SUM(INDIRECT("F"&amp;MAX(220,ROW()-I$1)):INDIRECT("F"&amp;ROW()))/I$1</f>
        <v>-14.054461287409911</v>
      </c>
    </row>
    <row r="242" spans="1:9" x14ac:dyDescent="0.2">
      <c r="A242" s="9">
        <f t="shared" si="15"/>
        <v>44046</v>
      </c>
      <c r="B242" s="1">
        <v>2756.6374590911696</v>
      </c>
      <c r="C242">
        <v>2666</v>
      </c>
      <c r="D242" s="1">
        <f t="shared" si="16"/>
        <v>-90.637459091169603</v>
      </c>
      <c r="E242" s="6">
        <f t="shared" si="18"/>
        <v>-3.5354736241141771E-2</v>
      </c>
      <c r="F242" s="1">
        <f t="shared" si="20"/>
        <v>-13.679215354536723</v>
      </c>
      <c r="G242" s="1">
        <v>1.1428571428571428</v>
      </c>
      <c r="H242" s="1">
        <f t="shared" si="21"/>
        <v>-14.822072497393865</v>
      </c>
      <c r="I242" s="10">
        <f ca="1">-SUM(INDIRECT("F"&amp;MAX(220,ROW()-I$1)):INDIRECT("F"&amp;ROW()))/I$1</f>
        <v>-13.859043925202243</v>
      </c>
    </row>
    <row r="243" spans="1:9" x14ac:dyDescent="0.2">
      <c r="A243" s="9">
        <f t="shared" si="15"/>
        <v>44053</v>
      </c>
      <c r="B243" s="1">
        <v>2762.0111737747075</v>
      </c>
      <c r="C243">
        <v>2642</v>
      </c>
      <c r="D243" s="1">
        <f t="shared" si="16"/>
        <v>-120.01117377470746</v>
      </c>
      <c r="E243" s="6">
        <f t="shared" si="18"/>
        <v>2.7464737055046769E-2</v>
      </c>
      <c r="F243" s="1">
        <f t="shared" si="20"/>
        <v>3.8415199327772434</v>
      </c>
      <c r="G243" s="1">
        <v>2.1428571428571428</v>
      </c>
      <c r="H243" s="1">
        <f t="shared" si="21"/>
        <v>1.6986627899201006</v>
      </c>
      <c r="I243" s="10">
        <f ca="1">-SUM(INDIRECT("F"&amp;MAX(220,ROW()-I$1)):INDIRECT("F"&amp;ROW()))/I$1</f>
        <v>-13.913922781384777</v>
      </c>
    </row>
    <row r="244" spans="1:9" x14ac:dyDescent="0.2">
      <c r="A244" s="9">
        <f t="shared" si="15"/>
        <v>44060</v>
      </c>
      <c r="B244" s="1">
        <v>2770.7776352416527</v>
      </c>
      <c r="C244">
        <v>3209</v>
      </c>
      <c r="D244" s="1">
        <f t="shared" si="16"/>
        <v>438.22236475834734</v>
      </c>
      <c r="E244" s="6">
        <f t="shared" si="18"/>
        <v>4.7086574156890063E-2</v>
      </c>
      <c r="F244" s="1">
        <f t="shared" si="20"/>
        <v>29.62934444787582</v>
      </c>
      <c r="G244" s="1">
        <v>4</v>
      </c>
      <c r="H244" s="1">
        <f t="shared" si="21"/>
        <v>25.62934444787582</v>
      </c>
      <c r="I244" s="10">
        <f ca="1">-SUM(INDIRECT("F"&amp;MAX(220,ROW()-I$1)):INDIRECT("F"&amp;ROW()))/I$1</f>
        <v>-14.337199130640146</v>
      </c>
    </row>
    <row r="245" spans="1:9" x14ac:dyDescent="0.2">
      <c r="A245" s="9">
        <f t="shared" si="15"/>
        <v>44067</v>
      </c>
      <c r="B245" s="1">
        <v>2782.8119112014642</v>
      </c>
      <c r="C245">
        <v>2856</v>
      </c>
      <c r="D245" s="1">
        <f t="shared" si="16"/>
        <v>73.188088798535773</v>
      </c>
      <c r="E245" s="6">
        <f t="shared" si="18"/>
        <v>5.3718932243225652E-2</v>
      </c>
      <c r="F245" s="1">
        <f t="shared" si="20"/>
        <v>18.630612225319787</v>
      </c>
      <c r="G245" s="1">
        <v>3.4285714285714284</v>
      </c>
      <c r="H245" s="1">
        <f t="shared" si="21"/>
        <v>15.202040796748358</v>
      </c>
      <c r="I245" s="10">
        <f ca="1">-SUM(INDIRECT("F"&amp;MAX(220,ROW()-I$1)):INDIRECT("F"&amp;ROW()))/I$1</f>
        <v>-14.603350733858999</v>
      </c>
    </row>
    <row r="246" spans="1:9" x14ac:dyDescent="0.2">
      <c r="A246" s="9">
        <f t="shared" si="15"/>
        <v>44074</v>
      </c>
      <c r="B246" s="1">
        <v>2797.9414000464649</v>
      </c>
      <c r="C246">
        <v>2735</v>
      </c>
      <c r="D246" s="1">
        <f t="shared" si="16"/>
        <v>-62.941400046464878</v>
      </c>
      <c r="E246" s="6">
        <f t="shared" si="18"/>
        <v>-1.3545870268462422E-2</v>
      </c>
      <c r="F246" s="1">
        <f t="shared" si="20"/>
        <v>-6.3086804899226241</v>
      </c>
      <c r="G246" s="1">
        <v>2.7142857142857144</v>
      </c>
      <c r="H246" s="1">
        <f t="shared" si="21"/>
        <v>-9.0229662042083376</v>
      </c>
      <c r="I246" s="10">
        <f ca="1">-SUM(INDIRECT("F"&amp;MAX(220,ROW()-I$1)):INDIRECT("F"&amp;ROW()))/I$1</f>
        <v>-14.513226726860104</v>
      </c>
    </row>
    <row r="247" spans="1:9" x14ac:dyDescent="0.2">
      <c r="A247" s="9">
        <f t="shared" si="15"/>
        <v>44081</v>
      </c>
      <c r="B247" s="1">
        <v>2815.9483424234395</v>
      </c>
      <c r="C247">
        <v>2692</v>
      </c>
      <c r="D247" s="1">
        <f t="shared" si="16"/>
        <v>-123.9483424234395</v>
      </c>
      <c r="E247" s="6">
        <f t="shared" si="18"/>
        <v>-3.3317696193208748E-2</v>
      </c>
      <c r="F247" s="1">
        <f t="shared" si="20"/>
        <v>-14.478967018905044</v>
      </c>
      <c r="G247" s="1">
        <v>1.5714285714285714</v>
      </c>
      <c r="H247" s="1">
        <f t="shared" si="21"/>
        <v>-16.050395590333615</v>
      </c>
      <c r="I247" s="10">
        <f ca="1">-SUM(INDIRECT("F"&amp;MAX(220,ROW()-I$1)):INDIRECT("F"&amp;ROW()))/I$1</f>
        <v>-14.306384340875747</v>
      </c>
    </row>
    <row r="248" spans="1:9" x14ac:dyDescent="0.2">
      <c r="A248" s="9">
        <f t="shared" si="15"/>
        <v>44088</v>
      </c>
      <c r="B248" s="1">
        <v>2836.5729916359974</v>
      </c>
      <c r="C248">
        <v>2742</v>
      </c>
      <c r="D248" s="1">
        <f t="shared" si="16"/>
        <v>-94.572991635997369</v>
      </c>
      <c r="E248" s="6">
        <f t="shared" si="18"/>
        <v>-4.1956583035409702E-2</v>
      </c>
      <c r="F248" s="1">
        <f t="shared" si="20"/>
        <v>-16.128990086240215</v>
      </c>
      <c r="G248" s="1">
        <v>3.5714285714285716</v>
      </c>
      <c r="H248" s="1">
        <f t="shared" si="21"/>
        <v>-19.700418657668788</v>
      </c>
      <c r="I248" s="10">
        <f ca="1">-SUM(INDIRECT("F"&amp;MAX(220,ROW()-I$1)):INDIRECT("F"&amp;ROW()))/I$1</f>
        <v>-14.075970196786601</v>
      </c>
    </row>
    <row r="249" spans="1:9" x14ac:dyDescent="0.2">
      <c r="A249" s="9">
        <f t="shared" ref="A249:A312" si="22">A248+7</f>
        <v>44095</v>
      </c>
      <c r="B249" s="1">
        <v>2859.5173967192918</v>
      </c>
      <c r="C249">
        <v>2721</v>
      </c>
      <c r="D249" s="1">
        <f t="shared" si="16"/>
        <v>-138.51739671929181</v>
      </c>
      <c r="E249" s="6">
        <f t="shared" si="18"/>
        <v>-2.6407734827779146E-2</v>
      </c>
      <c r="F249" s="1">
        <f t="shared" si="20"/>
        <v>-13.037768862973037</v>
      </c>
      <c r="G249" s="1">
        <v>13.571428571428571</v>
      </c>
      <c r="H249" s="1">
        <f t="shared" si="21"/>
        <v>-26.609197434401608</v>
      </c>
      <c r="I249" s="10">
        <f ca="1">-SUM(INDIRECT("F"&amp;MAX(220,ROW()-I$1)):INDIRECT("F"&amp;ROW()))/I$1</f>
        <v>-13.889716355886986</v>
      </c>
    </row>
    <row r="250" spans="1:9" x14ac:dyDescent="0.2">
      <c r="A250" s="9">
        <f t="shared" si="22"/>
        <v>44102</v>
      </c>
      <c r="B250" s="1">
        <v>2884.449743088664</v>
      </c>
      <c r="C250">
        <v>2891</v>
      </c>
      <c r="D250" s="1">
        <f t="shared" si="16"/>
        <v>6.5502569113359641</v>
      </c>
      <c r="E250" s="6">
        <f t="shared" si="18"/>
        <v>-4.7353141828191097E-3</v>
      </c>
      <c r="F250" s="1">
        <f t="shared" si="20"/>
        <v>-1.2295025151033607</v>
      </c>
      <c r="G250" s="1">
        <v>11.428571428571429</v>
      </c>
      <c r="H250" s="1">
        <f t="shared" si="21"/>
        <v>-12.65807394367479</v>
      </c>
      <c r="I250" s="10">
        <f ca="1">-SUM(INDIRECT("F"&amp;MAX(220,ROW()-I$1)):INDIRECT("F"&amp;ROW()))/I$1</f>
        <v>-13.872152034242651</v>
      </c>
    </row>
    <row r="251" spans="1:9" x14ac:dyDescent="0.2">
      <c r="A251" s="9">
        <f t="shared" si="22"/>
        <v>44109</v>
      </c>
      <c r="B251" s="1">
        <v>2911.0091875262742</v>
      </c>
      <c r="C251">
        <v>3002</v>
      </c>
      <c r="D251" s="1">
        <f t="shared" si="16"/>
        <v>90.990812473725782</v>
      </c>
      <c r="E251" s="6">
        <f t="shared" si="18"/>
        <v>2.0694993922386846E-2</v>
      </c>
      <c r="F251" s="1">
        <f t="shared" si="20"/>
        <v>9.7043130287618329</v>
      </c>
      <c r="G251" s="1">
        <v>18.571428571428573</v>
      </c>
      <c r="H251" s="1">
        <f t="shared" si="21"/>
        <v>-8.8671155426667401</v>
      </c>
      <c r="I251" s="10">
        <f ca="1">-SUM(INDIRECT("F"&amp;MAX(220,ROW()-I$1)):INDIRECT("F"&amp;ROW()))/I$1</f>
        <v>-14.010785077510677</v>
      </c>
    </row>
    <row r="252" spans="1:9" x14ac:dyDescent="0.2">
      <c r="A252" s="9">
        <f t="shared" si="22"/>
        <v>44116</v>
      </c>
      <c r="B252" s="1">
        <v>2938.8111170534562</v>
      </c>
      <c r="C252">
        <v>3022</v>
      </c>
      <c r="D252" s="1">
        <f t="shared" si="16"/>
        <v>83.188882946543799</v>
      </c>
      <c r="E252" s="6">
        <f t="shared" si="18"/>
        <v>4.8628160991768039E-2</v>
      </c>
      <c r="F252" s="1">
        <f t="shared" si="20"/>
        <v>18.282707975712974</v>
      </c>
      <c r="G252" s="1">
        <v>23.857142857142858</v>
      </c>
      <c r="H252" s="1">
        <f t="shared" si="21"/>
        <v>-5.5744348814298839</v>
      </c>
      <c r="I252" s="10">
        <f ca="1">-SUM(INDIRECT("F"&amp;MAX(220,ROW()-I$1)):INDIRECT("F"&amp;ROW()))/I$1</f>
        <v>-14.271966620020862</v>
      </c>
    </row>
    <row r="253" spans="1:9" x14ac:dyDescent="0.2">
      <c r="A253" s="9">
        <f t="shared" si="22"/>
        <v>44123</v>
      </c>
      <c r="B253" s="1">
        <v>2967.4527550468501</v>
      </c>
      <c r="C253">
        <v>3222</v>
      </c>
      <c r="D253" s="1">
        <f t="shared" si="16"/>
        <v>254.54724495314986</v>
      </c>
      <c r="E253" s="6">
        <f t="shared" si="18"/>
        <v>8.8652587495433838E-2</v>
      </c>
      <c r="F253" s="1">
        <f t="shared" si="20"/>
        <v>37.27729785604361</v>
      </c>
      <c r="G253" s="1">
        <v>42.142857142857146</v>
      </c>
      <c r="H253" s="1">
        <f t="shared" si="21"/>
        <v>-4.8655592868135358</v>
      </c>
      <c r="I253" s="10">
        <f ca="1">-SUM(INDIRECT("F"&amp;MAX(220,ROW()-I$1)):INDIRECT("F"&amp;ROW()))/I$1</f>
        <v>-14.80449944653577</v>
      </c>
    </row>
    <row r="254" spans="1:9" x14ac:dyDescent="0.2">
      <c r="A254" s="9">
        <f t="shared" si="22"/>
        <v>44130</v>
      </c>
      <c r="B254" s="1">
        <v>2996.5190328836225</v>
      </c>
      <c r="C254">
        <v>3448</v>
      </c>
      <c r="D254" s="1">
        <f t="shared" si="16"/>
        <v>451.48096711637754</v>
      </c>
      <c r="E254" s="6">
        <f t="shared" si="18"/>
        <v>0.1521142316071776</v>
      </c>
      <c r="F254" s="1">
        <f t="shared" si="20"/>
        <v>64.961447773803684</v>
      </c>
      <c r="G254" s="1">
        <v>55.428571428571431</v>
      </c>
      <c r="H254" s="1">
        <f t="shared" si="21"/>
        <v>9.5328763452322534</v>
      </c>
      <c r="I254" s="10">
        <f ca="1">-SUM(INDIRECT("F"&amp;MAX(220,ROW()-I$1)):INDIRECT("F"&amp;ROW()))/I$1</f>
        <v>-15.732520129018679</v>
      </c>
    </row>
    <row r="255" spans="1:9" x14ac:dyDescent="0.2">
      <c r="A255" s="9">
        <f t="shared" si="22"/>
        <v>44137</v>
      </c>
      <c r="B255" s="1">
        <v>3025.5886415194018</v>
      </c>
      <c r="C255">
        <v>3687</v>
      </c>
      <c r="D255" s="1">
        <f t="shared" si="16"/>
        <v>661.41135848059821</v>
      </c>
      <c r="E255" s="6">
        <f t="shared" si="18"/>
        <v>0.18152414246690562</v>
      </c>
      <c r="F255" s="1">
        <f t="shared" si="20"/>
        <v>82.466553903887728</v>
      </c>
      <c r="G255" s="1">
        <v>81.428571428571431</v>
      </c>
      <c r="H255" s="1">
        <f t="shared" si="21"/>
        <v>1.0379824753162978</v>
      </c>
      <c r="I255" s="10">
        <f ca="1">-SUM(INDIRECT("F"&amp;MAX(220,ROW()-I$1)):INDIRECT("F"&amp;ROW()))/I$1</f>
        <v>-16.910613756217074</v>
      </c>
    </row>
    <row r="256" spans="1:9" x14ac:dyDescent="0.2">
      <c r="A256" s="9">
        <f t="shared" si="22"/>
        <v>44144</v>
      </c>
      <c r="B256" s="1">
        <v>3054.2401747687177</v>
      </c>
      <c r="C256">
        <v>3589</v>
      </c>
      <c r="D256" s="1">
        <f t="shared" si="16"/>
        <v>534.75982523128232</v>
      </c>
      <c r="E256" s="6">
        <f t="shared" si="18"/>
        <v>0.18489191114228862</v>
      </c>
      <c r="F256" s="1">
        <f t="shared" si="20"/>
        <v>79.602597651175714</v>
      </c>
      <c r="G256" s="1">
        <v>68.857142857142861</v>
      </c>
      <c r="H256" s="1">
        <f t="shared" si="21"/>
        <v>10.745454794032852</v>
      </c>
      <c r="I256" s="10">
        <f ca="1">-SUM(INDIRECT("F"&amp;MAX(220,ROW()-I$1)):INDIRECT("F"&amp;ROW()))/I$1</f>
        <v>-18.047793722662444</v>
      </c>
    </row>
    <row r="257" spans="1:10" x14ac:dyDescent="0.2">
      <c r="A257" s="9">
        <f t="shared" si="22"/>
        <v>44151</v>
      </c>
      <c r="B257" s="1">
        <v>3082.058274710243</v>
      </c>
      <c r="C257">
        <v>3580</v>
      </c>
      <c r="D257" s="1">
        <f t="shared" si="16"/>
        <v>497.94172528975696</v>
      </c>
      <c r="E257" s="6">
        <f t="shared" si="18"/>
        <v>0.13617110695736623</v>
      </c>
      <c r="F257" s="1">
        <f t="shared" si="20"/>
        <v>62.750128079034617</v>
      </c>
      <c r="G257" s="1">
        <v>57.857142857142854</v>
      </c>
      <c r="H257" s="1">
        <f t="shared" si="21"/>
        <v>4.8929852218917631</v>
      </c>
      <c r="I257" s="10">
        <f ca="1">-SUM(INDIRECT("F"&amp;MAX(220,ROW()-I$1)):INDIRECT("F"&amp;ROW()))/I$1</f>
        <v>-18.944224123791507</v>
      </c>
    </row>
    <row r="258" spans="1:10" x14ac:dyDescent="0.2">
      <c r="A258" s="9">
        <f t="shared" si="22"/>
        <v>44158</v>
      </c>
      <c r="B258" s="1">
        <v>3108.6396895978269</v>
      </c>
      <c r="C258">
        <v>3335</v>
      </c>
      <c r="D258" s="1">
        <f t="shared" si="16"/>
        <v>226.36031040217313</v>
      </c>
      <c r="E258" s="6">
        <f t="shared" si="18"/>
        <v>0.10676726577006664</v>
      </c>
      <c r="F258" s="1">
        <f t="shared" si="20"/>
        <v>43.645113934649252</v>
      </c>
      <c r="G258" s="1">
        <v>65.428571428571431</v>
      </c>
      <c r="H258" s="1">
        <f t="shared" si="21"/>
        <v>-21.783457493922178</v>
      </c>
      <c r="I258" s="10">
        <f ca="1">-SUM(INDIRECT("F"&amp;MAX(220,ROW()-I$1)):INDIRECT("F"&amp;ROW()))/I$1</f>
        <v>-19.567725751429354</v>
      </c>
    </row>
    <row r="259" spans="1:10" x14ac:dyDescent="0.2">
      <c r="A259" s="9">
        <f t="shared" si="22"/>
        <v>44165</v>
      </c>
      <c r="B259" s="1">
        <v>3133.5991559239242</v>
      </c>
      <c r="C259">
        <v>3405</v>
      </c>
      <c r="D259" s="1">
        <f t="shared" si="16"/>
        <v>271.40084407607583</v>
      </c>
      <c r="E259" s="6">
        <f t="shared" si="18"/>
        <v>9.2671514159160098E-2</v>
      </c>
      <c r="F259" s="1">
        <f t="shared" si="20"/>
        <v>40.806677847074425</v>
      </c>
      <c r="G259" s="1">
        <v>48.285714285714285</v>
      </c>
      <c r="H259" s="1">
        <f t="shared" si="21"/>
        <v>-7.4790364386398593</v>
      </c>
      <c r="I259" s="10">
        <f ca="1">-SUM(INDIRECT("F"&amp;MAX(220,ROW()-I$1)):INDIRECT("F"&amp;ROW()))/I$1</f>
        <v>-20.150678292101848</v>
      </c>
    </row>
    <row r="260" spans="1:10" x14ac:dyDescent="0.2">
      <c r="A260" s="9">
        <f t="shared" si="22"/>
        <v>44172</v>
      </c>
      <c r="B260" s="1">
        <v>3156.5750188362408</v>
      </c>
      <c r="C260">
        <v>3530</v>
      </c>
      <c r="D260" s="1">
        <f t="shared" ref="D260:D323" si="23">C260-B260</f>
        <v>373.42498116375918</v>
      </c>
      <c r="E260" s="6">
        <f t="shared" si="18"/>
        <v>0.11432130393073937</v>
      </c>
      <c r="F260" s="1">
        <f t="shared" si="20"/>
        <v>52.000582053193966</v>
      </c>
      <c r="G260" s="1">
        <v>51.571428571428569</v>
      </c>
      <c r="H260" s="1">
        <f t="shared" si="21"/>
        <v>0.4291534817653968</v>
      </c>
      <c r="I260" s="10">
        <f ca="1">-SUM(INDIRECT("F"&amp;MAX(220,ROW()-I$1)):INDIRECT("F"&amp;ROW()))/I$1</f>
        <v>-20.893543750004618</v>
      </c>
    </row>
    <row r="261" spans="1:10" x14ac:dyDescent="0.2">
      <c r="A261" s="9">
        <f t="shared" si="22"/>
        <v>44179</v>
      </c>
      <c r="B261" s="1">
        <v>3177.2345089141631</v>
      </c>
      <c r="C261">
        <v>3615</v>
      </c>
      <c r="D261" s="1">
        <f t="shared" si="23"/>
        <v>437.76549108583686</v>
      </c>
      <c r="E261" s="6">
        <f t="shared" ref="E261:E324" si="24">AVERAGE(D260:D262)/B261</f>
        <v>0.15998314148754261</v>
      </c>
      <c r="F261" s="1">
        <f t="shared" si="20"/>
        <v>70.095620179356757</v>
      </c>
      <c r="G261" s="1">
        <v>63.285714285714285</v>
      </c>
      <c r="H261" s="1">
        <f t="shared" si="21"/>
        <v>6.8099058936424726</v>
      </c>
      <c r="I261" s="10">
        <f ca="1">-SUM(INDIRECT("F"&amp;MAX(220,ROW()-I$1)):INDIRECT("F"&amp;ROW()))/I$1</f>
        <v>-21.894909752566857</v>
      </c>
    </row>
    <row r="262" spans="1:10" x14ac:dyDescent="0.2">
      <c r="A262" s="9">
        <f t="shared" si="22"/>
        <v>44186</v>
      </c>
      <c r="B262" s="1">
        <v>3195.2785983134436</v>
      </c>
      <c r="C262">
        <v>3909</v>
      </c>
      <c r="D262" s="1">
        <f t="shared" si="23"/>
        <v>713.72140168655642</v>
      </c>
      <c r="E262" s="6">
        <f t="shared" si="24"/>
        <v>0.18861584592486624</v>
      </c>
      <c r="F262" s="1">
        <f t="shared" si="20"/>
        <v>90.062926037360356</v>
      </c>
      <c r="G262" s="1">
        <v>72.428571428571431</v>
      </c>
      <c r="H262" s="1">
        <f t="shared" si="21"/>
        <v>17.634354608788925</v>
      </c>
      <c r="I262" s="10">
        <f ca="1">-SUM(INDIRECT("F"&amp;MAX(220,ROW()-I$1)):INDIRECT("F"&amp;ROW()))/I$1</f>
        <v>-23.181522981672003</v>
      </c>
    </row>
    <row r="263" spans="1:10" x14ac:dyDescent="0.2">
      <c r="A263" s="9">
        <f t="shared" si="22"/>
        <v>44193</v>
      </c>
      <c r="B263" s="1">
        <v>3210.4463654128599</v>
      </c>
      <c r="C263">
        <v>3867</v>
      </c>
      <c r="D263" s="1">
        <f t="shared" si="23"/>
        <v>656.5536345871401</v>
      </c>
      <c r="E263" s="6">
        <f t="shared" si="24"/>
        <v>0.23647993062925426</v>
      </c>
      <c r="F263" s="1">
        <f t="shared" si="20"/>
        <v>104.79185842615944</v>
      </c>
      <c r="G263" s="1">
        <v>87.714285714285708</v>
      </c>
      <c r="H263" s="1">
        <f t="shared" si="21"/>
        <v>17.077572711873728</v>
      </c>
      <c r="I263" s="10">
        <f ca="1">-SUM(INDIRECT("F"&amp;MAX(220,ROW()-I$1)):INDIRECT("F"&amp;ROW()))/I$1</f>
        <v>-24.67854953061714</v>
      </c>
    </row>
    <row r="264" spans="1:10" x14ac:dyDescent="0.2">
      <c r="A264" s="9">
        <f t="shared" si="22"/>
        <v>44200</v>
      </c>
      <c r="B264" s="1">
        <v>3236.6566349283726</v>
      </c>
      <c r="C264">
        <v>4144</v>
      </c>
      <c r="D264" s="1">
        <f t="shared" si="23"/>
        <v>907.34336507162743</v>
      </c>
      <c r="E264" s="6">
        <f t="shared" si="24"/>
        <v>0.22352262509583404</v>
      </c>
      <c r="F264" s="1">
        <f t="shared" si="20"/>
        <v>109.91933313538367</v>
      </c>
      <c r="G264" s="1">
        <v>107</v>
      </c>
      <c r="H264" s="1">
        <f t="shared" si="21"/>
        <v>2.9193331353836669</v>
      </c>
      <c r="I264" s="10">
        <f ca="1">-SUM(INDIRECT("F"&amp;MAX(220,ROW()-I$1)):INDIRECT("F"&amp;ROW()))/I$1</f>
        <v>-26.248825718265476</v>
      </c>
    </row>
    <row r="265" spans="1:10" x14ac:dyDescent="0.2">
      <c r="A265" s="9">
        <f t="shared" si="22"/>
        <v>44207</v>
      </c>
      <c r="B265" s="1">
        <v>3245.4990369396523</v>
      </c>
      <c r="C265">
        <v>3852</v>
      </c>
      <c r="D265" s="1">
        <f t="shared" si="23"/>
        <v>606.50096306034766</v>
      </c>
      <c r="E265" s="6">
        <f t="shared" si="24"/>
        <v>0.21824206549419706</v>
      </c>
      <c r="F265" s="1">
        <f t="shared" si="20"/>
        <v>97.550507257277104</v>
      </c>
      <c r="G265" s="1">
        <v>92.142857142857139</v>
      </c>
      <c r="H265" s="1">
        <f t="shared" si="21"/>
        <v>5.4076501144199653</v>
      </c>
      <c r="I265" s="10">
        <f ca="1">-SUM(INDIRECT("F"&amp;MAX(220,ROW()-I$1)):INDIRECT("F"&amp;ROW()))/I$1</f>
        <v>-27.642404393369436</v>
      </c>
    </row>
    <row r="266" spans="1:10" x14ac:dyDescent="0.2">
      <c r="A266" s="9">
        <f t="shared" si="22"/>
        <v>44214</v>
      </c>
      <c r="B266" s="1">
        <v>3250.9310879885638</v>
      </c>
      <c r="C266">
        <v>3862</v>
      </c>
      <c r="D266" s="1">
        <f t="shared" si="23"/>
        <v>611.06891201143617</v>
      </c>
      <c r="E266" s="6">
        <f t="shared" si="24"/>
        <v>0.17232951775978969</v>
      </c>
      <c r="F266" s="1">
        <f t="shared" si="20"/>
        <v>81.848681142913179</v>
      </c>
      <c r="G266" s="1">
        <v>76.285714285714292</v>
      </c>
      <c r="H266" s="1">
        <f t="shared" si="21"/>
        <v>5.5629668571988873</v>
      </c>
      <c r="I266" s="10">
        <f ca="1">-SUM(INDIRECT("F"&amp;MAX(220,ROW()-I$1)):INDIRECT("F"&amp;ROW()))/I$1</f>
        <v>-28.811671266839625</v>
      </c>
      <c r="J266" s="1">
        <f>F266</f>
        <v>81.848681142913179</v>
      </c>
    </row>
    <row r="267" spans="1:10" x14ac:dyDescent="0.2">
      <c r="A267" s="9">
        <f t="shared" si="22"/>
        <v>44221</v>
      </c>
      <c r="B267" s="1">
        <v>3252.8757150816509</v>
      </c>
      <c r="C267">
        <v>3716</v>
      </c>
      <c r="D267" s="1">
        <f t="shared" si="23"/>
        <v>463.12428491834908</v>
      </c>
      <c r="E267" s="6">
        <f t="shared" si="24"/>
        <v>0.15134162635033976</v>
      </c>
      <c r="F267" s="1">
        <f t="shared" si="20"/>
        <v>69.286099572367633</v>
      </c>
      <c r="G267" s="1">
        <v>65.428571428571431</v>
      </c>
      <c r="H267" s="1">
        <f t="shared" si="21"/>
        <v>3.8575281437962019</v>
      </c>
      <c r="I267" s="10">
        <f ca="1">-SUM(INDIRECT("F"&amp;MAX(220,ROW()-I$1)):INDIRECT("F"&amp;ROW()))/I$1</f>
        <v>-29.80147268930202</v>
      </c>
      <c r="J267" s="1">
        <f ca="1">I267+(J266-I267)*J$1</f>
        <v>53.936142684859377</v>
      </c>
    </row>
    <row r="268" spans="1:10" x14ac:dyDescent="0.2">
      <c r="A268" s="9">
        <f t="shared" si="22"/>
        <v>44228</v>
      </c>
      <c r="B268" s="1">
        <v>3251.3066938218408</v>
      </c>
      <c r="C268">
        <v>3654</v>
      </c>
      <c r="D268" s="1">
        <f t="shared" si="23"/>
        <v>402.69330617815922</v>
      </c>
      <c r="E268" s="6">
        <f t="shared" si="24"/>
        <v>0.11990753918538169</v>
      </c>
      <c r="F268" s="1">
        <f t="shared" si="20"/>
        <v>56.152209305627416</v>
      </c>
      <c r="G268" s="1">
        <v>57.857142857142854</v>
      </c>
      <c r="H268" s="1">
        <f t="shared" si="21"/>
        <v>-1.7049335515154382</v>
      </c>
      <c r="I268" s="10">
        <f ca="1">-SUM(INDIRECT("F"&amp;MAX(220,ROW()-I$1)):INDIRECT("F"&amp;ROW()))/I$1</f>
        <v>-30.60364710795384</v>
      </c>
      <c r="J268" s="1">
        <f t="shared" ref="J268:J331" ca="1" si="25">I268+(J267-I268)*J$1</f>
        <v>32.801195236656078</v>
      </c>
    </row>
    <row r="269" spans="1:10" x14ac:dyDescent="0.2">
      <c r="A269" s="9">
        <f t="shared" si="22"/>
        <v>44235</v>
      </c>
      <c r="B269" s="1">
        <v>3246.2490367170999</v>
      </c>
      <c r="C269">
        <v>3550</v>
      </c>
      <c r="D269" s="1">
        <f t="shared" si="23"/>
        <v>303.7509632829001</v>
      </c>
      <c r="E269" s="6">
        <f t="shared" si="24"/>
        <v>0.1023402316384783</v>
      </c>
      <c r="F269" s="1">
        <f t="shared" si="20"/>
        <v>46.443449943012332</v>
      </c>
      <c r="G269" s="1">
        <v>59</v>
      </c>
      <c r="H269" s="1">
        <f t="shared" si="21"/>
        <v>-12.556550056987668</v>
      </c>
      <c r="I269" s="10">
        <f ca="1">-SUM(INDIRECT("F"&amp;MAX(220,ROW()-I$1)):INDIRECT("F"&amp;ROW()))/I$1</f>
        <v>-31.267124964282583</v>
      </c>
      <c r="J269" s="1">
        <f t="shared" ca="1" si="25"/>
        <v>16.784115186421406</v>
      </c>
    </row>
    <row r="270" spans="1:10" x14ac:dyDescent="0.2">
      <c r="A270" s="9">
        <f t="shared" si="22"/>
        <v>44242</v>
      </c>
      <c r="B270" s="1">
        <v>3237.7786343396142</v>
      </c>
      <c r="C270">
        <v>3528</v>
      </c>
      <c r="D270" s="1">
        <f t="shared" si="23"/>
        <v>290.2213656603858</v>
      </c>
      <c r="E270" s="6">
        <f t="shared" si="24"/>
        <v>5.9191937785488175E-2</v>
      </c>
      <c r="F270" s="1">
        <f t="shared" si="20"/>
        <v>30.899019290050919</v>
      </c>
      <c r="G270" s="1">
        <v>57.285714285714285</v>
      </c>
      <c r="H270" s="1">
        <f t="shared" si="21"/>
        <v>-26.386694995663365</v>
      </c>
      <c r="I270" s="10">
        <f ca="1">-SUM(INDIRECT("F"&amp;MAX(220,ROW()-I$1)):INDIRECT("F"&amp;ROW()))/I$1</f>
        <v>-31.708539525569027</v>
      </c>
      <c r="J270" s="1">
        <f t="shared" ca="1" si="25"/>
        <v>4.6609515084237962</v>
      </c>
    </row>
    <row r="271" spans="1:10" x14ac:dyDescent="0.2">
      <c r="A271" s="9">
        <f t="shared" si="22"/>
        <v>44249</v>
      </c>
      <c r="B271" s="1">
        <v>3226.0211544822459</v>
      </c>
      <c r="C271">
        <v>3207</v>
      </c>
      <c r="D271" s="1">
        <f t="shared" si="23"/>
        <v>-19.021154482245947</v>
      </c>
      <c r="E271" s="6">
        <f t="shared" si="24"/>
        <v>1.7054031162459484E-2</v>
      </c>
      <c r="F271" s="1">
        <f t="shared" si="20"/>
        <v>5.2153157648441164</v>
      </c>
      <c r="G271" s="1">
        <v>49.428571428571431</v>
      </c>
      <c r="H271" s="1">
        <f t="shared" si="21"/>
        <v>-44.213255663727317</v>
      </c>
      <c r="I271" s="10">
        <f ca="1">-SUM(INDIRECT("F"&amp;MAX(220,ROW()-I$1)):INDIRECT("F"&amp;ROW()))/I$1</f>
        <v>-31.783044036495369</v>
      </c>
      <c r="J271" s="1">
        <f t="shared" ca="1" si="25"/>
        <v>-4.4500473778059977</v>
      </c>
    </row>
    <row r="272" spans="1:10" x14ac:dyDescent="0.2">
      <c r="A272" s="9">
        <f t="shared" si="22"/>
        <v>44256</v>
      </c>
      <c r="B272" s="1">
        <v>3211.1502152802586</v>
      </c>
      <c r="C272">
        <v>3105</v>
      </c>
      <c r="D272" s="1">
        <f t="shared" si="23"/>
        <v>-106.15021528025864</v>
      </c>
      <c r="E272" s="6">
        <f t="shared" si="24"/>
        <v>-7.6355016829112322E-3</v>
      </c>
      <c r="F272" s="1">
        <f t="shared" si="20"/>
        <v>-6.4180872821006494</v>
      </c>
      <c r="G272" s="1">
        <v>38.571428571428569</v>
      </c>
      <c r="H272" s="1">
        <f t="shared" si="21"/>
        <v>-44.98951585352922</v>
      </c>
      <c r="I272" s="10">
        <f ca="1">-SUM(INDIRECT("F"&amp;MAX(220,ROW()-I$1)):INDIRECT("F"&amp;ROW()))/I$1</f>
        <v>-31.691357075322504</v>
      </c>
      <c r="J272" s="1">
        <f t="shared" ca="1" si="25"/>
        <v>-11.260374802185122</v>
      </c>
    </row>
    <row r="273" spans="1:10" x14ac:dyDescent="0.2">
      <c r="A273" s="9">
        <f t="shared" si="22"/>
        <v>44263</v>
      </c>
      <c r="B273" s="1">
        <v>3193.384858856055</v>
      </c>
      <c r="C273">
        <v>3245</v>
      </c>
      <c r="D273" s="1">
        <f t="shared" si="23"/>
        <v>51.615141143945038</v>
      </c>
      <c r="E273" s="6">
        <f t="shared" si="24"/>
        <v>-1.9260799490224141E-2</v>
      </c>
      <c r="F273" s="1">
        <f t="shared" si="20"/>
        <v>-4.7466534014531261</v>
      </c>
      <c r="G273" s="1">
        <v>33.714285714285715</v>
      </c>
      <c r="H273" s="1">
        <f t="shared" si="21"/>
        <v>-38.460939115738839</v>
      </c>
      <c r="I273" s="10">
        <f ca="1">-SUM(INDIRECT("F"&amp;MAX(220,ROW()-I$1)):INDIRECT("F"&amp;ROW()))/I$1</f>
        <v>-31.623547741016033</v>
      </c>
      <c r="J273" s="1">
        <f t="shared" ca="1" si="25"/>
        <v>-16.351168036892851</v>
      </c>
    </row>
    <row r="274" spans="1:10" x14ac:dyDescent="0.2">
      <c r="A274" s="9">
        <f t="shared" si="22"/>
        <v>44270</v>
      </c>
      <c r="B274" s="1">
        <v>3172.986362248319</v>
      </c>
      <c r="C274">
        <v>3043</v>
      </c>
      <c r="D274" s="1">
        <f t="shared" si="23"/>
        <v>-129.98636224831898</v>
      </c>
      <c r="E274" s="6">
        <f t="shared" si="24"/>
        <v>-1.9395571666771631E-2</v>
      </c>
      <c r="F274" s="1">
        <f t="shared" si="20"/>
        <v>-11.236143407440993</v>
      </c>
      <c r="G274" s="1">
        <v>29.428571428571427</v>
      </c>
      <c r="H274" s="1">
        <f t="shared" si="21"/>
        <v>-40.664714836012422</v>
      </c>
      <c r="I274" s="10">
        <f ca="1">-SUM(INDIRECT("F"&amp;MAX(220,ROW()-I$1)):INDIRECT("F"&amp;ROW()))/I$1</f>
        <v>-31.463031406624019</v>
      </c>
      <c r="J274" s="1">
        <f t="shared" ca="1" si="25"/>
        <v>-20.129133879325643</v>
      </c>
    </row>
    <row r="275" spans="1:10" x14ac:dyDescent="0.2">
      <c r="A275" s="9">
        <f t="shared" si="22"/>
        <v>44277</v>
      </c>
      <c r="B275" s="1">
        <v>3150.2544320556549</v>
      </c>
      <c r="C275">
        <v>3044</v>
      </c>
      <c r="D275" s="1">
        <f t="shared" si="23"/>
        <v>-106.25443205565489</v>
      </c>
      <c r="E275" s="6">
        <f t="shared" si="24"/>
        <v>-1.9444316481405474E-2</v>
      </c>
      <c r="F275" s="1">
        <f t="shared" si="20"/>
        <v>-10.357788020613432</v>
      </c>
      <c r="G275" s="1">
        <v>27.142857142857142</v>
      </c>
      <c r="H275" s="1">
        <f t="shared" si="21"/>
        <v>-37.500645163470573</v>
      </c>
      <c r="I275" s="10">
        <f ca="1">-SUM(INDIRECT("F"&amp;MAX(220,ROW()-I$1)):INDIRECT("F"&amp;ROW()))/I$1</f>
        <v>-31.315063006329542</v>
      </c>
      <c r="J275" s="1">
        <f t="shared" ca="1" si="25"/>
        <v>-22.925616161076618</v>
      </c>
    </row>
    <row r="276" spans="1:10" x14ac:dyDescent="0.2">
      <c r="A276" s="9">
        <f t="shared" si="22"/>
        <v>44284</v>
      </c>
      <c r="B276" s="1">
        <v>3125.5228382175474</v>
      </c>
      <c r="C276">
        <v>3178</v>
      </c>
      <c r="D276" s="1">
        <f t="shared" si="23"/>
        <v>52.47716178245264</v>
      </c>
      <c r="E276" s="6">
        <f t="shared" si="24"/>
        <v>9.6711064091064051E-4</v>
      </c>
      <c r="F276" s="1">
        <f t="shared" si="20"/>
        <v>2.1980478917214605</v>
      </c>
      <c r="G276" s="1">
        <v>22.428571428571427</v>
      </c>
      <c r="H276" s="1">
        <f t="shared" si="21"/>
        <v>-20.230523536849965</v>
      </c>
      <c r="I276" s="10">
        <f ca="1">-SUM(INDIRECT("F"&amp;MAX(220,ROW()-I$1)):INDIRECT("F"&amp;ROW()))/I$1</f>
        <v>-31.346463690496993</v>
      </c>
      <c r="J276" s="1">
        <f t="shared" ca="1" si="25"/>
        <v>-25.030828043431711</v>
      </c>
    </row>
    <row r="277" spans="1:10" x14ac:dyDescent="0.2">
      <c r="A277" s="9">
        <f t="shared" si="22"/>
        <v>44291</v>
      </c>
      <c r="B277" s="1">
        <v>3099.1545505410495</v>
      </c>
      <c r="C277">
        <v>3162</v>
      </c>
      <c r="D277" s="1">
        <f t="shared" si="23"/>
        <v>62.845449458950498</v>
      </c>
      <c r="E277" s="6">
        <f t="shared" si="24"/>
        <v>1.9444675362555407E-2</v>
      </c>
      <c r="F277" s="1">
        <f t="shared" si="20"/>
        <v>8.7011289949971999</v>
      </c>
      <c r="G277" s="1">
        <v>21.285714285714285</v>
      </c>
      <c r="H277" s="1">
        <f t="shared" si="21"/>
        <v>-12.584585290717085</v>
      </c>
      <c r="I277" s="10">
        <f ca="1">-SUM(INDIRECT("F"&amp;MAX(220,ROW()-I$1)):INDIRECT("F"&amp;ROW()))/I$1</f>
        <v>-31.47076553328267</v>
      </c>
      <c r="J277" s="1">
        <f t="shared" ca="1" si="25"/>
        <v>-26.640812415894452</v>
      </c>
    </row>
    <row r="278" spans="1:10" x14ac:dyDescent="0.2">
      <c r="A278" s="9">
        <f t="shared" si="22"/>
        <v>44298</v>
      </c>
      <c r="B278" s="1">
        <v>3071.5364488404321</v>
      </c>
      <c r="C278">
        <v>3137</v>
      </c>
      <c r="D278" s="1">
        <f t="shared" si="23"/>
        <v>65.463551159567942</v>
      </c>
      <c r="E278" s="6">
        <f t="shared" si="24"/>
        <v>2.4877377674372231E-2</v>
      </c>
      <c r="F278" s="1">
        <f t="shared" ref="F278:F341" si="26">(0.5*D278+0.25*(D277+D279))/7</f>
        <v>10.524959571242091</v>
      </c>
      <c r="G278" s="1">
        <v>20.714285714285715</v>
      </c>
      <c r="H278" s="1">
        <f t="shared" si="21"/>
        <v>-10.189326143043624</v>
      </c>
      <c r="I278" s="10">
        <f ca="1">-SUM(INDIRECT("F"&amp;MAX(220,ROW()-I$1)):INDIRECT("F"&amp;ROW()))/I$1</f>
        <v>-31.621122098586127</v>
      </c>
      <c r="J278" s="1">
        <f t="shared" ca="1" si="25"/>
        <v>-27.885889836567372</v>
      </c>
    </row>
    <row r="279" spans="1:10" x14ac:dyDescent="0.2">
      <c r="A279" s="9">
        <f t="shared" si="22"/>
        <v>44305</v>
      </c>
      <c r="B279" s="1">
        <v>3043.0736837833078</v>
      </c>
      <c r="C279">
        <v>3144</v>
      </c>
      <c r="D279" s="1">
        <f t="shared" si="23"/>
        <v>100.92631621669216</v>
      </c>
      <c r="E279" s="6">
        <f t="shared" si="24"/>
        <v>3.0145627451549809E-2</v>
      </c>
      <c r="F279" s="1">
        <f t="shared" si="26"/>
        <v>13.433300462626173</v>
      </c>
      <c r="G279" s="1">
        <v>19</v>
      </c>
      <c r="H279" s="1">
        <f t="shared" si="21"/>
        <v>-5.5666995373738271</v>
      </c>
      <c r="I279" s="10">
        <f ca="1">-SUM(INDIRECT("F"&amp;MAX(220,ROW()-I$1)):INDIRECT("F"&amp;ROW()))/I$1</f>
        <v>-31.813026390909357</v>
      </c>
      <c r="J279" s="1">
        <f t="shared" ca="1" si="25"/>
        <v>-28.867673975152869</v>
      </c>
    </row>
    <row r="280" spans="1:10" x14ac:dyDescent="0.2">
      <c r="A280" s="9">
        <f t="shared" si="22"/>
        <v>44312</v>
      </c>
      <c r="B280" s="1">
        <v>3014.1837706394194</v>
      </c>
      <c r="C280">
        <v>3123</v>
      </c>
      <c r="D280" s="1">
        <f t="shared" si="23"/>
        <v>108.81622936058056</v>
      </c>
      <c r="E280" s="6">
        <f t="shared" si="24"/>
        <v>2.4821760563141747E-2</v>
      </c>
      <c r="F280" s="1">
        <f t="shared" si="26"/>
        <v>11.90243831803353</v>
      </c>
      <c r="G280" s="1">
        <v>17.571428571428573</v>
      </c>
      <c r="H280" s="1">
        <f t="shared" si="21"/>
        <v>-5.6689902533950427</v>
      </c>
      <c r="I280" s="10">
        <f ca="1">-SUM(INDIRECT("F"&amp;MAX(220,ROW()-I$1)):INDIRECT("F"&amp;ROW()))/I$1</f>
        <v>-31.983061224024123</v>
      </c>
      <c r="J280" s="1">
        <f t="shared" ca="1" si="25"/>
        <v>-29.646520787370683</v>
      </c>
    </row>
    <row r="281" spans="1:10" x14ac:dyDescent="0.2">
      <c r="A281" s="9">
        <f t="shared" si="22"/>
        <v>44319</v>
      </c>
      <c r="B281" s="1">
        <v>2985.2905020329144</v>
      </c>
      <c r="C281">
        <v>3000</v>
      </c>
      <c r="D281" s="1">
        <f t="shared" si="23"/>
        <v>14.709497967085554</v>
      </c>
      <c r="E281" s="6">
        <f t="shared" si="24"/>
        <v>2.0289254792856998E-2</v>
      </c>
      <c r="F281" s="1">
        <f t="shared" si="26"/>
        <v>7.014909173086104</v>
      </c>
      <c r="G281" s="1">
        <v>21.571428571428573</v>
      </c>
      <c r="H281" s="1">
        <f t="shared" si="21"/>
        <v>-14.55651939834247</v>
      </c>
      <c r="I281" s="10">
        <f ca="1">-SUM(INDIRECT("F"&amp;MAX(220,ROW()-I$1)):INDIRECT("F"&amp;ROW()))/I$1</f>
        <v>-32.083274212211066</v>
      </c>
      <c r="J281" s="1">
        <f t="shared" ca="1" si="25"/>
        <v>-30.255709143580781</v>
      </c>
    </row>
    <row r="282" spans="1:10" x14ac:dyDescent="0.2">
      <c r="A282" s="9">
        <f t="shared" si="22"/>
        <v>44326</v>
      </c>
      <c r="B282" s="1">
        <v>2956.8177684483408</v>
      </c>
      <c r="C282">
        <v>3015</v>
      </c>
      <c r="D282" s="1">
        <f t="shared" si="23"/>
        <v>58.182231551659243</v>
      </c>
      <c r="E282" s="6">
        <f t="shared" si="24"/>
        <v>1.4847984470339519E-2</v>
      </c>
      <c r="F282" s="1">
        <f t="shared" si="26"/>
        <v>6.7818065883676422</v>
      </c>
      <c r="G282" s="1">
        <v>18</v>
      </c>
      <c r="H282" s="1">
        <f t="shared" si="21"/>
        <v>-11.218193411632358</v>
      </c>
      <c r="I282" s="10">
        <f ca="1">-SUM(INDIRECT("F"&amp;MAX(220,ROW()-I$1)):INDIRECT("F"&amp;ROW()))/I$1</f>
        <v>-32.18015716347346</v>
      </c>
      <c r="J282" s="1">
        <f t="shared" ca="1" si="25"/>
        <v>-30.73682114855395</v>
      </c>
    </row>
    <row r="283" spans="1:10" x14ac:dyDescent="0.2">
      <c r="A283" s="9">
        <f t="shared" si="22"/>
        <v>44333</v>
      </c>
      <c r="B283" s="1">
        <v>2929.1833765961101</v>
      </c>
      <c r="C283">
        <v>2988</v>
      </c>
      <c r="D283" s="1">
        <f t="shared" si="23"/>
        <v>58.816623403889935</v>
      </c>
      <c r="E283" s="6">
        <f t="shared" si="24"/>
        <v>2.2993779690977348E-3</v>
      </c>
      <c r="F283" s="1">
        <f t="shared" si="26"/>
        <v>2.8222329490952558</v>
      </c>
      <c r="G283" s="1">
        <v>13.571428571428571</v>
      </c>
      <c r="H283" s="1">
        <f t="shared" si="21"/>
        <v>-10.749195622333316</v>
      </c>
      <c r="I283" s="10">
        <f ca="1">-SUM(INDIRECT("F"&amp;MAX(220,ROW()-I$1)):INDIRECT("F"&amp;ROW()))/I$1</f>
        <v>-32.22047477703196</v>
      </c>
      <c r="J283" s="1">
        <f t="shared" ca="1" si="25"/>
        <v>-31.107734555673453</v>
      </c>
    </row>
    <row r="284" spans="1:10" x14ac:dyDescent="0.2">
      <c r="A284" s="9">
        <f t="shared" si="22"/>
        <v>44340</v>
      </c>
      <c r="B284" s="1">
        <v>2902.7929557847719</v>
      </c>
      <c r="C284">
        <v>2806</v>
      </c>
      <c r="D284" s="1">
        <f t="shared" si="23"/>
        <v>-96.792955784771948</v>
      </c>
      <c r="E284" s="6">
        <f t="shared" si="24"/>
        <v>1.0678178781731728E-2</v>
      </c>
      <c r="F284" s="1">
        <f t="shared" si="26"/>
        <v>-0.13583319071814717</v>
      </c>
      <c r="G284" s="1">
        <v>11</v>
      </c>
      <c r="H284" s="1">
        <f t="shared" si="21"/>
        <v>-11.135833190718147</v>
      </c>
      <c r="I284" s="10">
        <f ca="1">-SUM(INDIRECT("F"&amp;MAX(220,ROW()-I$1)):INDIRECT("F"&amp;ROW()))/I$1</f>
        <v>-32.218534302878844</v>
      </c>
      <c r="J284" s="1">
        <f t="shared" ca="1" si="25"/>
        <v>-31.385434492474801</v>
      </c>
    </row>
    <row r="285" spans="1:10" x14ac:dyDescent="0.2">
      <c r="A285" s="9">
        <f t="shared" si="22"/>
        <v>44347</v>
      </c>
      <c r="B285" s="1">
        <v>2878.0340411744542</v>
      </c>
      <c r="C285">
        <v>3009</v>
      </c>
      <c r="D285" s="1">
        <f t="shared" si="23"/>
        <v>130.96595882554584</v>
      </c>
      <c r="E285" s="6">
        <f t="shared" si="24"/>
        <v>7.1695448974987124E-3</v>
      </c>
      <c r="F285" s="1">
        <f t="shared" si="26"/>
        <v>6.8881622017762698</v>
      </c>
      <c r="G285" s="1">
        <v>8.1428571428571423</v>
      </c>
      <c r="H285" s="1">
        <f t="shared" si="21"/>
        <v>-1.2546949410808725</v>
      </c>
      <c r="I285" s="10">
        <f ca="1">-SUM(INDIRECT("F"&amp;MAX(220,ROW()-I$1)):INDIRECT("F"&amp;ROW()))/I$1</f>
        <v>-32.31693662004708</v>
      </c>
      <c r="J285" s="1">
        <f t="shared" ca="1" si="25"/>
        <v>-31.618310024367872</v>
      </c>
    </row>
    <row r="286" spans="1:10" x14ac:dyDescent="0.2">
      <c r="A286" s="9">
        <f t="shared" si="22"/>
        <v>44354</v>
      </c>
      <c r="B286" s="1">
        <v>2855.2704202165842</v>
      </c>
      <c r="C286">
        <v>2883</v>
      </c>
      <c r="D286" s="1">
        <f t="shared" si="23"/>
        <v>27.729579783415829</v>
      </c>
      <c r="E286" s="6">
        <f t="shared" si="24"/>
        <v>2.2514938513534713E-2</v>
      </c>
      <c r="F286" s="1">
        <f t="shared" si="26"/>
        <v>7.8781533441245823</v>
      </c>
      <c r="G286" s="1">
        <v>4.7142857142857144</v>
      </c>
      <c r="H286" s="1">
        <f t="shared" si="21"/>
        <v>3.1638676298388679</v>
      </c>
      <c r="I286" s="10">
        <f ca="1">-SUM(INDIRECT("F"&amp;MAX(220,ROW()-I$1)):INDIRECT("F"&amp;ROW()))/I$1</f>
        <v>-32.429481667820291</v>
      </c>
      <c r="J286" s="1">
        <f t="shared" ca="1" si="25"/>
        <v>-31.821102935230975</v>
      </c>
    </row>
    <row r="287" spans="1:10" x14ac:dyDescent="0.2">
      <c r="A287" s="9">
        <f t="shared" si="22"/>
        <v>44361</v>
      </c>
      <c r="B287" s="1">
        <v>2834.8368247568892</v>
      </c>
      <c r="C287">
        <v>2869</v>
      </c>
      <c r="D287" s="1">
        <f t="shared" si="23"/>
        <v>34.1631752431108</v>
      </c>
      <c r="E287" s="6">
        <f t="shared" si="24"/>
        <v>-9.658556064965523E-3</v>
      </c>
      <c r="F287" s="1">
        <f t="shared" si="26"/>
        <v>-1.7135041420613919</v>
      </c>
      <c r="G287" s="1">
        <v>2.1428571428571428</v>
      </c>
      <c r="H287" s="1">
        <f t="shared" si="21"/>
        <v>-3.8563612849185347</v>
      </c>
      <c r="I287" s="10">
        <f ca="1">-SUM(INDIRECT("F"&amp;MAX(220,ROW()-I$1)):INDIRECT("F"&amp;ROW()))/I$1</f>
        <v>-32.405003037219409</v>
      </c>
      <c r="J287" s="1">
        <f t="shared" ca="1" si="25"/>
        <v>-31.967077960728083</v>
      </c>
    </row>
    <row r="288" spans="1:10" x14ac:dyDescent="0.2">
      <c r="A288" s="9">
        <f t="shared" si="22"/>
        <v>44368</v>
      </c>
      <c r="B288" s="1">
        <v>2817.0340462473564</v>
      </c>
      <c r="C288">
        <v>2673</v>
      </c>
      <c r="D288" s="1">
        <f t="shared" si="23"/>
        <v>-144.0340462473564</v>
      </c>
      <c r="E288" s="6">
        <f t="shared" si="24"/>
        <v>-1.3962133508575636E-2</v>
      </c>
      <c r="F288" s="1">
        <f t="shared" si="26"/>
        <v>-9.3581950929672235</v>
      </c>
      <c r="G288" s="1">
        <v>2.1428571428571428</v>
      </c>
      <c r="H288" s="1">
        <f t="shared" si="21"/>
        <v>-11.501052235824366</v>
      </c>
      <c r="I288" s="10">
        <f ca="1">-SUM(INDIRECT("F"&amp;MAX(220,ROW()-I$1)):INDIRECT("F"&amp;ROW()))/I$1</f>
        <v>-32.2713145358913</v>
      </c>
      <c r="J288" s="1">
        <f t="shared" ca="1" si="25"/>
        <v>-32.043137104518891</v>
      </c>
    </row>
    <row r="289" spans="1:10" x14ac:dyDescent="0.2">
      <c r="A289" s="9">
        <f t="shared" si="22"/>
        <v>44375</v>
      </c>
      <c r="B289" s="1">
        <v>2802.1245453514803</v>
      </c>
      <c r="C289">
        <v>2794</v>
      </c>
      <c r="D289" s="1">
        <f t="shared" si="23"/>
        <v>-8.1245453514802648</v>
      </c>
      <c r="E289" s="6">
        <f t="shared" si="24"/>
        <v>-1.219160794671912E-2</v>
      </c>
      <c r="F289" s="1">
        <f t="shared" si="26"/>
        <v>-3.9504198919961317</v>
      </c>
      <c r="G289" s="1">
        <v>2.1428571428571428</v>
      </c>
      <c r="H289" s="1">
        <f t="shared" si="21"/>
        <v>-6.0932770348532745</v>
      </c>
      <c r="I289" s="10">
        <f ca="1">-SUM(INDIRECT("F"&amp;MAX(220,ROW()-I$1)):INDIRECT("F"&amp;ROW()))/I$1</f>
        <v>-32.21487996600564</v>
      </c>
      <c r="J289" s="1">
        <f t="shared" ca="1" si="25"/>
        <v>-32.086072819890575</v>
      </c>
    </row>
    <row r="290" spans="1:10" x14ac:dyDescent="0.2">
      <c r="A290" s="9">
        <f t="shared" si="22"/>
        <v>44382</v>
      </c>
      <c r="B290" s="1">
        <v>2790.3286200255748</v>
      </c>
      <c r="C290">
        <v>2840</v>
      </c>
      <c r="D290" s="1">
        <f t="shared" si="23"/>
        <v>49.671379974425236</v>
      </c>
      <c r="E290" s="6">
        <f t="shared" si="24"/>
        <v>1.5855437916095779E-2</v>
      </c>
      <c r="F290" s="1">
        <f t="shared" si="26"/>
        <v>6.5141795205495487</v>
      </c>
      <c r="G290" s="1">
        <v>1.2857142857142858</v>
      </c>
      <c r="H290" s="1">
        <f t="shared" si="21"/>
        <v>5.2284652348352632</v>
      </c>
      <c r="I290" s="10">
        <f ca="1">-SUM(INDIRECT("F"&amp;MAX(220,ROW()-I$1)):INDIRECT("F"&amp;ROW()))/I$1</f>
        <v>-32.307939673442064</v>
      </c>
      <c r="J290" s="1">
        <f t="shared" ca="1" si="25"/>
        <v>-32.141539533278447</v>
      </c>
    </row>
    <row r="291" spans="1:10" x14ac:dyDescent="0.2">
      <c r="A291" s="9">
        <f t="shared" si="22"/>
        <v>44389</v>
      </c>
      <c r="B291" s="1">
        <v>2781.8211880219828</v>
      </c>
      <c r="C291">
        <v>2873</v>
      </c>
      <c r="D291" s="1">
        <f t="shared" si="23"/>
        <v>91.178811978017166</v>
      </c>
      <c r="E291" s="6">
        <f t="shared" si="24"/>
        <v>1.6790075239142381E-2</v>
      </c>
      <c r="F291" s="1">
        <f t="shared" si="26"/>
        <v>8.2607061830073487</v>
      </c>
      <c r="G291" s="1">
        <v>1.5714285714285714</v>
      </c>
      <c r="H291" s="1">
        <f t="shared" ref="H291:H354" si="27">F291-G291</f>
        <v>6.6892776115787775</v>
      </c>
      <c r="I291" s="10">
        <f ca="1">-SUM(INDIRECT("F"&amp;MAX(220,ROW()-I$1)):INDIRECT("F"&amp;ROW()))/I$1</f>
        <v>-32.673560083649377</v>
      </c>
      <c r="J291" s="1">
        <f t="shared" ca="1" si="25"/>
        <v>-32.27454467087118</v>
      </c>
    </row>
    <row r="292" spans="1:10" x14ac:dyDescent="0.2">
      <c r="A292" s="9">
        <f t="shared" si="22"/>
        <v>44396</v>
      </c>
      <c r="B292" s="1">
        <v>2776.7292308062538</v>
      </c>
      <c r="C292">
        <v>2776</v>
      </c>
      <c r="D292" s="1">
        <f t="shared" si="23"/>
        <v>-0.72923080625378134</v>
      </c>
      <c r="E292" s="6">
        <f t="shared" si="24"/>
        <v>2.7888884801825609E-2</v>
      </c>
      <c r="F292" s="1">
        <f t="shared" si="26"/>
        <v>8.271086218757091</v>
      </c>
      <c r="G292" s="1">
        <v>3.4285714285714284</v>
      </c>
      <c r="H292" s="1">
        <f t="shared" si="27"/>
        <v>4.8425147901856622</v>
      </c>
      <c r="I292" s="10">
        <f ca="1">-SUM(INDIRECT("F"&amp;MAX(220,ROW()-I$1)):INDIRECT("F"&amp;ROW()))/I$1</f>
        <v>-32.866737072261223</v>
      </c>
      <c r="J292" s="1">
        <f t="shared" ca="1" si="25"/>
        <v>-32.422592771218689</v>
      </c>
    </row>
    <row r="293" spans="1:10" x14ac:dyDescent="0.2">
      <c r="A293" s="9">
        <f t="shared" si="22"/>
        <v>44403</v>
      </c>
      <c r="B293" s="1">
        <v>2775.1299362403111</v>
      </c>
      <c r="C293">
        <v>2917</v>
      </c>
      <c r="D293" s="1">
        <f t="shared" si="23"/>
        <v>141.87006375968895</v>
      </c>
      <c r="E293" s="6">
        <f t="shared" si="24"/>
        <v>3.9288402497750084E-2</v>
      </c>
      <c r="F293" s="1">
        <f t="shared" si="26"/>
        <v>16.748618911263698</v>
      </c>
      <c r="G293" s="1">
        <v>4.1428571428571432</v>
      </c>
      <c r="H293" s="1">
        <f t="shared" si="27"/>
        <v>12.605761768406555</v>
      </c>
      <c r="I293" s="10">
        <f ca="1">-SUM(INDIRECT("F"&amp;MAX(220,ROW()-I$1)):INDIRECT("F"&amp;ROW()))/I$1</f>
        <v>-32.819951903603517</v>
      </c>
      <c r="J293" s="1">
        <f t="shared" ca="1" si="25"/>
        <v>-32.521932554314894</v>
      </c>
    </row>
    <row r="294" spans="1:10" x14ac:dyDescent="0.2">
      <c r="A294" s="9">
        <f t="shared" si="22"/>
        <v>44410</v>
      </c>
      <c r="B294" s="1">
        <v>2777.0495671977405</v>
      </c>
      <c r="C294">
        <v>2963</v>
      </c>
      <c r="D294" s="1">
        <f t="shared" si="23"/>
        <v>185.95043280225946</v>
      </c>
      <c r="E294" s="6">
        <f t="shared" si="24"/>
        <v>4.6615111286348265E-2</v>
      </c>
      <c r="F294" s="1">
        <f t="shared" si="26"/>
        <v>20.510994881076549</v>
      </c>
      <c r="G294" s="1">
        <v>5.7142857142857144</v>
      </c>
      <c r="H294" s="1">
        <f t="shared" si="27"/>
        <v>14.796709166790833</v>
      </c>
      <c r="I294" s="10">
        <f ca="1">-SUM(INDIRECT("F"&amp;MAX(220,ROW()-I$1)):INDIRECT("F"&amp;ROW()))/I$1</f>
        <v>-31.889706769515929</v>
      </c>
      <c r="J294" s="1">
        <f t="shared" ca="1" si="25"/>
        <v>-32.36387610811515</v>
      </c>
    </row>
    <row r="295" spans="1:10" x14ac:dyDescent="0.2">
      <c r="A295" s="9">
        <f t="shared" si="22"/>
        <v>44417</v>
      </c>
      <c r="B295" s="1">
        <v>2782.4630726940645</v>
      </c>
      <c r="C295">
        <v>2843</v>
      </c>
      <c r="D295" s="1">
        <f t="shared" si="23"/>
        <v>60.536927305935478</v>
      </c>
      <c r="E295" s="6">
        <f t="shared" si="24"/>
        <v>4.3150367547174467E-2</v>
      </c>
      <c r="F295" s="1">
        <f t="shared" si="26"/>
        <v>15.026065718767979</v>
      </c>
      <c r="G295" s="1">
        <v>5.7142857142857144</v>
      </c>
      <c r="H295" s="1">
        <f t="shared" si="27"/>
        <v>9.3117800044822658</v>
      </c>
      <c r="I295" s="10">
        <f ca="1">-SUM(INDIRECT("F"&amp;MAX(220,ROW()-I$1)):INDIRECT("F"&amp;ROW()))/I$1</f>
        <v>-29.448024414568117</v>
      </c>
      <c r="J295" s="1">
        <f t="shared" ca="1" si="25"/>
        <v>-31.63491318472839</v>
      </c>
    </row>
    <row r="296" spans="1:10" x14ac:dyDescent="0.2">
      <c r="A296" s="9">
        <f t="shared" si="22"/>
        <v>44424</v>
      </c>
      <c r="B296" s="1">
        <v>2791.294447288627</v>
      </c>
      <c r="C296">
        <v>2905</v>
      </c>
      <c r="D296" s="1">
        <f t="shared" si="23"/>
        <v>113.705552711373</v>
      </c>
      <c r="E296" s="6">
        <f t="shared" si="24"/>
        <v>3.6282407338436705E-2</v>
      </c>
      <c r="F296" s="1">
        <f t="shared" si="26"/>
        <v>14.911792825910734</v>
      </c>
      <c r="G296" s="1">
        <v>6.2857142857142856</v>
      </c>
      <c r="H296" s="1">
        <f t="shared" si="27"/>
        <v>8.626078540196449</v>
      </c>
      <c r="I296" s="10">
        <f ca="1">-SUM(INDIRECT("F"&amp;MAX(220,ROW()-I$1)):INDIRECT("F"&amp;ROW()))/I$1</f>
        <v>-25.93363109137389</v>
      </c>
      <c r="J296" s="1">
        <f t="shared" ca="1" si="25"/>
        <v>-30.209592661389763</v>
      </c>
    </row>
    <row r="297" spans="1:10" x14ac:dyDescent="0.2">
      <c r="A297" s="9">
        <f t="shared" si="22"/>
        <v>44431</v>
      </c>
      <c r="B297" s="1">
        <v>2803.417833603181</v>
      </c>
      <c r="C297">
        <v>2933</v>
      </c>
      <c r="D297" s="1">
        <f t="shared" si="23"/>
        <v>129.58216639681905</v>
      </c>
      <c r="E297" s="6">
        <f t="shared" si="24"/>
        <v>3.5032043578125185E-2</v>
      </c>
      <c r="F297" s="1">
        <f t="shared" si="26"/>
        <v>15.15037619786639</v>
      </c>
      <c r="G297" s="1">
        <v>6.1428571428571432</v>
      </c>
      <c r="H297" s="1">
        <f t="shared" si="27"/>
        <v>9.0075190550092472</v>
      </c>
      <c r="I297" s="10">
        <f ca="1">-SUM(INDIRECT("F"&amp;MAX(220,ROW()-I$1)):INDIRECT("F"&amp;ROW()))/I$1</f>
        <v>-22.495983739645961</v>
      </c>
      <c r="J297" s="1">
        <f t="shared" ca="1" si="25"/>
        <v>-28.281190430953814</v>
      </c>
    </row>
    <row r="298" spans="1:10" x14ac:dyDescent="0.2">
      <c r="A298" s="9">
        <f t="shared" si="22"/>
        <v>44438</v>
      </c>
      <c r="B298" s="1">
        <v>2818.6593519647522</v>
      </c>
      <c r="C298">
        <v>2870</v>
      </c>
      <c r="D298" s="1">
        <f t="shared" si="23"/>
        <v>51.340648035247796</v>
      </c>
      <c r="E298" s="6">
        <f t="shared" si="24"/>
        <v>5.1812242293128058E-2</v>
      </c>
      <c r="F298" s="1">
        <f t="shared" si="26"/>
        <v>17.480851139021961</v>
      </c>
      <c r="G298" s="1">
        <v>5.8571428571428568</v>
      </c>
      <c r="H298" s="1">
        <f t="shared" si="27"/>
        <v>11.623708281879104</v>
      </c>
      <c r="I298" s="10">
        <f ca="1">-SUM(INDIRECT("F"&amp;MAX(220,ROW()-I$1)):INDIRECT("F"&amp;ROW()))/I$1</f>
        <v>-19.977547368720444</v>
      </c>
      <c r="J298" s="1">
        <f t="shared" ca="1" si="25"/>
        <v>-26.205279665395473</v>
      </c>
    </row>
    <row r="299" spans="1:10" x14ac:dyDescent="0.2">
      <c r="A299" s="9">
        <f t="shared" si="22"/>
        <v>44445</v>
      </c>
      <c r="B299" s="1">
        <v>2836.7996305746997</v>
      </c>
      <c r="C299">
        <v>3094</v>
      </c>
      <c r="D299" s="1">
        <f t="shared" si="23"/>
        <v>257.20036942530032</v>
      </c>
      <c r="E299" s="6">
        <f t="shared" si="24"/>
        <v>4.3589498305924478E-2</v>
      </c>
      <c r="F299" s="1">
        <f t="shared" si="26"/>
        <v>22.434442410673196</v>
      </c>
      <c r="G299" s="1">
        <v>4.5714285714285712</v>
      </c>
      <c r="H299" s="1">
        <f t="shared" si="27"/>
        <v>17.863013839244623</v>
      </c>
      <c r="I299" s="10">
        <f ca="1">-SUM(INDIRECT("F"&amp;MAX(220,ROW()-I$1)):INDIRECT("F"&amp;ROW()))/I$1</f>
        <v>-18.49044312898663</v>
      </c>
      <c r="J299" s="1">
        <f t="shared" ca="1" si="25"/>
        <v>-24.276570531293263</v>
      </c>
    </row>
    <row r="300" spans="1:10" x14ac:dyDescent="0.2">
      <c r="A300" s="9">
        <f t="shared" si="22"/>
        <v>44452</v>
      </c>
      <c r="B300" s="1">
        <v>2857.576999386999</v>
      </c>
      <c r="C300">
        <v>2920</v>
      </c>
      <c r="D300" s="1">
        <f t="shared" si="23"/>
        <v>62.423000613001022</v>
      </c>
      <c r="E300" s="6">
        <f t="shared" si="24"/>
        <v>3.8252928840658257E-2</v>
      </c>
      <c r="F300" s="1">
        <f t="shared" si="26"/>
        <v>13.941252480562818</v>
      </c>
      <c r="G300" s="1">
        <v>6.4285714285714288</v>
      </c>
      <c r="H300" s="1">
        <f t="shared" si="27"/>
        <v>7.5126810519913896</v>
      </c>
      <c r="I300" s="10">
        <f ca="1">-SUM(INDIRECT("F"&amp;MAX(220,ROW()-I$1)):INDIRECT("F"&amp;ROW()))/I$1</f>
        <v>-17.765526581819888</v>
      </c>
      <c r="J300" s="1">
        <f t="shared" ca="1" si="25"/>
        <v>-22.648809543924919</v>
      </c>
    </row>
    <row r="301" spans="1:10" x14ac:dyDescent="0.2">
      <c r="A301" s="9">
        <f t="shared" si="22"/>
        <v>44459</v>
      </c>
      <c r="B301" s="1">
        <v>2880.6913011955435</v>
      </c>
      <c r="C301">
        <v>2889</v>
      </c>
      <c r="D301" s="1">
        <f t="shared" si="23"/>
        <v>8.308698804456526</v>
      </c>
      <c r="E301" s="6">
        <f t="shared" si="24"/>
        <v>2.8225104033440886E-2</v>
      </c>
      <c r="F301" s="1">
        <f t="shared" si="26"/>
        <v>9.0082904927812049</v>
      </c>
      <c r="G301" s="1">
        <v>5.1428571428571432</v>
      </c>
      <c r="H301" s="1">
        <f t="shared" si="27"/>
        <v>3.8654333499240616</v>
      </c>
      <c r="I301" s="10">
        <f ca="1">-SUM(INDIRECT("F"&amp;MAX(220,ROW()-I$1)):INDIRECT("F"&amp;ROW()))/I$1</f>
        <v>-17.691751869672174</v>
      </c>
      <c r="J301" s="1">
        <f t="shared" ca="1" si="25"/>
        <v>-21.409545125361731</v>
      </c>
    </row>
    <row r="302" spans="1:10" x14ac:dyDescent="0.2">
      <c r="A302" s="9">
        <f t="shared" si="22"/>
        <v>44466</v>
      </c>
      <c r="B302" s="1">
        <v>2905.8082644240403</v>
      </c>
      <c r="C302">
        <v>3079</v>
      </c>
      <c r="D302" s="1">
        <f t="shared" si="23"/>
        <v>173.19173557595968</v>
      </c>
      <c r="E302" s="6">
        <f t="shared" si="24"/>
        <v>3.6930179278925099E-2</v>
      </c>
      <c r="F302" s="1">
        <f t="shared" si="26"/>
        <v>17.683135572930205</v>
      </c>
      <c r="G302" s="1">
        <v>4.5714285714285712</v>
      </c>
      <c r="H302" s="1">
        <f t="shared" si="27"/>
        <v>13.111707001501633</v>
      </c>
      <c r="I302" s="10">
        <f ca="1">-SUM(INDIRECT("F"&amp;MAX(220,ROW()-I$1)):INDIRECT("F"&amp;ROW()))/I$1</f>
        <v>-18.107045129651386</v>
      </c>
      <c r="J302" s="1">
        <f t="shared" ca="1" si="25"/>
        <v>-20.583920126434144</v>
      </c>
    </row>
    <row r="303" spans="1:10" x14ac:dyDescent="0.2">
      <c r="A303" s="9">
        <f t="shared" si="22"/>
        <v>44473</v>
      </c>
      <c r="B303" s="1">
        <v>2932.5643739143302</v>
      </c>
      <c r="C303">
        <v>3073</v>
      </c>
      <c r="D303" s="1">
        <f t="shared" si="23"/>
        <v>140.43562608566981</v>
      </c>
      <c r="E303" s="6">
        <f t="shared" si="24"/>
        <v>4.7973393375061395E-2</v>
      </c>
      <c r="F303" s="1">
        <f t="shared" si="26"/>
        <v>20.088957821718509</v>
      </c>
      <c r="G303" s="1">
        <v>3.1428571428571428</v>
      </c>
      <c r="H303" s="1">
        <f t="shared" si="27"/>
        <v>16.946100678861367</v>
      </c>
      <c r="I303" s="10">
        <f ca="1">-SUM(INDIRECT("F"&amp;MAX(220,ROW()-I$1)):INDIRECT("F"&amp;ROW()))/I$1</f>
        <v>-18.638135295208201</v>
      </c>
      <c r="J303" s="1">
        <f t="shared" ca="1" si="25"/>
        <v>-20.097473918627657</v>
      </c>
    </row>
    <row r="304" spans="1:10" x14ac:dyDescent="0.2">
      <c r="A304" s="9">
        <f t="shared" si="22"/>
        <v>44480</v>
      </c>
      <c r="B304" s="1">
        <v>2960.5721687391811</v>
      </c>
      <c r="C304">
        <v>3069</v>
      </c>
      <c r="D304" s="1">
        <f t="shared" si="23"/>
        <v>108.42783126081895</v>
      </c>
      <c r="E304" s="6">
        <f t="shared" si="24"/>
        <v>6.0735733586943966E-2</v>
      </c>
      <c r="F304" s="1">
        <f t="shared" si="26"/>
        <v>23.138049956328945</v>
      </c>
      <c r="G304" s="1">
        <v>6.2857142857142856</v>
      </c>
      <c r="H304" s="1">
        <f t="shared" si="27"/>
        <v>16.852335670614661</v>
      </c>
      <c r="I304" s="10">
        <f ca="1">-SUM(INDIRECT("F"&amp;MAX(220,ROW()-I$1)):INDIRECT("F"&amp;ROW()))/I$1</f>
        <v>-19.23066830527279</v>
      </c>
      <c r="J304" s="1">
        <f t="shared" ca="1" si="25"/>
        <v>-19.880772515288939</v>
      </c>
    </row>
    <row r="305" spans="1:10" x14ac:dyDescent="0.2">
      <c r="A305" s="9">
        <f t="shared" si="22"/>
        <v>44487</v>
      </c>
      <c r="B305" s="1">
        <v>2989.4258898300973</v>
      </c>
      <c r="C305">
        <v>3280</v>
      </c>
      <c r="D305" s="1">
        <f t="shared" si="23"/>
        <v>290.57411016990272</v>
      </c>
      <c r="E305" s="6">
        <f t="shared" si="24"/>
        <v>8.6002527436705778E-2</v>
      </c>
      <c r="F305" s="1">
        <f t="shared" si="26"/>
        <v>37.923880589294185</v>
      </c>
      <c r="G305" s="1">
        <v>9.4285714285714288</v>
      </c>
      <c r="H305" s="1">
        <f t="shared" si="27"/>
        <v>28.495309160722755</v>
      </c>
      <c r="I305" s="10">
        <f ca="1">-SUM(INDIRECT("F"&amp;MAX(220,ROW()-I$1)):INDIRECT("F"&amp;ROW()))/I$1</f>
        <v>-20.055318826483077</v>
      </c>
      <c r="J305" s="1">
        <f t="shared" ca="1" si="25"/>
        <v>-19.924409093087473</v>
      </c>
    </row>
    <row r="306" spans="1:10" x14ac:dyDescent="0.2">
      <c r="A306" s="9">
        <f t="shared" si="22"/>
        <v>44494</v>
      </c>
      <c r="B306" s="1">
        <v>3018.7073951003872</v>
      </c>
      <c r="C306">
        <v>3391</v>
      </c>
      <c r="D306" s="1">
        <f t="shared" si="23"/>
        <v>372.2926048996128</v>
      </c>
      <c r="E306" s="6">
        <f t="shared" si="24"/>
        <v>0.12586783127620918</v>
      </c>
      <c r="F306" s="1">
        <f t="shared" si="26"/>
        <v>54.005966576279789</v>
      </c>
      <c r="G306" s="1">
        <v>13.857142857142858</v>
      </c>
      <c r="H306" s="1">
        <f t="shared" si="27"/>
        <v>40.148823719136928</v>
      </c>
      <c r="I306" s="10">
        <f ca="1">-SUM(INDIRECT("F"&amp;MAX(220,ROW()-I$1)):INDIRECT("F"&amp;ROW()))/I$1</f>
        <v>-21.083266989231639</v>
      </c>
      <c r="J306" s="1">
        <f t="shared" ca="1" si="25"/>
        <v>-20.214123567123515</v>
      </c>
    </row>
    <row r="307" spans="1:10" x14ac:dyDescent="0.2">
      <c r="A307" s="9">
        <f t="shared" si="22"/>
        <v>44501</v>
      </c>
      <c r="B307" s="1">
        <v>3047.9922558332942</v>
      </c>
      <c r="C307">
        <v>3525</v>
      </c>
      <c r="D307" s="1">
        <f t="shared" si="23"/>
        <v>477.00774416670583</v>
      </c>
      <c r="E307" s="6">
        <f t="shared" si="24"/>
        <v>0.17087143191001986</v>
      </c>
      <c r="F307" s="1">
        <f t="shared" si="26"/>
        <v>72.837576706477336</v>
      </c>
      <c r="G307" s="1">
        <v>21.428571428571427</v>
      </c>
      <c r="H307" s="1">
        <f t="shared" si="27"/>
        <v>51.409005277905905</v>
      </c>
      <c r="I307" s="10">
        <f ca="1">-SUM(INDIRECT("F"&amp;MAX(220,ROW()-I$1)):INDIRECT("F"&amp;ROW()))/I$1</f>
        <v>-22.352469194405224</v>
      </c>
      <c r="J307" s="1">
        <f t="shared" ca="1" si="25"/>
        <v>-20.748709973943942</v>
      </c>
    </row>
    <row r="308" spans="1:10" x14ac:dyDescent="0.2">
      <c r="A308" s="9">
        <f t="shared" si="22"/>
        <v>44508</v>
      </c>
      <c r="B308" s="1">
        <v>3076.855945451659</v>
      </c>
      <c r="C308">
        <v>3790</v>
      </c>
      <c r="D308" s="1">
        <f t="shared" si="23"/>
        <v>713.14405454834105</v>
      </c>
      <c r="E308" s="6">
        <f t="shared" si="24"/>
        <v>0.22590937039366019</v>
      </c>
      <c r="F308" s="1">
        <f t="shared" si="26"/>
        <v>99.943422244116576</v>
      </c>
      <c r="G308" s="1">
        <v>24.714285714285715</v>
      </c>
      <c r="H308" s="1">
        <f t="shared" si="27"/>
        <v>75.229136529830868</v>
      </c>
      <c r="I308" s="10">
        <f ca="1">-SUM(INDIRECT("F"&amp;MAX(220,ROW()-I$1)):INDIRECT("F"&amp;ROW()))/I$1</f>
        <v>-24.023703392714996</v>
      </c>
      <c r="J308" s="1">
        <f t="shared" ca="1" si="25"/>
        <v>-21.567458328636704</v>
      </c>
    </row>
    <row r="309" spans="1:10" x14ac:dyDescent="0.2">
      <c r="A309" s="9">
        <f t="shared" si="22"/>
        <v>44515</v>
      </c>
      <c r="B309" s="1">
        <v>3104.880030428124</v>
      </c>
      <c r="C309">
        <v>4000</v>
      </c>
      <c r="D309" s="1">
        <f t="shared" si="23"/>
        <v>895.11996957187603</v>
      </c>
      <c r="E309" s="6">
        <f t="shared" si="24"/>
        <v>0.28724735736923468</v>
      </c>
      <c r="F309" s="1">
        <f t="shared" si="26"/>
        <v>127.52591859424423</v>
      </c>
      <c r="G309" s="1">
        <v>33.142857142857146</v>
      </c>
      <c r="H309" s="1">
        <f t="shared" si="27"/>
        <v>94.383061451387078</v>
      </c>
      <c r="I309" s="10">
        <f ca="1">-SUM(INDIRECT("F"&amp;MAX(220,ROW()-I$1)):INDIRECT("F"&amp;ROW()))/I$1</f>
        <v>-26.115165469722893</v>
      </c>
      <c r="J309" s="1">
        <f t="shared" ca="1" si="25"/>
        <v>-22.704385113908252</v>
      </c>
    </row>
    <row r="310" spans="1:10" x14ac:dyDescent="0.2">
      <c r="A310" s="9">
        <f t="shared" si="22"/>
        <v>44522</v>
      </c>
      <c r="B310" s="1">
        <v>3131.6582730532546</v>
      </c>
      <c r="C310">
        <v>4199</v>
      </c>
      <c r="D310" s="1">
        <f t="shared" si="23"/>
        <v>1067.3417269467454</v>
      </c>
      <c r="E310" s="6">
        <f t="shared" si="24"/>
        <v>0.34131641661509488</v>
      </c>
      <c r="F310" s="1">
        <f t="shared" si="26"/>
        <v>152.64288808612159</v>
      </c>
      <c r="G310" s="1">
        <v>50.142857142857146</v>
      </c>
      <c r="H310" s="1">
        <f t="shared" si="27"/>
        <v>102.50003094326445</v>
      </c>
      <c r="I310" s="10">
        <f ca="1">-SUM(INDIRECT("F"&amp;MAX(220,ROW()-I$1)):INDIRECT("F"&amp;ROW()))/I$1</f>
        <v>-28.624801829435675</v>
      </c>
      <c r="J310" s="1">
        <f t="shared" ca="1" si="25"/>
        <v>-24.184489292790108</v>
      </c>
    </row>
    <row r="311" spans="1:10" x14ac:dyDescent="0.2">
      <c r="A311" s="9">
        <f t="shared" si="22"/>
        <v>44529</v>
      </c>
      <c r="B311" s="1">
        <v>3156.8025570539617</v>
      </c>
      <c r="C311">
        <v>4401</v>
      </c>
      <c r="D311" s="1">
        <f t="shared" si="23"/>
        <v>1244.1974429460383</v>
      </c>
      <c r="E311" s="6">
        <f t="shared" si="24"/>
        <v>0.37153528574904432</v>
      </c>
      <c r="F311" s="1">
        <f t="shared" si="26"/>
        <v>170.09957368611111</v>
      </c>
      <c r="G311" s="1">
        <v>50.142857142857146</v>
      </c>
      <c r="H311" s="1">
        <f t="shared" si="27"/>
        <v>119.95671654325398</v>
      </c>
      <c r="I311" s="10">
        <f ca="1">-SUM(INDIRECT("F"&amp;MAX(220,ROW()-I$1)):INDIRECT("F"&amp;ROW()))/I$1</f>
        <v>-31.402114565582092</v>
      </c>
      <c r="J311" s="1">
        <f t="shared" ca="1" si="25"/>
        <v>-25.988895610988102</v>
      </c>
    </row>
    <row r="312" spans="1:10" x14ac:dyDescent="0.2">
      <c r="A312" s="9">
        <f t="shared" si="22"/>
        <v>44536</v>
      </c>
      <c r="B312" s="1">
        <v>3179.9485496277111</v>
      </c>
      <c r="C312">
        <v>4387</v>
      </c>
      <c r="D312" s="1">
        <f t="shared" si="23"/>
        <v>1207.0514503722889</v>
      </c>
      <c r="E312" s="6">
        <f t="shared" si="24"/>
        <v>0.34680727527428024</v>
      </c>
      <c r="F312" s="1">
        <f t="shared" si="26"/>
        <v>161.26926165709452</v>
      </c>
      <c r="G312" s="1">
        <v>63.428571428571431</v>
      </c>
      <c r="H312" s="1">
        <f t="shared" si="27"/>
        <v>97.840690228523087</v>
      </c>
      <c r="I312" s="10">
        <f ca="1">-SUM(INDIRECT("F"&amp;MAX(220,ROW()-I$1)):INDIRECT("F"&amp;ROW()))/I$1</f>
        <v>-33.952094228180819</v>
      </c>
      <c r="J312" s="1">
        <f t="shared" ca="1" si="25"/>
        <v>-27.979695265286281</v>
      </c>
    </row>
    <row r="313" spans="1:10" x14ac:dyDescent="0.2">
      <c r="A313" s="9">
        <f t="shared" ref="A313:A376" si="28">A312+7</f>
        <v>44543</v>
      </c>
      <c r="B313" s="1">
        <v>3200.7610172919699</v>
      </c>
      <c r="C313">
        <v>4058</v>
      </c>
      <c r="D313" s="1">
        <f t="shared" si="23"/>
        <v>857.23898270803011</v>
      </c>
      <c r="E313" s="6">
        <f t="shared" si="24"/>
        <v>0.27236769640758868</v>
      </c>
      <c r="F313" s="1">
        <f t="shared" si="26"/>
        <v>124.02109635003936</v>
      </c>
      <c r="G313" s="1">
        <v>50.857142857142854</v>
      </c>
      <c r="H313" s="1">
        <f t="shared" si="27"/>
        <v>73.163953492896496</v>
      </c>
      <c r="I313" s="10">
        <f ca="1">-SUM(INDIRECT("F"&amp;MAX(220,ROW()-I$1)):INDIRECT("F"&amp;ROW()))/I$1</f>
        <v>-35.919241538246197</v>
      </c>
      <c r="J313" s="1">
        <f t="shared" ca="1" si="25"/>
        <v>-29.96458183352626</v>
      </c>
    </row>
    <row r="314" spans="1:10" x14ac:dyDescent="0.2">
      <c r="A314" s="9">
        <f t="shared" si="28"/>
        <v>44550</v>
      </c>
      <c r="B314" s="1">
        <v>3218.9387179872469</v>
      </c>
      <c r="C314">
        <v>3770</v>
      </c>
      <c r="D314" s="1">
        <f t="shared" si="23"/>
        <v>551.06128201275305</v>
      </c>
      <c r="E314" s="6">
        <f t="shared" si="24"/>
        <v>0.19251494871996525</v>
      </c>
      <c r="F314" s="1">
        <f t="shared" si="26"/>
        <v>86.076526738958208</v>
      </c>
      <c r="G314" s="1">
        <v>35.428571428571431</v>
      </c>
      <c r="H314" s="1">
        <f t="shared" si="27"/>
        <v>50.647955310386777</v>
      </c>
      <c r="I314" s="10">
        <f ca="1">-SUM(INDIRECT("F"&amp;MAX(220,ROW()-I$1)):INDIRECT("F"&amp;ROW()))/I$1</f>
        <v>-37.094027349763074</v>
      </c>
      <c r="J314" s="1">
        <f t="shared" ca="1" si="25"/>
        <v>-31.746943212585464</v>
      </c>
    </row>
    <row r="315" spans="1:10" x14ac:dyDescent="0.2">
      <c r="A315" s="9">
        <f t="shared" si="28"/>
        <v>44557</v>
      </c>
      <c r="B315" s="1">
        <v>3234.2187980427066</v>
      </c>
      <c r="C315">
        <v>3685</v>
      </c>
      <c r="D315" s="1">
        <f t="shared" si="23"/>
        <v>450.78120195729343</v>
      </c>
      <c r="E315" s="6">
        <f t="shared" si="24"/>
        <v>0.12091603027143301</v>
      </c>
      <c r="F315" s="1">
        <f t="shared" si="26"/>
        <v>57.999567722250085</v>
      </c>
      <c r="G315" s="1">
        <v>34.428571428571431</v>
      </c>
      <c r="H315" s="1">
        <f t="shared" si="27"/>
        <v>23.570996293678654</v>
      </c>
      <c r="I315" s="10">
        <f ca="1">-SUM(INDIRECT("F"&amp;MAX(220,ROW()-I$1)):INDIRECT("F"&amp;ROW()))/I$1</f>
        <v>-37.4993162536827</v>
      </c>
      <c r="J315" s="1">
        <f t="shared" ca="1" si="25"/>
        <v>-33.185036472859771</v>
      </c>
    </row>
    <row r="316" spans="1:10" x14ac:dyDescent="0.2">
      <c r="A316" s="9">
        <f t="shared" si="28"/>
        <v>44564</v>
      </c>
      <c r="B316" s="1">
        <v>3264.6357897043376</v>
      </c>
      <c r="C316">
        <v>3436</v>
      </c>
      <c r="D316" s="1">
        <f t="shared" si="23"/>
        <v>171.36421029566236</v>
      </c>
      <c r="E316" s="6">
        <f t="shared" si="24"/>
        <v>5.1725094350819907E-2</v>
      </c>
      <c r="F316" s="1">
        <f t="shared" si="26"/>
        <v>24.212678322365118</v>
      </c>
      <c r="G316" s="1">
        <v>17.571428571428573</v>
      </c>
      <c r="H316" s="1">
        <f t="shared" si="27"/>
        <v>6.6412497509365451</v>
      </c>
      <c r="I316" s="10">
        <f ca="1">-SUM(INDIRECT("F"&amp;MAX(220,ROW()-I$1)):INDIRECT("F"&amp;ROW()))/I$1</f>
        <v>-37.579060055069064</v>
      </c>
      <c r="J316" s="1">
        <f t="shared" ca="1" si="25"/>
        <v>-34.283542368412093</v>
      </c>
    </row>
    <row r="317" spans="1:10" x14ac:dyDescent="0.2">
      <c r="A317" s="9">
        <f t="shared" si="28"/>
        <v>44571</v>
      </c>
      <c r="B317" s="1">
        <v>3273.5546295223949</v>
      </c>
      <c r="C317">
        <v>3158</v>
      </c>
      <c r="D317" s="1">
        <f t="shared" si="23"/>
        <v>-115.55462952239486</v>
      </c>
      <c r="E317" s="6">
        <f t="shared" si="24"/>
        <v>-3.077598143974731E-3</v>
      </c>
      <c r="F317" s="1">
        <f t="shared" si="26"/>
        <v>-5.2063816599446033</v>
      </c>
      <c r="G317" s="1">
        <v>10.714285714285714</v>
      </c>
      <c r="H317" s="1">
        <f t="shared" si="27"/>
        <v>-15.920667374230316</v>
      </c>
      <c r="I317" s="10">
        <f ca="1">-SUM(INDIRECT("F"&amp;MAX(220,ROW()-I$1)):INDIRECT("F"&amp;ROW()))/I$1</f>
        <v>-37.594807181211607</v>
      </c>
      <c r="J317" s="1">
        <f t="shared" ca="1" si="25"/>
        <v>-35.111358571611973</v>
      </c>
    </row>
    <row r="318" spans="1:10" x14ac:dyDescent="0.2">
      <c r="A318" s="9">
        <f t="shared" si="28"/>
        <v>44578</v>
      </c>
      <c r="B318" s="1">
        <v>3279.0336377293215</v>
      </c>
      <c r="C318">
        <v>3193</v>
      </c>
      <c r="D318" s="1">
        <f t="shared" si="23"/>
        <v>-86.033637729321526</v>
      </c>
      <c r="E318" s="6">
        <f t="shared" si="24"/>
        <v>-2.842131485649485E-2</v>
      </c>
      <c r="F318" s="1">
        <f t="shared" si="26"/>
        <v>-13.05774928779106</v>
      </c>
      <c r="G318" s="1">
        <v>8</v>
      </c>
      <c r="H318" s="1">
        <f t="shared" si="27"/>
        <v>-21.057749287791061</v>
      </c>
      <c r="I318" s="10">
        <f ca="1">-SUM(INDIRECT("F"&amp;MAX(220,ROW()-I$1)):INDIRECT("F"&amp;ROW()))/I$1</f>
        <v>-37.615110291656087</v>
      </c>
      <c r="J318" s="1">
        <f t="shared" ca="1" si="25"/>
        <v>-35.737296501623</v>
      </c>
    </row>
    <row r="319" spans="1:10" x14ac:dyDescent="0.2">
      <c r="A319" s="9">
        <f t="shared" si="28"/>
        <v>44585</v>
      </c>
      <c r="B319" s="1">
        <v>3280.9950750771118</v>
      </c>
      <c r="C319">
        <v>3203</v>
      </c>
      <c r="D319" s="1">
        <f t="shared" si="23"/>
        <v>-77.995075077111778</v>
      </c>
      <c r="E319" s="6">
        <f t="shared" si="24"/>
        <v>-1.589367450012091E-2</v>
      </c>
      <c r="F319" s="1">
        <f t="shared" si="26"/>
        <v>-8.3727242270156399</v>
      </c>
      <c r="G319" s="1">
        <v>8.7142857142857135</v>
      </c>
      <c r="H319" s="1">
        <f t="shared" si="27"/>
        <v>-17.087009941301353</v>
      </c>
      <c r="I319" s="10">
        <f ca="1">-SUM(INDIRECT("F"&amp;MAX(220,ROW()-I$1)):INDIRECT("F"&amp;ROW()))/I$1</f>
        <v>-37.725914089645016</v>
      </c>
      <c r="J319" s="1">
        <f t="shared" ca="1" si="25"/>
        <v>-36.234450898628502</v>
      </c>
    </row>
    <row r="320" spans="1:10" x14ac:dyDescent="0.2">
      <c r="A320" s="9">
        <f t="shared" si="28"/>
        <v>44592</v>
      </c>
      <c r="B320" s="1">
        <v>3279.4124904728928</v>
      </c>
      <c r="C320">
        <v>3287</v>
      </c>
      <c r="D320" s="1">
        <f t="shared" si="23"/>
        <v>7.5875095271071586</v>
      </c>
      <c r="E320" s="6">
        <f t="shared" si="24"/>
        <v>-9.0177410793389704E-3</v>
      </c>
      <c r="F320" s="1">
        <f t="shared" si="26"/>
        <v>-2.897541738114179</v>
      </c>
      <c r="G320" s="1">
        <v>8.5714285714285712</v>
      </c>
      <c r="H320" s="1">
        <f t="shared" si="27"/>
        <v>-11.468970309542751</v>
      </c>
      <c r="I320" s="10">
        <f ca="1">-SUM(INDIRECT("F"&amp;MAX(220,ROW()-I$1)):INDIRECT("F"&amp;ROW()))/I$1</f>
        <v>-37.870774477142994</v>
      </c>
      <c r="J320" s="1">
        <f t="shared" ca="1" si="25"/>
        <v>-36.643531793257125</v>
      </c>
    </row>
    <row r="321" spans="1:10" x14ac:dyDescent="0.2">
      <c r="A321" s="9">
        <f t="shared" si="28"/>
        <v>44599</v>
      </c>
      <c r="B321" s="1">
        <v>3274.3111126442996</v>
      </c>
      <c r="C321">
        <v>3256</v>
      </c>
      <c r="D321" s="1">
        <f t="shared" si="23"/>
        <v>-18.311112644299556</v>
      </c>
      <c r="E321" s="6">
        <f t="shared" si="24"/>
        <v>1.0333869241903246E-2</v>
      </c>
      <c r="F321" s="1">
        <f t="shared" si="26"/>
        <v>2.9713498586368297</v>
      </c>
      <c r="G321" s="1">
        <v>9.1428571428571423</v>
      </c>
      <c r="H321" s="1">
        <f t="shared" si="27"/>
        <v>-6.1715072842203131</v>
      </c>
      <c r="I321" s="10">
        <f ca="1">-SUM(INDIRECT("F"&amp;MAX(220,ROW()-I$1)):INDIRECT("F"&amp;ROW()))/I$1</f>
        <v>-37.930786653910715</v>
      </c>
      <c r="J321" s="1">
        <f t="shared" ca="1" si="25"/>
        <v>-36.965345508420526</v>
      </c>
    </row>
    <row r="322" spans="1:10" x14ac:dyDescent="0.2">
      <c r="A322" s="9">
        <f t="shared" si="28"/>
        <v>44606</v>
      </c>
      <c r="B322" s="1">
        <v>3265.7674881966768</v>
      </c>
      <c r="C322">
        <v>3378</v>
      </c>
      <c r="D322" s="1">
        <f t="shared" si="23"/>
        <v>112.23251180332318</v>
      </c>
      <c r="E322" s="6">
        <f t="shared" si="24"/>
        <v>1.9700629699174649E-2</v>
      </c>
      <c r="F322" s="1">
        <f t="shared" si="26"/>
        <v>10.901626418179376</v>
      </c>
      <c r="G322" s="1">
        <v>12.428571428571429</v>
      </c>
      <c r="H322" s="1">
        <f t="shared" si="27"/>
        <v>-1.526945010392053</v>
      </c>
      <c r="I322" s="10">
        <f ca="1">-SUM(INDIRECT("F"&amp;MAX(220,ROW()-I$1)):INDIRECT("F"&amp;ROW()))/I$1</f>
        <v>-37.947891130902399</v>
      </c>
      <c r="J322" s="1">
        <f t="shared" ca="1" si="25"/>
        <v>-37.210981914040993</v>
      </c>
    </row>
    <row r="323" spans="1:10" x14ac:dyDescent="0.2">
      <c r="A323" s="9">
        <f t="shared" si="28"/>
        <v>44613</v>
      </c>
      <c r="B323" s="1">
        <v>3253.9083712533243</v>
      </c>
      <c r="C323">
        <v>3353</v>
      </c>
      <c r="D323" s="1">
        <f t="shared" si="23"/>
        <v>99.091628746675724</v>
      </c>
      <c r="E323" s="6">
        <f t="shared" si="24"/>
        <v>2.1145366967380258E-2</v>
      </c>
      <c r="F323" s="1">
        <f t="shared" si="26"/>
        <v>10.910960303993647</v>
      </c>
      <c r="G323" s="1">
        <v>9.2857142857142865</v>
      </c>
      <c r="H323" s="1">
        <f t="shared" si="27"/>
        <v>1.6252460182793609</v>
      </c>
      <c r="I323" s="10">
        <f ca="1">-SUM(INDIRECT("F"&amp;MAX(220,ROW()-I$1)):INDIRECT("F"&amp;ROW()))/I$1</f>
        <v>-37.842580449877829</v>
      </c>
      <c r="J323" s="1">
        <f t="shared" ca="1" si="25"/>
        <v>-37.368881548000203</v>
      </c>
    </row>
    <row r="324" spans="1:10" x14ac:dyDescent="0.2">
      <c r="A324" s="9">
        <f t="shared" si="28"/>
        <v>44620</v>
      </c>
      <c r="B324" s="1">
        <v>3238.9088807848525</v>
      </c>
      <c r="C324">
        <v>3234</v>
      </c>
      <c r="D324" s="1">
        <f t="shared" ref="D324:D387" si="29">C324-B324</f>
        <v>-4.9088807848524993</v>
      </c>
      <c r="E324" s="6">
        <f t="shared" si="24"/>
        <v>2.6983654598659864E-2</v>
      </c>
      <c r="F324" s="1">
        <f t="shared" si="26"/>
        <v>9.1887112415013892</v>
      </c>
      <c r="G324" s="1">
        <v>9.1428571428571423</v>
      </c>
      <c r="H324" s="1">
        <f t="shared" si="27"/>
        <v>4.5854098644246832E-2</v>
      </c>
      <c r="I324" s="10">
        <f ca="1">-SUM(INDIRECT("F"&amp;MAX(220,ROW()-I$1)):INDIRECT("F"&amp;ROW()))/I$1</f>
        <v>-37.44131492681295</v>
      </c>
      <c r="J324" s="1">
        <f t="shared" ca="1" si="25"/>
        <v>-37.38698989270339</v>
      </c>
    </row>
    <row r="325" spans="1:10" x14ac:dyDescent="0.2">
      <c r="A325" s="9">
        <f t="shared" si="28"/>
        <v>44627</v>
      </c>
      <c r="B325" s="1">
        <v>3220.9899524149318</v>
      </c>
      <c r="C325">
        <v>3389</v>
      </c>
      <c r="D325" s="1">
        <f t="shared" si="29"/>
        <v>168.01004758506815</v>
      </c>
      <c r="E325" s="6">
        <f t="shared" ref="E325:E388" si="30">AVERAGE(D324:D326)/B325</f>
        <v>5.8955585439548541E-2</v>
      </c>
      <c r="F325" s="1">
        <f t="shared" si="26"/>
        <v>26.346289021558782</v>
      </c>
      <c r="G325" s="1">
        <v>13.571428571428571</v>
      </c>
      <c r="H325" s="1">
        <f t="shared" si="27"/>
        <v>12.774860450130211</v>
      </c>
      <c r="I325" s="10">
        <f ca="1">-SUM(INDIRECT("F"&amp;MAX(220,ROW()-I$1)):INDIRECT("F"&amp;ROW()))/I$1</f>
        <v>-36.889669801780883</v>
      </c>
      <c r="J325" s="1">
        <f t="shared" ca="1" si="25"/>
        <v>-37.262659869972765</v>
      </c>
    </row>
    <row r="326" spans="1:10" x14ac:dyDescent="0.2">
      <c r="A326" s="9">
        <f t="shared" si="28"/>
        <v>44634</v>
      </c>
      <c r="B326" s="1">
        <v>3200.4151217816379</v>
      </c>
      <c r="C326">
        <v>3607</v>
      </c>
      <c r="D326" s="1">
        <f t="shared" si="29"/>
        <v>406.58487821836206</v>
      </c>
      <c r="E326" s="6">
        <f t="shared" si="30"/>
        <v>0.10708071717742902</v>
      </c>
      <c r="F326" s="1">
        <f t="shared" si="26"/>
        <v>51.239039919141497</v>
      </c>
      <c r="G326" s="1">
        <v>12.285714285714286</v>
      </c>
      <c r="H326" s="1">
        <f t="shared" si="27"/>
        <v>38.953325633427212</v>
      </c>
      <c r="I326" s="10">
        <f ca="1">-SUM(INDIRECT("F"&amp;MAX(220,ROW()-I$1)):INDIRECT("F"&amp;ROW()))/I$1</f>
        <v>-36.443562459141646</v>
      </c>
      <c r="J326" s="1">
        <f t="shared" ca="1" si="25"/>
        <v>-37.057885517264985</v>
      </c>
    </row>
    <row r="327" spans="1:10" x14ac:dyDescent="0.2">
      <c r="A327" s="9">
        <f t="shared" si="28"/>
        <v>44641</v>
      </c>
      <c r="B327" s="1">
        <v>3177.4866862858303</v>
      </c>
      <c r="C327">
        <v>3631</v>
      </c>
      <c r="D327" s="1">
        <f t="shared" si="29"/>
        <v>453.51331371416973</v>
      </c>
      <c r="E327" s="6">
        <f t="shared" si="30"/>
        <v>0.13381193133023342</v>
      </c>
      <c r="F327" s="1">
        <f t="shared" si="26"/>
        <v>61.752507304221467</v>
      </c>
      <c r="G327" s="1">
        <v>15</v>
      </c>
      <c r="H327" s="1">
        <f t="shared" si="27"/>
        <v>46.752507304221467</v>
      </c>
      <c r="I327" s="10">
        <f ca="1">-SUM(INDIRECT("F"&amp;MAX(220,ROW()-I$1)):INDIRECT("F"&amp;ROW()))/I$1</f>
        <v>-36.188561168470876</v>
      </c>
      <c r="J327" s="1">
        <f t="shared" ca="1" si="25"/>
        <v>-36.840554430066462</v>
      </c>
    </row>
    <row r="328" spans="1:10" x14ac:dyDescent="0.2">
      <c r="A328" s="9">
        <f t="shared" si="28"/>
        <v>44648</v>
      </c>
      <c r="B328" s="1">
        <v>3152.5413011285004</v>
      </c>
      <c r="C328">
        <v>3568</v>
      </c>
      <c r="D328" s="1">
        <f t="shared" si="29"/>
        <v>415.45869887149956</v>
      </c>
      <c r="E328" s="6">
        <f t="shared" si="30"/>
        <v>0.13936131868370388</v>
      </c>
      <c r="F328" s="1">
        <f t="shared" si="26"/>
        <v>61.910201345065062</v>
      </c>
      <c r="G328" s="1">
        <v>16.428571428571427</v>
      </c>
      <c r="H328" s="1">
        <f t="shared" si="27"/>
        <v>45.481629916493631</v>
      </c>
      <c r="I328" s="10">
        <f ca="1">-SUM(INDIRECT("F"&amp;MAX(220,ROW()-I$1)):INDIRECT("F"&amp;ROW()))/I$1</f>
        <v>-36.176562215128456</v>
      </c>
      <c r="J328" s="1">
        <f t="shared" ca="1" si="25"/>
        <v>-36.674556376331964</v>
      </c>
    </row>
    <row r="329" spans="1:10" x14ac:dyDescent="0.2">
      <c r="A329" s="9">
        <f t="shared" si="28"/>
        <v>44655</v>
      </c>
      <c r="B329" s="1">
        <v>3125.9450737953471</v>
      </c>
      <c r="C329">
        <v>3575</v>
      </c>
      <c r="D329" s="1">
        <f t="shared" si="29"/>
        <v>449.05492620465293</v>
      </c>
      <c r="E329" s="6">
        <f t="shared" si="30"/>
        <v>0.13675068566817686</v>
      </c>
      <c r="F329" s="1">
        <f t="shared" si="26"/>
        <v>61.838582957584762</v>
      </c>
      <c r="G329" s="1">
        <v>12.142857142857142</v>
      </c>
      <c r="H329" s="1">
        <f t="shared" si="27"/>
        <v>49.695725814727624</v>
      </c>
      <c r="I329" s="10">
        <f ca="1">-SUM(INDIRECT("F"&amp;MAX(220,ROW()-I$1)):INDIRECT("F"&amp;ROW()))/I$1</f>
        <v>-36.436468915456103</v>
      </c>
      <c r="J329" s="1">
        <f t="shared" ca="1" si="25"/>
        <v>-36.615034511112995</v>
      </c>
    </row>
    <row r="330" spans="1:10" x14ac:dyDescent="0.2">
      <c r="A330" s="9">
        <f t="shared" si="28"/>
        <v>44662</v>
      </c>
      <c r="B330" s="1">
        <v>3098.0882284684321</v>
      </c>
      <c r="C330">
        <v>3516</v>
      </c>
      <c r="D330" s="1">
        <f t="shared" si="29"/>
        <v>417.91177153156787</v>
      </c>
      <c r="E330" s="6">
        <f t="shared" si="30"/>
        <v>0.11109940533895345</v>
      </c>
      <c r="F330" s="1">
        <f t="shared" si="26"/>
        <v>51.803537540818979</v>
      </c>
      <c r="G330" s="1">
        <v>9</v>
      </c>
      <c r="H330" s="1">
        <f t="shared" si="27"/>
        <v>42.803537540818979</v>
      </c>
      <c r="I330" s="10">
        <f ca="1">-SUM(INDIRECT("F"&amp;MAX(220,ROW()-I$1)):INDIRECT("F"&amp;ROW()))/I$1</f>
        <v>-36.59356691108102</v>
      </c>
      <c r="J330" s="1">
        <f t="shared" ca="1" si="25"/>
        <v>-36.609667611105003</v>
      </c>
    </row>
    <row r="331" spans="1:10" x14ac:dyDescent="0.2">
      <c r="A331" s="9">
        <f t="shared" si="28"/>
        <v>44669</v>
      </c>
      <c r="B331" s="1">
        <v>3069.3794181248572</v>
      </c>
      <c r="C331">
        <v>3235</v>
      </c>
      <c r="D331" s="1">
        <f t="shared" si="29"/>
        <v>165.62058187514276</v>
      </c>
      <c r="E331" s="6">
        <f t="shared" si="30"/>
        <v>7.4422490979863684E-2</v>
      </c>
      <c r="F331" s="1">
        <f t="shared" si="26"/>
        <v>30.389756001881146</v>
      </c>
      <c r="G331" s="1">
        <v>8.5714285714285712</v>
      </c>
      <c r="H331" s="1">
        <f t="shared" si="27"/>
        <v>21.818327430452577</v>
      </c>
      <c r="I331" s="10">
        <f ca="1">-SUM(INDIRECT("F"&amp;MAX(220,ROW()-I$1)):INDIRECT("F"&amp;ROW()))/I$1</f>
        <v>-36.28484082463369</v>
      </c>
      <c r="J331" s="1">
        <f t="shared" ca="1" si="25"/>
        <v>-36.528460914487177</v>
      </c>
    </row>
    <row r="332" spans="1:10" x14ac:dyDescent="0.2">
      <c r="A332" s="9">
        <f t="shared" si="28"/>
        <v>44676</v>
      </c>
      <c r="B332" s="1">
        <v>3040.2397672291813</v>
      </c>
      <c r="C332">
        <v>3142</v>
      </c>
      <c r="D332" s="1">
        <f t="shared" si="29"/>
        <v>101.76023277081867</v>
      </c>
      <c r="E332" s="6">
        <f t="shared" si="30"/>
        <v>4.2242729990600192E-2</v>
      </c>
      <c r="F332" s="1">
        <f t="shared" si="26"/>
        <v>17.39443984114504</v>
      </c>
      <c r="G332" s="1">
        <v>4.5714285714285712</v>
      </c>
      <c r="H332" s="1">
        <f t="shared" si="27"/>
        <v>12.823011269716469</v>
      </c>
      <c r="I332" s="10">
        <f ca="1">-SUM(INDIRECT("F"&amp;MAX(220,ROW()-I$1)):INDIRECT("F"&amp;ROW()))/I$1</f>
        <v>-35.531966819802093</v>
      </c>
      <c r="J332" s="1">
        <f t="shared" ref="J332:J395" ca="1" si="31">I332+(J331-I332)*J$1</f>
        <v>-36.279337390815904</v>
      </c>
    </row>
    <row r="333" spans="1:10" x14ac:dyDescent="0.2">
      <c r="A333" s="9">
        <f t="shared" si="28"/>
        <v>44683</v>
      </c>
      <c r="B333" s="1">
        <v>3011.096731864719</v>
      </c>
      <c r="C333">
        <v>3129</v>
      </c>
      <c r="D333" s="1">
        <f t="shared" si="29"/>
        <v>117.903268135281</v>
      </c>
      <c r="E333" s="6">
        <f t="shared" si="30"/>
        <v>4.0437717174537688E-2</v>
      </c>
      <c r="F333" s="1">
        <f t="shared" si="26"/>
        <v>17.256746507865778</v>
      </c>
      <c r="G333" s="1">
        <v>3.2857142857142856</v>
      </c>
      <c r="H333" s="1">
        <f t="shared" si="27"/>
        <v>13.971032222151493</v>
      </c>
      <c r="I333" s="10">
        <f ca="1">-SUM(INDIRECT("F"&amp;MAX(220,ROW()-I$1)):INDIRECT("F"&amp;ROW()))/I$1</f>
        <v>-34.491878540809317</v>
      </c>
      <c r="J333" s="1">
        <f t="shared" ca="1" si="31"/>
        <v>-35.832472678314261</v>
      </c>
    </row>
    <row r="334" spans="1:10" x14ac:dyDescent="0.2">
      <c r="A334" s="9">
        <f t="shared" si="28"/>
        <v>44690</v>
      </c>
      <c r="B334" s="1">
        <v>2982.3778668211389</v>
      </c>
      <c r="C334">
        <v>3128</v>
      </c>
      <c r="D334" s="1">
        <f t="shared" si="29"/>
        <v>145.62213317886108</v>
      </c>
      <c r="E334" s="6">
        <f t="shared" si="30"/>
        <v>4.1021049554028681E-2</v>
      </c>
      <c r="F334" s="1">
        <f t="shared" si="26"/>
        <v>18.308676570356642</v>
      </c>
      <c r="G334" s="1">
        <v>2.5714285714285716</v>
      </c>
      <c r="H334" s="1">
        <f t="shared" si="27"/>
        <v>15.737247998928071</v>
      </c>
      <c r="I334" s="10">
        <f ca="1">-SUM(INDIRECT("F"&amp;MAX(220,ROW()-I$1)):INDIRECT("F"&amp;ROW()))/I$1</f>
        <v>-33.256404514297842</v>
      </c>
      <c r="J334" s="1">
        <f t="shared" ca="1" si="31"/>
        <v>-35.188455637310156</v>
      </c>
    </row>
    <row r="335" spans="1:10" x14ac:dyDescent="0.2">
      <c r="A335" s="9">
        <f t="shared" si="28"/>
        <v>44697</v>
      </c>
      <c r="B335" s="1">
        <v>2954.5045905230172</v>
      </c>
      <c r="C335">
        <v>3058</v>
      </c>
      <c r="D335" s="1">
        <f t="shared" si="29"/>
        <v>103.49540947698279</v>
      </c>
      <c r="E335" s="6">
        <f t="shared" si="30"/>
        <v>2.7554704626653371E-2</v>
      </c>
      <c r="F335" s="1">
        <f t="shared" si="26"/>
        <v>12.418818335958658</v>
      </c>
      <c r="G335" s="1">
        <v>1.8571428571428572</v>
      </c>
      <c r="H335" s="1">
        <f t="shared" si="27"/>
        <v>10.5616754788158</v>
      </c>
      <c r="I335" s="10">
        <f ca="1">-SUM(INDIRECT("F"&amp;MAX(220,ROW()-I$1)):INDIRECT("F"&amp;ROW()))/I$1</f>
        <v>-31.863540017163203</v>
      </c>
      <c r="J335" s="1">
        <f t="shared" ca="1" si="31"/>
        <v>-34.357226732273418</v>
      </c>
    </row>
    <row r="336" spans="1:10" x14ac:dyDescent="0.2">
      <c r="A336" s="9">
        <f t="shared" si="28"/>
        <v>44704</v>
      </c>
      <c r="B336" s="1">
        <v>2927.8860387259842</v>
      </c>
      <c r="C336">
        <v>2923</v>
      </c>
      <c r="D336" s="1">
        <f t="shared" si="29"/>
        <v>-4.8860387259842355</v>
      </c>
      <c r="E336" s="6">
        <f t="shared" si="30"/>
        <v>1.8408762270711684E-2</v>
      </c>
      <c r="F336" s="1">
        <f t="shared" si="26"/>
        <v>5.6003655500693901</v>
      </c>
      <c r="G336" s="1">
        <v>0.8571428571428571</v>
      </c>
      <c r="H336" s="1">
        <f t="shared" si="27"/>
        <v>4.7432226929265333</v>
      </c>
      <c r="I336" s="10">
        <f ca="1">-SUM(INDIRECT("F"&amp;MAX(220,ROW()-I$1)):INDIRECT("F"&amp;ROW()))/I$1</f>
        <v>-30.549966564203089</v>
      </c>
      <c r="J336" s="1">
        <f t="shared" ca="1" si="31"/>
        <v>-33.405411690255832</v>
      </c>
    </row>
    <row r="337" spans="1:10" x14ac:dyDescent="0.2">
      <c r="A337" s="9">
        <f t="shared" si="28"/>
        <v>44711</v>
      </c>
      <c r="B337" s="1">
        <v>2902.9130966230714</v>
      </c>
      <c r="C337">
        <v>2966</v>
      </c>
      <c r="D337" s="1">
        <f t="shared" si="29"/>
        <v>63.086903376928603</v>
      </c>
      <c r="E337" s="6">
        <f t="shared" si="30"/>
        <v>1.3922585600827901E-2</v>
      </c>
      <c r="F337" s="1">
        <f t="shared" si="26"/>
        <v>6.58339541483664</v>
      </c>
      <c r="G337" s="1">
        <v>1.1428571428571428</v>
      </c>
      <c r="H337" s="1">
        <f t="shared" si="27"/>
        <v>5.4405382719794968</v>
      </c>
      <c r="I337" s="10">
        <f ca="1">-SUM(INDIRECT("F"&amp;MAX(220,ROW()-I$1)):INDIRECT("F"&amp;ROW()))/I$1</f>
        <v>-29.474748196659135</v>
      </c>
      <c r="J337" s="1">
        <f t="shared" ca="1" si="31"/>
        <v>-32.422745816856661</v>
      </c>
    </row>
    <row r="338" spans="1:10" x14ac:dyDescent="0.2">
      <c r="A338" s="9">
        <f t="shared" si="28"/>
        <v>44718</v>
      </c>
      <c r="B338" s="1">
        <v>2879.952696412447</v>
      </c>
      <c r="C338">
        <v>2943</v>
      </c>
      <c r="D338" s="1">
        <f t="shared" si="29"/>
        <v>63.04730358755296</v>
      </c>
      <c r="E338" s="6">
        <f t="shared" si="30"/>
        <v>3.2499578181469792E-2</v>
      </c>
      <c r="F338" s="1">
        <f t="shared" si="26"/>
        <v>12.279965965554506</v>
      </c>
      <c r="G338" s="1">
        <v>1.4285714285714286</v>
      </c>
      <c r="H338" s="1">
        <f t="shared" si="27"/>
        <v>10.851394536983078</v>
      </c>
      <c r="I338" s="10">
        <f ca="1">-SUM(INDIRECT("F"&amp;MAX(220,ROW()-I$1)):INDIRECT("F"&amp;ROW()))/I$1</f>
        <v>-28.660374859418951</v>
      </c>
      <c r="J338" s="1">
        <f t="shared" ca="1" si="31"/>
        <v>-31.482153077497234</v>
      </c>
    </row>
    <row r="339" spans="1:10" x14ac:dyDescent="0.2">
      <c r="A339" s="9">
        <f t="shared" si="28"/>
        <v>44725</v>
      </c>
      <c r="B339" s="1">
        <v>2859.3424635165084</v>
      </c>
      <c r="C339">
        <v>3014</v>
      </c>
      <c r="D339" s="1">
        <f t="shared" si="29"/>
        <v>154.65753648349164</v>
      </c>
      <c r="E339" s="6">
        <f t="shared" si="30"/>
        <v>5.9724576196620756E-2</v>
      </c>
      <c r="F339" s="1">
        <f t="shared" si="26"/>
        <v>23.820592392395238</v>
      </c>
      <c r="G339" s="1">
        <v>1.2857142857142858</v>
      </c>
      <c r="H339" s="1">
        <f t="shared" si="27"/>
        <v>22.534878106680953</v>
      </c>
      <c r="I339" s="10">
        <f ca="1">-SUM(INDIRECT("F"&amp;MAX(220,ROW()-I$1)):INDIRECT("F"&amp;ROW()))/I$1</f>
        <v>-28.198494617801348</v>
      </c>
      <c r="J339" s="1">
        <f t="shared" ca="1" si="31"/>
        <v>-30.661238462573262</v>
      </c>
    </row>
    <row r="340" spans="1:10" x14ac:dyDescent="0.2">
      <c r="A340" s="9">
        <f t="shared" si="28"/>
        <v>44732</v>
      </c>
      <c r="B340" s="1">
        <v>2841.3857895674696</v>
      </c>
      <c r="C340">
        <v>3136</v>
      </c>
      <c r="D340" s="1">
        <f t="shared" si="29"/>
        <v>294.6142104325304</v>
      </c>
      <c r="E340" s="6">
        <f t="shared" si="30"/>
        <v>8.5160833083787704E-2</v>
      </c>
      <c r="F340" s="1">
        <f t="shared" si="26"/>
        <v>36.447805474590545</v>
      </c>
      <c r="G340" s="1">
        <v>1.8571428571428572</v>
      </c>
      <c r="H340" s="1">
        <f t="shared" si="27"/>
        <v>34.590662617447691</v>
      </c>
      <c r="I340" s="10">
        <f ca="1">-SUM(INDIRECT("F"&amp;MAX(220,ROW()-I$1)):INDIRECT("F"&amp;ROW()))/I$1</f>
        <v>-28.05569969682389</v>
      </c>
      <c r="J340" s="1">
        <f t="shared" ca="1" si="31"/>
        <v>-30.009853771135919</v>
      </c>
    </row>
    <row r="341" spans="1:10" x14ac:dyDescent="0.2">
      <c r="A341" s="9">
        <f t="shared" si="28"/>
        <v>44739</v>
      </c>
      <c r="B341" s="1">
        <v>2826.3474040600172</v>
      </c>
      <c r="C341">
        <v>3103</v>
      </c>
      <c r="D341" s="1">
        <f t="shared" si="29"/>
        <v>276.6525959399828</v>
      </c>
      <c r="E341" s="6">
        <f t="shared" si="30"/>
        <v>8.6426895718491242E-2</v>
      </c>
      <c r="F341" s="1">
        <f t="shared" si="26"/>
        <v>36.052496178741194</v>
      </c>
      <c r="G341" s="1">
        <v>3.5714285714285716</v>
      </c>
      <c r="H341" s="1">
        <f t="shared" si="27"/>
        <v>32.481067607312625</v>
      </c>
      <c r="I341" s="10">
        <f ca="1">-SUM(INDIRECT("F"&amp;MAX(220,ROW()-I$1)):INDIRECT("F"&amp;ROW()))/I$1</f>
        <v>-28.129320795233756</v>
      </c>
      <c r="J341" s="1">
        <f t="shared" ca="1" si="31"/>
        <v>-29.539720527160377</v>
      </c>
    </row>
    <row r="342" spans="1:10" x14ac:dyDescent="0.2">
      <c r="A342" s="9">
        <f t="shared" si="28"/>
        <v>44746</v>
      </c>
      <c r="B342" s="1">
        <v>2814.4495093077426</v>
      </c>
      <c r="C342">
        <v>2976</v>
      </c>
      <c r="D342" s="1">
        <f t="shared" si="29"/>
        <v>161.55049069225743</v>
      </c>
      <c r="E342" s="6">
        <f t="shared" si="30"/>
        <v>8.5550720678006412E-2</v>
      </c>
      <c r="F342" s="1">
        <f t="shared" ref="F342:F405" si="32">(0.5*D342+0.25*(D341+D343))/7</f>
        <v>31.567322935416932</v>
      </c>
      <c r="G342" s="1">
        <v>3.2857142857142856</v>
      </c>
      <c r="H342" s="1">
        <f t="shared" si="27"/>
        <v>28.281608649702648</v>
      </c>
      <c r="I342" s="10">
        <f ca="1">-SUM(INDIRECT("F"&amp;MAX(220,ROW()-I$1)):INDIRECT("F"&amp;ROW()))/I$1</f>
        <v>-28.505778040527655</v>
      </c>
      <c r="J342" s="1">
        <f t="shared" ca="1" si="31"/>
        <v>-29.281234905502195</v>
      </c>
    </row>
    <row r="343" spans="1:10" x14ac:dyDescent="0.2">
      <c r="A343" s="9">
        <f t="shared" si="28"/>
        <v>44753</v>
      </c>
      <c r="B343" s="1">
        <v>2805.8685351328236</v>
      </c>
      <c r="C343">
        <v>3090</v>
      </c>
      <c r="D343" s="1">
        <f t="shared" si="29"/>
        <v>284.13146486717642</v>
      </c>
      <c r="E343" s="6">
        <f t="shared" si="30"/>
        <v>9.9190842861147252E-2</v>
      </c>
      <c r="F343" s="1">
        <f t="shared" si="32"/>
        <v>39.967173562120301</v>
      </c>
      <c r="G343" s="1">
        <v>3.7142857142857144</v>
      </c>
      <c r="H343" s="1">
        <f t="shared" si="27"/>
        <v>36.252887847834586</v>
      </c>
      <c r="I343" s="10">
        <f ca="1">-SUM(INDIRECT("F"&amp;MAX(220,ROW()-I$1)):INDIRECT("F"&amp;ROW()))/I$1</f>
        <v>-29.16842462401652</v>
      </c>
      <c r="J343" s="1">
        <f t="shared" ca="1" si="31"/>
        <v>-29.253032335130776</v>
      </c>
    </row>
    <row r="344" spans="1:10" x14ac:dyDescent="0.2">
      <c r="A344" s="9">
        <f t="shared" si="28"/>
        <v>44760</v>
      </c>
      <c r="B344" s="1">
        <v>2800.7325606872419</v>
      </c>
      <c r="C344">
        <v>3190</v>
      </c>
      <c r="D344" s="1">
        <f t="shared" si="29"/>
        <v>389.26743931275814</v>
      </c>
      <c r="E344" s="6">
        <f t="shared" si="30"/>
        <v>0.12012088994933379</v>
      </c>
      <c r="F344" s="1">
        <f t="shared" si="32"/>
        <v>49.948103657580077</v>
      </c>
      <c r="G344" s="1">
        <v>4.7142857142857144</v>
      </c>
      <c r="H344" s="1">
        <f t="shared" si="27"/>
        <v>45.233817943294362</v>
      </c>
      <c r="I344" s="10">
        <f ca="1">-SUM(INDIRECT("F"&amp;MAX(220,ROW()-I$1)):INDIRECT("F"&amp;ROW()))/I$1</f>
        <v>-29.949778296288422</v>
      </c>
      <c r="J344" s="1">
        <f t="shared" ca="1" si="31"/>
        <v>-29.427218825420187</v>
      </c>
    </row>
    <row r="345" spans="1:10" x14ac:dyDescent="0.2">
      <c r="A345" s="9">
        <f t="shared" si="28"/>
        <v>44767</v>
      </c>
      <c r="B345" s="1">
        <v>2799.1194410804505</v>
      </c>
      <c r="C345">
        <v>3135</v>
      </c>
      <c r="D345" s="1">
        <f t="shared" si="29"/>
        <v>335.88055891954946</v>
      </c>
      <c r="E345" s="6">
        <f t="shared" si="30"/>
        <v>0.10563945205990111</v>
      </c>
      <c r="F345" s="1">
        <f t="shared" si="32"/>
        <v>43.67760324776485</v>
      </c>
      <c r="G345" s="1">
        <v>4.5714285714285712</v>
      </c>
      <c r="H345" s="1">
        <f t="shared" si="27"/>
        <v>39.106174676336281</v>
      </c>
      <c r="I345" s="10">
        <f ca="1">-SUM(INDIRECT("F"&amp;MAX(220,ROW()-I$1)):INDIRECT("F"&amp;ROW()))/I$1</f>
        <v>-30.734260391362788</v>
      </c>
      <c r="J345" s="1">
        <f t="shared" ca="1" si="31"/>
        <v>-29.753979216905837</v>
      </c>
    </row>
    <row r="346" spans="1:10" x14ac:dyDescent="0.2">
      <c r="A346" s="9">
        <f t="shared" si="28"/>
        <v>44774</v>
      </c>
      <c r="B346" s="1">
        <v>2801.0556662144413</v>
      </c>
      <c r="C346">
        <v>2963</v>
      </c>
      <c r="D346" s="1">
        <f t="shared" si="29"/>
        <v>161.94433378555868</v>
      </c>
      <c r="E346" s="6">
        <f t="shared" si="30"/>
        <v>8.0720628813179707E-2</v>
      </c>
      <c r="F346" s="1">
        <f t="shared" si="32"/>
        <v>30.009044926364563</v>
      </c>
      <c r="G346" s="1">
        <v>4.4285714285714288</v>
      </c>
      <c r="H346" s="1">
        <f t="shared" si="27"/>
        <v>25.580473497793136</v>
      </c>
      <c r="I346" s="10">
        <f ca="1">-SUM(INDIRECT("F"&amp;MAX(220,ROW()-I$1)):INDIRECT("F"&amp;ROW()))/I$1</f>
        <v>-31.31092943346248</v>
      </c>
      <c r="J346" s="1">
        <f t="shared" ca="1" si="31"/>
        <v>-30.143216771044997</v>
      </c>
    </row>
    <row r="347" spans="1:10" x14ac:dyDescent="0.2">
      <c r="A347" s="9">
        <f t="shared" si="28"/>
        <v>44781</v>
      </c>
      <c r="B347" s="1">
        <v>2806.5159685524591</v>
      </c>
      <c r="C347">
        <v>2987</v>
      </c>
      <c r="D347" s="1">
        <f t="shared" si="29"/>
        <v>180.48403144754093</v>
      </c>
      <c r="E347" s="6">
        <f t="shared" si="30"/>
        <v>7.1975916806434351E-2</v>
      </c>
      <c r="F347" s="1">
        <f t="shared" si="32"/>
        <v>28.088882537604459</v>
      </c>
      <c r="G347" s="1">
        <v>2.7142857142857144</v>
      </c>
      <c r="H347" s="1">
        <f t="shared" si="27"/>
        <v>25.374596823318743</v>
      </c>
      <c r="I347" s="10">
        <f ca="1">-SUM(INDIRECT("F"&amp;MAX(220,ROW()-I$1)):INDIRECT("F"&amp;ROW()))/I$1</f>
        <v>-31.680798499832228</v>
      </c>
      <c r="J347" s="1">
        <f t="shared" ca="1" si="31"/>
        <v>-30.527612203241805</v>
      </c>
    </row>
    <row r="348" spans="1:10" x14ac:dyDescent="0.2">
      <c r="A348" s="9">
        <f t="shared" si="28"/>
        <v>44788</v>
      </c>
      <c r="B348" s="1">
        <v>2815.4236856277157</v>
      </c>
      <c r="C348">
        <v>3079</v>
      </c>
      <c r="D348" s="1">
        <f t="shared" si="29"/>
        <v>263.57631437228429</v>
      </c>
      <c r="E348" s="6">
        <f t="shared" si="30"/>
        <v>7.8189353535957837E-2</v>
      </c>
      <c r="F348" s="1">
        <f t="shared" si="32"/>
        <v>32.999456717837461</v>
      </c>
      <c r="G348" s="1">
        <v>5.1428571428571432</v>
      </c>
      <c r="H348" s="1">
        <f t="shared" si="27"/>
        <v>27.856599574980319</v>
      </c>
      <c r="I348" s="10">
        <f ca="1">-SUM(INDIRECT("F"&amp;MAX(220,ROW()-I$1)):INDIRECT("F"&amp;ROW()))/I$1</f>
        <v>-32.027917467301378</v>
      </c>
      <c r="J348" s="1">
        <f t="shared" ca="1" si="31"/>
        <v>-30.902688519256699</v>
      </c>
    </row>
    <row r="349" spans="1:10" x14ac:dyDescent="0.2">
      <c r="A349" s="9">
        <f t="shared" si="28"/>
        <v>44795</v>
      </c>
      <c r="B349" s="1">
        <v>2827.6518720926606</v>
      </c>
      <c r="C349">
        <v>3044</v>
      </c>
      <c r="D349" s="1">
        <f t="shared" si="29"/>
        <v>216.3481279073394</v>
      </c>
      <c r="E349" s="6">
        <f t="shared" si="30"/>
        <v>7.1307610750757575E-2</v>
      </c>
      <c r="F349" s="1">
        <f t="shared" si="32"/>
        <v>29.330265178887235</v>
      </c>
      <c r="G349" s="1">
        <v>2.1428571428571428</v>
      </c>
      <c r="H349" s="1">
        <f t="shared" si="27"/>
        <v>27.187408036030092</v>
      </c>
      <c r="I349" s="10">
        <f ca="1">-SUM(INDIRECT("F"&amp;MAX(220,ROW()-I$1)):INDIRECT("F"&amp;ROW()))/I$1</f>
        <v>-32.296564690267736</v>
      </c>
      <c r="J349" s="1">
        <f t="shared" ca="1" si="31"/>
        <v>-31.25115756200946</v>
      </c>
    </row>
    <row r="350" spans="1:10" x14ac:dyDescent="0.2">
      <c r="A350" s="9">
        <f t="shared" si="28"/>
        <v>44802</v>
      </c>
      <c r="B350" s="1">
        <v>2843.0251451781205</v>
      </c>
      <c r="C350">
        <v>2968</v>
      </c>
      <c r="D350" s="1">
        <f t="shared" si="29"/>
        <v>124.97485482187949</v>
      </c>
      <c r="E350" s="6">
        <f t="shared" si="30"/>
        <v>4.9360654525449008E-2</v>
      </c>
      <c r="F350" s="1">
        <f t="shared" si="32"/>
        <v>19.499128600599452</v>
      </c>
      <c r="G350" s="1">
        <v>1</v>
      </c>
      <c r="H350" s="1">
        <f t="shared" si="27"/>
        <v>18.499128600599452</v>
      </c>
      <c r="I350" s="10">
        <f ca="1">-SUM(INDIRECT("F"&amp;MAX(220,ROW()-I$1)):INDIRECT("F"&amp;ROW()))/I$1</f>
        <v>-32.383219377953068</v>
      </c>
      <c r="J350" s="1">
        <f t="shared" ca="1" si="31"/>
        <v>-31.534173015995364</v>
      </c>
    </row>
    <row r="351" spans="1:10" x14ac:dyDescent="0.2">
      <c r="A351" s="9">
        <f t="shared" si="28"/>
        <v>44809</v>
      </c>
      <c r="B351" s="1">
        <v>2861.3222367343137</v>
      </c>
      <c r="C351">
        <v>2941</v>
      </c>
      <c r="D351" s="1">
        <f t="shared" si="29"/>
        <v>79.677763265686281</v>
      </c>
      <c r="E351" s="6">
        <f t="shared" si="30"/>
        <v>1.681896123822061E-2</v>
      </c>
      <c r="F351" s="1">
        <f t="shared" si="32"/>
        <v>8.0018273798130597</v>
      </c>
      <c r="G351" s="1">
        <v>1.7142857142857142</v>
      </c>
      <c r="H351" s="1">
        <f t="shared" si="27"/>
        <v>6.2875416655273453</v>
      </c>
      <c r="I351" s="10">
        <f ca="1">-SUM(INDIRECT("F"&amp;MAX(220,ROW()-I$1)):INDIRECT("F"&amp;ROW()))/I$1</f>
        <v>-32.327496364549916</v>
      </c>
      <c r="J351" s="1">
        <f t="shared" ca="1" si="31"/>
        <v>-31.732503853134002</v>
      </c>
    </row>
    <row r="352" spans="1:10" x14ac:dyDescent="0.2">
      <c r="A352" s="9">
        <f t="shared" si="28"/>
        <v>44816</v>
      </c>
      <c r="B352" s="1">
        <v>2882.2792147184864</v>
      </c>
      <c r="C352">
        <v>2822</v>
      </c>
      <c r="D352" s="1">
        <f t="shared" si="29"/>
        <v>-60.279214718486401</v>
      </c>
      <c r="E352" s="6">
        <f t="shared" si="30"/>
        <v>1.524317059535309E-2</v>
      </c>
      <c r="F352" s="1">
        <f t="shared" si="32"/>
        <v>2.5545002357748672</v>
      </c>
      <c r="G352" s="1">
        <v>1.4285714285714286</v>
      </c>
      <c r="H352" s="1">
        <f t="shared" si="27"/>
        <v>1.1259288072034386</v>
      </c>
      <c r="I352" s="10">
        <f ca="1">-SUM(INDIRECT("F"&amp;MAX(220,ROW()-I$1)):INDIRECT("F"&amp;ROW()))/I$1</f>
        <v>-32.263776236874051</v>
      </c>
      <c r="J352" s="1">
        <f t="shared" ca="1" si="31"/>
        <v>-31.865321949069013</v>
      </c>
    </row>
    <row r="353" spans="1:10" x14ac:dyDescent="0.2">
      <c r="A353" s="9">
        <f t="shared" si="28"/>
        <v>44823</v>
      </c>
      <c r="B353" s="1">
        <v>2905.5933272270172</v>
      </c>
      <c r="C353">
        <v>3018</v>
      </c>
      <c r="D353" s="1">
        <f t="shared" si="29"/>
        <v>112.4066727729828</v>
      </c>
      <c r="E353" s="6">
        <f t="shared" si="30"/>
        <v>3.7651523344458121E-2</v>
      </c>
      <c r="F353" s="1">
        <f t="shared" si="32"/>
        <v>15.735954205062578</v>
      </c>
      <c r="G353" s="1">
        <v>1.8571428571428572</v>
      </c>
      <c r="H353" s="1">
        <f t="shared" si="27"/>
        <v>13.87881134791972</v>
      </c>
      <c r="I353" s="10">
        <f ca="1">-SUM(INDIRECT("F"&amp;MAX(220,ROW()-I$1)):INDIRECT("F"&amp;ROW()))/I$1</f>
        <v>-32.391692631398264</v>
      </c>
      <c r="J353" s="1">
        <f t="shared" ca="1" si="31"/>
        <v>-31.996914619651328</v>
      </c>
    </row>
    <row r="354" spans="1:10" x14ac:dyDescent="0.2">
      <c r="A354" s="9">
        <f t="shared" si="28"/>
        <v>44830</v>
      </c>
      <c r="B354" s="1">
        <v>2930.927413085727</v>
      </c>
      <c r="C354">
        <v>3207</v>
      </c>
      <c r="D354" s="1">
        <f t="shared" si="29"/>
        <v>276.07258691427296</v>
      </c>
      <c r="E354" s="6">
        <f t="shared" si="30"/>
        <v>8.4337860846006807E-2</v>
      </c>
      <c r="F354" s="1">
        <f t="shared" si="32"/>
        <v>36.344179709213755</v>
      </c>
      <c r="G354" s="1">
        <v>2.2857142857142856</v>
      </c>
      <c r="H354" s="1">
        <f t="shared" si="27"/>
        <v>34.05846542349947</v>
      </c>
      <c r="I354" s="10">
        <f ca="1">-SUM(INDIRECT("F"&amp;MAX(220,ROW()-I$1)):INDIRECT("F"&amp;ROW()))/I$1</f>
        <v>-32.870577585114241</v>
      </c>
      <c r="J354" s="1">
        <f t="shared" ca="1" si="31"/>
        <v>-32.215330361017052</v>
      </c>
    </row>
    <row r="355" spans="1:10" x14ac:dyDescent="0.2">
      <c r="A355" s="9">
        <f t="shared" si="28"/>
        <v>44837</v>
      </c>
      <c r="B355" s="1">
        <v>2957.9148147435435</v>
      </c>
      <c r="C355">
        <v>3311</v>
      </c>
      <c r="D355" s="1">
        <f t="shared" si="29"/>
        <v>353.0851852564565</v>
      </c>
      <c r="E355" s="6">
        <f t="shared" si="30"/>
        <v>0.10739469186632887</v>
      </c>
      <c r="F355" s="1">
        <f t="shared" si="32"/>
        <v>46.645651269469745</v>
      </c>
      <c r="G355" s="1">
        <v>5.7142857142857144</v>
      </c>
      <c r="H355" s="1">
        <f t="shared" ref="H355:H418" si="33">F355-G355</f>
        <v>40.93136555518403</v>
      </c>
      <c r="I355" s="10">
        <f ca="1">-SUM(INDIRECT("F"&amp;MAX(220,ROW()-I$1)):INDIRECT("F"&amp;ROW()))/I$1</f>
        <v>-33.53888450597406</v>
      </c>
      <c r="J355" s="1">
        <f t="shared" ca="1" si="31"/>
        <v>-32.546218897256303</v>
      </c>
    </row>
    <row r="356" spans="1:10" x14ac:dyDescent="0.2">
      <c r="A356" s="9">
        <f t="shared" si="28"/>
        <v>44844</v>
      </c>
      <c r="B356" s="1">
        <v>2986.1647218820331</v>
      </c>
      <c r="C356">
        <v>3310</v>
      </c>
      <c r="D356" s="1">
        <f t="shared" si="29"/>
        <v>323.83527811796694</v>
      </c>
      <c r="E356" s="6">
        <f t="shared" si="30"/>
        <v>0.11504752656566307</v>
      </c>
      <c r="F356" s="1">
        <f t="shared" si="32"/>
        <v>48.374566915302644</v>
      </c>
      <c r="G356" s="1">
        <v>4.2857142857142856</v>
      </c>
      <c r="H356" s="1">
        <f t="shared" si="33"/>
        <v>44.088852629588359</v>
      </c>
      <c r="I356" s="10">
        <f ca="1">-SUM(INDIRECT("F"&amp;MAX(220,ROW()-I$1)):INDIRECT("F"&amp;ROW()))/I$1</f>
        <v>-34.131547430453018</v>
      </c>
      <c r="J356" s="1">
        <f t="shared" ca="1" si="31"/>
        <v>-32.942551030555478</v>
      </c>
    </row>
    <row r="357" spans="1:10" x14ac:dyDescent="0.2">
      <c r="A357" s="9">
        <f t="shared" si="28"/>
        <v>44851</v>
      </c>
      <c r="B357" s="1">
        <v>3015.2678678639163</v>
      </c>
      <c r="C357">
        <v>3369</v>
      </c>
      <c r="D357" s="1">
        <f t="shared" si="29"/>
        <v>353.73213213608369</v>
      </c>
      <c r="E357" s="6">
        <f t="shared" si="30"/>
        <v>0.10422124507440389</v>
      </c>
      <c r="F357" s="1">
        <f t="shared" si="32"/>
        <v>46.303465942890902</v>
      </c>
      <c r="G357" s="1">
        <v>6.7142857142857144</v>
      </c>
      <c r="H357" s="1">
        <f t="shared" si="33"/>
        <v>39.589180228605187</v>
      </c>
      <c r="I357" s="10">
        <f ca="1">-SUM(INDIRECT("F"&amp;MAX(220,ROW()-I$1)):INDIRECT("F"&amp;ROW()))/I$1</f>
        <v>-34.680480467578249</v>
      </c>
      <c r="J357" s="1">
        <f t="shared" ca="1" si="31"/>
        <v>-33.377033389811174</v>
      </c>
    </row>
    <row r="358" spans="1:10" x14ac:dyDescent="0.2">
      <c r="A358" s="9">
        <f t="shared" si="28"/>
        <v>44858</v>
      </c>
      <c r="B358" s="1">
        <v>3044.8024959891891</v>
      </c>
      <c r="C358">
        <v>3310</v>
      </c>
      <c r="D358" s="1">
        <f t="shared" si="29"/>
        <v>265.19750401081092</v>
      </c>
      <c r="E358" s="6">
        <f t="shared" si="30"/>
        <v>8.523696020669716E-2</v>
      </c>
      <c r="F358" s="1">
        <f t="shared" si="32"/>
        <v>37.278093984802112</v>
      </c>
      <c r="G358" s="1">
        <v>6.2857142857142856</v>
      </c>
      <c r="H358" s="1">
        <f t="shared" si="33"/>
        <v>30.992379699087827</v>
      </c>
      <c r="I358" s="10">
        <f ca="1">-SUM(INDIRECT("F"&amp;MAX(220,ROW()-I$1)):INDIRECT("F"&amp;ROW()))/I$1</f>
        <v>-35.237503297962014</v>
      </c>
      <c r="J358" s="1">
        <f t="shared" ca="1" si="31"/>
        <v>-33.842150866848883</v>
      </c>
    </row>
    <row r="359" spans="1:10" x14ac:dyDescent="0.2">
      <c r="A359" s="9">
        <f t="shared" si="28"/>
        <v>44865</v>
      </c>
      <c r="B359" s="1">
        <v>3074.3405085832464</v>
      </c>
      <c r="C359">
        <v>3234</v>
      </c>
      <c r="D359" s="1">
        <f t="shared" si="29"/>
        <v>159.65949141675355</v>
      </c>
      <c r="E359" s="6">
        <f t="shared" si="30"/>
        <v>5.3388500155582573E-2</v>
      </c>
      <c r="F359" s="1">
        <f t="shared" si="32"/>
        <v>23.287956342113748</v>
      </c>
      <c r="G359" s="1">
        <v>5.2857142857142856</v>
      </c>
      <c r="H359" s="1">
        <f t="shared" si="33"/>
        <v>18.002242056399464</v>
      </c>
      <c r="I359" s="10">
        <f ca="1">-SUM(INDIRECT("F"&amp;MAX(220,ROW()-I$1)):INDIRECT("F"&amp;ROW()))/I$1</f>
        <v>-35.703876889891738</v>
      </c>
      <c r="J359" s="1">
        <f t="shared" ca="1" si="31"/>
        <v>-34.307582372609595</v>
      </c>
    </row>
    <row r="360" spans="1:10" x14ac:dyDescent="0.2">
      <c r="A360" s="9">
        <f t="shared" si="28"/>
        <v>44872</v>
      </c>
      <c r="B360" s="1">
        <v>3103.4537092651331</v>
      </c>
      <c r="C360">
        <v>3171</v>
      </c>
      <c r="D360" s="1">
        <f t="shared" si="29"/>
        <v>67.546290734866943</v>
      </c>
      <c r="E360" s="6">
        <f t="shared" si="30"/>
        <v>3.410025995973013E-2</v>
      </c>
      <c r="F360" s="1">
        <f t="shared" si="32"/>
        <v>13.751143768273437</v>
      </c>
      <c r="G360" s="1">
        <v>3.1428571428571428</v>
      </c>
      <c r="H360" s="1">
        <f t="shared" si="33"/>
        <v>10.608286625416294</v>
      </c>
      <c r="I360" s="10">
        <f ca="1">-SUM(INDIRECT("F"&amp;MAX(220,ROW()-I$1)):INDIRECT("F"&amp;ROW()))/I$1</f>
        <v>-35.956756370752736</v>
      </c>
      <c r="J360" s="1">
        <f t="shared" ca="1" si="31"/>
        <v>-34.71987587214538</v>
      </c>
    </row>
    <row r="361" spans="1:10" x14ac:dyDescent="0.2">
      <c r="A361" s="9">
        <f t="shared" si="28"/>
        <v>44879</v>
      </c>
      <c r="B361" s="1">
        <v>3131.7200473748312</v>
      </c>
      <c r="C361">
        <v>3222</v>
      </c>
      <c r="D361" s="1">
        <f t="shared" si="29"/>
        <v>90.279952625168789</v>
      </c>
      <c r="E361" s="6">
        <f t="shared" si="30"/>
        <v>4.343688278752704E-2</v>
      </c>
      <c r="F361" s="1">
        <f t="shared" si="32"/>
        <v>17.799157946024156</v>
      </c>
      <c r="G361" s="1">
        <v>2.8571428571428572</v>
      </c>
      <c r="H361" s="1">
        <f t="shared" si="33"/>
        <v>14.942015088881298</v>
      </c>
      <c r="I361" s="10">
        <f ca="1">-SUM(INDIRECT("F"&amp;MAX(220,ROW()-I$1)):INDIRECT("F"&amp;ROW()))/I$1</f>
        <v>-36.117970348259512</v>
      </c>
      <c r="J361" s="1">
        <f t="shared" ca="1" si="31"/>
        <v>-35.069399491173911</v>
      </c>
    </row>
    <row r="362" spans="1:10" x14ac:dyDescent="0.2">
      <c r="A362" s="9">
        <f t="shared" si="28"/>
        <v>44886</v>
      </c>
      <c r="B362" s="1">
        <v>3158.7297734965282</v>
      </c>
      <c r="C362">
        <v>3409</v>
      </c>
      <c r="D362" s="1">
        <f t="shared" si="29"/>
        <v>250.2702265034718</v>
      </c>
      <c r="E362" s="6">
        <f t="shared" si="30"/>
        <v>6.1887615685322847E-2</v>
      </c>
      <c r="F362" s="1">
        <f t="shared" si="32"/>
        <v>29.883178190403278</v>
      </c>
      <c r="G362" s="1">
        <v>1.5714285714285714</v>
      </c>
      <c r="H362" s="1">
        <f t="shared" si="33"/>
        <v>28.311749618974705</v>
      </c>
      <c r="I362" s="10">
        <f ca="1">-SUM(INDIRECT("F"&amp;MAX(220,ROW()-I$1)):INDIRECT("F"&amp;ROW()))/I$1</f>
        <v>-36.42686280550803</v>
      </c>
      <c r="J362" s="1">
        <f t="shared" ca="1" si="31"/>
        <v>-35.408765319757443</v>
      </c>
    </row>
    <row r="363" spans="1:10" x14ac:dyDescent="0.2">
      <c r="A363" s="9">
        <f t="shared" si="28"/>
        <v>44893</v>
      </c>
      <c r="B363" s="1">
        <v>3184.0914163008206</v>
      </c>
      <c r="C363">
        <v>3430</v>
      </c>
      <c r="D363" s="1">
        <f t="shared" si="29"/>
        <v>245.90858369917942</v>
      </c>
      <c r="E363" s="6">
        <f t="shared" si="30"/>
        <v>9.4714755157122618E-2</v>
      </c>
      <c r="F363" s="1">
        <f t="shared" si="32"/>
        <v>41.094639299202264</v>
      </c>
      <c r="G363" s="1">
        <v>2.1428571428571428</v>
      </c>
      <c r="H363" s="1">
        <f t="shared" si="33"/>
        <v>38.951782156345118</v>
      </c>
      <c r="I363" s="10">
        <f ca="1">-SUM(INDIRECT("F"&amp;MAX(220,ROW()-I$1)):INDIRECT("F"&amp;ROW()))/I$1</f>
        <v>-36.895770706657245</v>
      </c>
      <c r="J363" s="1">
        <f t="shared" ca="1" si="31"/>
        <v>-35.780516666482391</v>
      </c>
    </row>
    <row r="364" spans="1:10" x14ac:dyDescent="0.2">
      <c r="A364" s="9">
        <f t="shared" si="28"/>
        <v>44900</v>
      </c>
      <c r="B364" s="1">
        <v>3207.4374935241672</v>
      </c>
      <c r="C364">
        <v>3616</v>
      </c>
      <c r="D364" s="1">
        <f t="shared" si="29"/>
        <v>408.56250647583283</v>
      </c>
      <c r="E364" s="6">
        <f t="shared" si="30"/>
        <v>0.14778580713057643</v>
      </c>
      <c r="F364" s="1">
        <f t="shared" si="32"/>
        <v>65.378704388566391</v>
      </c>
      <c r="G364" s="1">
        <v>2.1428571428571428</v>
      </c>
      <c r="H364" s="1">
        <f t="shared" si="33"/>
        <v>63.235847245709245</v>
      </c>
      <c r="I364" s="10">
        <f ca="1">-SUM(INDIRECT("F"&amp;MAX(220,ROW()-I$1)):INDIRECT("F"&amp;ROW()))/I$1</f>
        <v>-37.590486213475856</v>
      </c>
      <c r="J364" s="1">
        <f t="shared" ca="1" si="31"/>
        <v>-36.233009053230759</v>
      </c>
    </row>
    <row r="365" spans="1:10" x14ac:dyDescent="0.2">
      <c r="A365" s="9">
        <f t="shared" si="28"/>
        <v>44907</v>
      </c>
      <c r="B365" s="1">
        <v>3228.429873770986</v>
      </c>
      <c r="C365">
        <v>3996</v>
      </c>
      <c r="D365" s="1">
        <f t="shared" si="29"/>
        <v>767.57012622901402</v>
      </c>
      <c r="E365" s="6">
        <f t="shared" si="30"/>
        <v>0.22006238379370399</v>
      </c>
      <c r="F365" s="1">
        <f t="shared" si="32"/>
        <v>103.53350171527015</v>
      </c>
      <c r="G365" s="1">
        <v>1.7142857142857142</v>
      </c>
      <c r="H365" s="1">
        <f t="shared" si="33"/>
        <v>101.81921600098444</v>
      </c>
      <c r="I365" s="10">
        <f ca="1">-SUM(INDIRECT("F"&amp;MAX(220,ROW()-I$1)):INDIRECT("F"&amp;ROW()))/I$1</f>
        <v>-38.776522025392907</v>
      </c>
      <c r="J365" s="1">
        <f t="shared" ca="1" si="31"/>
        <v>-36.868887296271296</v>
      </c>
    </row>
    <row r="366" spans="1:10" x14ac:dyDescent="0.2">
      <c r="A366" s="9">
        <f t="shared" si="28"/>
        <v>44914</v>
      </c>
      <c r="B366" s="1">
        <v>3246.7647109062968</v>
      </c>
      <c r="C366">
        <v>4202</v>
      </c>
      <c r="D366" s="1">
        <f t="shared" si="29"/>
        <v>955.23528909370316</v>
      </c>
      <c r="E366" s="6">
        <f t="shared" si="30"/>
        <v>0.26638092247915723</v>
      </c>
      <c r="F366" s="1">
        <f t="shared" si="32"/>
        <v>126.78085090663157</v>
      </c>
      <c r="G366" s="1">
        <v>3</v>
      </c>
      <c r="H366" s="1">
        <f t="shared" si="33"/>
        <v>123.78085090663157</v>
      </c>
      <c r="I366" s="10">
        <f ca="1">-SUM(INDIRECT("F"&amp;MAX(220,ROW()-I$1)):INDIRECT("F"&amp;ROW()))/I$1</f>
        <v>-40.373018956648103</v>
      </c>
      <c r="J366" s="1">
        <f t="shared" ca="1" si="31"/>
        <v>-37.744920211365496</v>
      </c>
    </row>
    <row r="367" spans="1:10" x14ac:dyDescent="0.2">
      <c r="A367" s="9">
        <f t="shared" si="28"/>
        <v>44921</v>
      </c>
      <c r="B367" s="1">
        <v>3262.1768790307365</v>
      </c>
      <c r="C367">
        <v>4134</v>
      </c>
      <c r="D367" s="1">
        <f t="shared" si="29"/>
        <v>871.82312096926353</v>
      </c>
      <c r="E367" s="6">
        <f t="shared" si="30"/>
        <v>0.26279382369566501</v>
      </c>
      <c r="F367" s="1">
        <f t="shared" si="32"/>
        <v>122.9879617073392</v>
      </c>
      <c r="G367" s="1">
        <v>4.1748299319727895</v>
      </c>
      <c r="H367" s="1">
        <f t="shared" si="33"/>
        <v>118.8131317753664</v>
      </c>
      <c r="I367" s="10">
        <f ca="1">-SUM(INDIRECT("F"&amp;MAX(220,ROW()-I$1)):INDIRECT("F"&amp;ROW()))/I$1</f>
        <v>-41.916964226382795</v>
      </c>
      <c r="J367" s="1">
        <f t="shared" ca="1" si="31"/>
        <v>-38.787931215119819</v>
      </c>
    </row>
    <row r="368" spans="1:10" x14ac:dyDescent="0.2">
      <c r="A368" s="9">
        <f t="shared" si="28"/>
        <v>44928</v>
      </c>
      <c r="B368" s="1">
        <v>3290.2186032267327</v>
      </c>
      <c r="C368">
        <v>4035</v>
      </c>
      <c r="D368" s="1">
        <f t="shared" si="29"/>
        <v>744.78139677326726</v>
      </c>
      <c r="E368" s="6">
        <f t="shared" si="30"/>
        <v>0.22190999522449006</v>
      </c>
      <c r="F368" s="1">
        <f t="shared" si="32"/>
        <v>104.82780644149946</v>
      </c>
      <c r="G368" s="1">
        <v>3.7108843537414962</v>
      </c>
      <c r="H368" s="1">
        <f t="shared" si="33"/>
        <v>101.11692208775797</v>
      </c>
      <c r="I368" s="10">
        <f ca="1">-SUM(INDIRECT("F"&amp;MAX(220,ROW()-I$1)):INDIRECT("F"&amp;ROW()))/I$1</f>
        <v>-43.198070372720409</v>
      </c>
      <c r="J368" s="1">
        <f t="shared" ca="1" si="31"/>
        <v>-39.890466004519965</v>
      </c>
    </row>
    <row r="369" spans="1:10" x14ac:dyDescent="0.2">
      <c r="A369" s="9">
        <f t="shared" si="28"/>
        <v>44935</v>
      </c>
      <c r="B369" s="1">
        <v>3299.207334153813</v>
      </c>
      <c r="C369">
        <v>3873</v>
      </c>
      <c r="D369" s="1">
        <f t="shared" si="29"/>
        <v>573.79266584618699</v>
      </c>
      <c r="E369" s="6">
        <f t="shared" si="30"/>
        <v>0.17123757448371776</v>
      </c>
      <c r="F369" s="1">
        <f t="shared" si="32"/>
        <v>81.022766096584334</v>
      </c>
      <c r="G369" s="1">
        <v>3.9299319727891153</v>
      </c>
      <c r="H369" s="1">
        <f t="shared" si="33"/>
        <v>77.092834123795214</v>
      </c>
      <c r="I369" s="10">
        <f ca="1">-SUM(INDIRECT("F"&amp;MAX(220,ROW()-I$1)):INDIRECT("F"&amp;ROW()))/I$1</f>
        <v>-44.105812014971299</v>
      </c>
      <c r="J369" s="1">
        <f t="shared" ca="1" si="31"/>
        <v>-40.944302507132797</v>
      </c>
    </row>
    <row r="370" spans="1:10" x14ac:dyDescent="0.2">
      <c r="A370" s="9">
        <f t="shared" si="28"/>
        <v>44942</v>
      </c>
      <c r="B370" s="1">
        <v>3304.7292777612797</v>
      </c>
      <c r="C370">
        <v>3681</v>
      </c>
      <c r="D370" s="1">
        <f t="shared" si="29"/>
        <v>376.27072223872028</v>
      </c>
      <c r="E370" s="6">
        <f t="shared" si="30"/>
        <v>0.10977775696578529</v>
      </c>
      <c r="F370" s="1">
        <f t="shared" si="32"/>
        <v>52.308143739789251</v>
      </c>
      <c r="G370" s="1">
        <v>3.2979591836734694</v>
      </c>
      <c r="H370" s="1">
        <f t="shared" si="33"/>
        <v>49.010184556115782</v>
      </c>
      <c r="I370" s="10">
        <f ca="1">-SUM(INDIRECT("F"&amp;MAX(220,ROW()-I$1)):INDIRECT("F"&amp;ROW()))/I$1</f>
        <v>-44.532579176815808</v>
      </c>
      <c r="J370" s="1">
        <f t="shared" ca="1" si="31"/>
        <v>-41.84137167455355</v>
      </c>
    </row>
    <row r="371" spans="1:10" x14ac:dyDescent="0.2">
      <c r="A371" s="9">
        <f t="shared" si="28"/>
        <v>44949</v>
      </c>
      <c r="B371" s="1">
        <v>3306.7060856095286</v>
      </c>
      <c r="C371">
        <v>3445</v>
      </c>
      <c r="D371" s="1">
        <f t="shared" si="29"/>
        <v>138.2939143904714</v>
      </c>
      <c r="E371" s="6">
        <f t="shared" si="30"/>
        <v>8.4016492114868502E-2</v>
      </c>
      <c r="F371" s="1">
        <f t="shared" si="32"/>
        <v>34.705266131924041</v>
      </c>
      <c r="G371" s="1">
        <v>2.4816326530612245</v>
      </c>
      <c r="H371" s="1">
        <f t="shared" si="33"/>
        <v>32.223633478862816</v>
      </c>
      <c r="I371" s="10">
        <f ca="1">-SUM(INDIRECT("F"&amp;MAX(220,ROW()-I$1)):INDIRECT("F"&amp;ROW()))/I$1</f>
        <v>-44.829207943263825</v>
      </c>
      <c r="J371" s="1">
        <f t="shared" ca="1" si="31"/>
        <v>-42.58833074173112</v>
      </c>
    </row>
    <row r="372" spans="1:10" x14ac:dyDescent="0.2">
      <c r="A372" s="9">
        <f t="shared" si="28"/>
        <v>44956</v>
      </c>
      <c r="B372" s="1">
        <v>3305.1110993257898</v>
      </c>
      <c r="C372">
        <v>3624</v>
      </c>
      <c r="D372" s="1">
        <f t="shared" si="29"/>
        <v>318.88890067421016</v>
      </c>
      <c r="E372" s="6">
        <f t="shared" si="30"/>
        <v>6.1340658094673511E-2</v>
      </c>
      <c r="F372" s="1">
        <f t="shared" si="32"/>
        <v>33.110784657148983</v>
      </c>
      <c r="G372" s="1">
        <v>1.8414965986394558</v>
      </c>
      <c r="H372" s="1">
        <f t="shared" si="33"/>
        <v>31.269288058509527</v>
      </c>
      <c r="I372" s="10">
        <f ca="1">-SUM(INDIRECT("F"&amp;MAX(220,ROW()-I$1)):INDIRECT("F"&amp;ROW()))/I$1</f>
        <v>-45.173529288469084</v>
      </c>
      <c r="J372" s="1">
        <f t="shared" ca="1" si="31"/>
        <v>-43.234630378415609</v>
      </c>
    </row>
    <row r="373" spans="1:10" x14ac:dyDescent="0.2">
      <c r="A373" s="9">
        <f t="shared" si="28"/>
        <v>44963</v>
      </c>
      <c r="B373" s="1">
        <v>3299.9697453387203</v>
      </c>
      <c r="C373">
        <v>3451</v>
      </c>
      <c r="D373" s="1">
        <f t="shared" si="29"/>
        <v>151.03025466127974</v>
      </c>
      <c r="E373" s="6">
        <f t="shared" si="30"/>
        <v>7.3592592403339083E-2</v>
      </c>
      <c r="F373" s="1">
        <f t="shared" si="32"/>
        <v>31.413937139195323</v>
      </c>
      <c r="G373" s="1">
        <v>1.5591836734693878</v>
      </c>
      <c r="H373" s="1">
        <f t="shared" si="33"/>
        <v>29.854753465725935</v>
      </c>
      <c r="I373" s="10">
        <f ca="1">-SUM(INDIRECT("F"&amp;MAX(220,ROW()-I$1)):INDIRECT("F"&amp;ROW()))/I$1</f>
        <v>-45.369683596558581</v>
      </c>
      <c r="J373" s="1">
        <f t="shared" ca="1" si="31"/>
        <v>-43.768393682951356</v>
      </c>
    </row>
    <row r="374" spans="1:10" x14ac:dyDescent="0.2">
      <c r="A374" s="9">
        <f t="shared" si="28"/>
        <v>44970</v>
      </c>
      <c r="B374" s="1">
        <v>3291.3591700993006</v>
      </c>
      <c r="C374">
        <v>3550</v>
      </c>
      <c r="D374" s="1">
        <f t="shared" si="29"/>
        <v>258.64082990069937</v>
      </c>
      <c r="E374" s="6">
        <f t="shared" si="30"/>
        <v>5.8361296327789906E-2</v>
      </c>
      <c r="F374" s="1">
        <f t="shared" si="32"/>
        <v>29.818028337241476</v>
      </c>
      <c r="G374" s="1">
        <v>1.7755102040816326</v>
      </c>
      <c r="H374" s="1">
        <f t="shared" si="33"/>
        <v>28.042518133159842</v>
      </c>
      <c r="I374" s="10">
        <f ca="1">-SUM(INDIRECT("F"&amp;MAX(220,ROW()-I$1)):INDIRECT("F"&amp;ROW()))/I$1</f>
        <v>-45.508670318208907</v>
      </c>
      <c r="J374" s="1">
        <f t="shared" ca="1" si="31"/>
        <v>-44.203462841765742</v>
      </c>
    </row>
    <row r="375" spans="1:10" x14ac:dyDescent="0.2">
      <c r="A375" s="9">
        <f t="shared" si="28"/>
        <v>44977</v>
      </c>
      <c r="B375" s="1">
        <v>3279.4071210199172</v>
      </c>
      <c r="C375">
        <v>3446</v>
      </c>
      <c r="D375" s="1">
        <f t="shared" si="29"/>
        <v>166.59287898008279</v>
      </c>
      <c r="E375" s="6">
        <f t="shared" si="30"/>
        <v>6.8197654307323205E-2</v>
      </c>
      <c r="F375" s="1">
        <f t="shared" si="32"/>
        <v>29.912017803462636</v>
      </c>
      <c r="G375" s="1">
        <v>2.1931972789115646</v>
      </c>
      <c r="H375" s="1">
        <f t="shared" si="33"/>
        <v>27.71882052455107</v>
      </c>
      <c r="I375" s="10">
        <f ca="1">-SUM(INDIRECT("F"&amp;MAX(220,ROW()-I$1)):INDIRECT("F"&amp;ROW()))/I$1</f>
        <v>-45.605441287453679</v>
      </c>
      <c r="J375" s="1">
        <f t="shared" ca="1" si="31"/>
        <v>-44.553957453187728</v>
      </c>
    </row>
    <row r="376" spans="1:10" x14ac:dyDescent="0.2">
      <c r="A376" s="9">
        <f t="shared" si="28"/>
        <v>44984</v>
      </c>
      <c r="B376" s="1">
        <v>3264.2900893639112</v>
      </c>
      <c r="C376">
        <v>3510</v>
      </c>
      <c r="D376" s="1">
        <f t="shared" si="29"/>
        <v>245.70991063608881</v>
      </c>
      <c r="E376" s="6">
        <f t="shared" si="30"/>
        <v>9.7323054573568366E-2</v>
      </c>
      <c r="F376" s="1">
        <f t="shared" si="32"/>
        <v>42.813641363194847</v>
      </c>
      <c r="G376" s="1">
        <v>2.7517006802721085</v>
      </c>
      <c r="H376" s="1">
        <f t="shared" si="33"/>
        <v>40.061940682922739</v>
      </c>
      <c r="I376" s="10">
        <f ca="1">-SUM(INDIRECT("F"&amp;MAX(220,ROW()-I$1)):INDIRECT("F"&amp;ROW()))/I$1</f>
        <v>-45.675295012795118</v>
      </c>
      <c r="J376" s="1">
        <f t="shared" ca="1" si="31"/>
        <v>-44.834291843089574</v>
      </c>
    </row>
    <row r="377" spans="1:10" x14ac:dyDescent="0.2">
      <c r="A377" s="9">
        <f t="shared" ref="A377:A440" si="34">A376+7</f>
        <v>44991</v>
      </c>
      <c r="B377" s="1">
        <v>3246.2307420828047</v>
      </c>
      <c r="C377">
        <v>3787</v>
      </c>
      <c r="D377" s="1">
        <f t="shared" si="29"/>
        <v>540.76925791719532</v>
      </c>
      <c r="E377" s="6">
        <f t="shared" si="30"/>
        <v>0.12712019846418729</v>
      </c>
      <c r="F377" s="1">
        <f t="shared" si="32"/>
        <v>63.526919517840419</v>
      </c>
      <c r="G377" s="1">
        <v>3.545578231292517</v>
      </c>
      <c r="H377" s="1">
        <f t="shared" si="33"/>
        <v>59.981341286547902</v>
      </c>
      <c r="I377" s="10">
        <f ca="1">-SUM(INDIRECT("F"&amp;MAX(220,ROW()-I$1)):INDIRECT("F"&amp;ROW()))/I$1</f>
        <v>-45.811308626245975</v>
      </c>
      <c r="J377" s="1">
        <f t="shared" ca="1" si="31"/>
        <v>-45.07854603887867</v>
      </c>
    </row>
    <row r="378" spans="1:10" x14ac:dyDescent="0.2">
      <c r="A378" s="9">
        <f t="shared" si="34"/>
        <v>44998</v>
      </c>
      <c r="B378" s="1">
        <v>3225.4946799709478</v>
      </c>
      <c r="C378">
        <v>3677</v>
      </c>
      <c r="D378" s="1">
        <f t="shared" si="29"/>
        <v>451.5053200290522</v>
      </c>
      <c r="E378" s="6">
        <f t="shared" si="30"/>
        <v>0.14105206012642874</v>
      </c>
      <c r="F378" s="1">
        <f t="shared" si="32"/>
        <v>64.871190308545238</v>
      </c>
      <c r="G378" s="1">
        <v>4.4857142857142858</v>
      </c>
      <c r="H378" s="1">
        <f t="shared" si="33"/>
        <v>60.38547602283095</v>
      </c>
      <c r="I378" s="10">
        <f ca="1">-SUM(INDIRECT("F"&amp;MAX(220,ROW()-I$1)):INDIRECT("F"&amp;ROW()))/I$1</f>
        <v>-45.697503106275533</v>
      </c>
      <c r="J378" s="1">
        <f t="shared" ca="1" si="31"/>
        <v>-45.23328530572789</v>
      </c>
    </row>
    <row r="379" spans="1:10" x14ac:dyDescent="0.2">
      <c r="A379" s="9">
        <f t="shared" si="34"/>
        <v>45005</v>
      </c>
      <c r="B379" s="1">
        <v>3202.3865693360331</v>
      </c>
      <c r="C379">
        <v>3575</v>
      </c>
      <c r="D379" s="1">
        <f t="shared" si="29"/>
        <v>372.61343066396694</v>
      </c>
      <c r="E379" s="6">
        <f t="shared" si="30"/>
        <v>0.10709440442734831</v>
      </c>
      <c r="F379" s="1">
        <f t="shared" si="32"/>
        <v>50.053088493982564</v>
      </c>
      <c r="G379" s="1">
        <v>4.5653061224489795</v>
      </c>
      <c r="H379" s="1">
        <f t="shared" si="33"/>
        <v>45.487782371533584</v>
      </c>
      <c r="I379" s="10">
        <f ca="1">-SUM(INDIRECT("F"&amp;MAX(220,ROW()-I$1)):INDIRECT("F"&amp;ROW()))/I$1</f>
        <v>-44.984784052702203</v>
      </c>
      <c r="J379" s="1">
        <f t="shared" ca="1" si="31"/>
        <v>-45.171159992471466</v>
      </c>
    </row>
    <row r="380" spans="1:10" x14ac:dyDescent="0.2">
      <c r="A380" s="9">
        <f t="shared" si="34"/>
        <v>45012</v>
      </c>
      <c r="B380" s="1">
        <v>3177.2457035254743</v>
      </c>
      <c r="C380">
        <v>3382</v>
      </c>
      <c r="D380" s="1">
        <f t="shared" si="29"/>
        <v>204.75429647452574</v>
      </c>
      <c r="E380" s="6">
        <f t="shared" si="30"/>
        <v>7.3326263624423238E-2</v>
      </c>
      <c r="F380" s="1">
        <f t="shared" si="32"/>
        <v>32.274320165833956</v>
      </c>
      <c r="G380" s="1">
        <v>4.1918367346938776</v>
      </c>
      <c r="H380" s="1">
        <f t="shared" si="33"/>
        <v>28.082483431140076</v>
      </c>
      <c r="I380" s="10">
        <f ca="1">-SUM(INDIRECT("F"&amp;MAX(220,ROW()-I$1)):INDIRECT("F"&amp;ROW()))/I$1</f>
        <v>-43.624046932296331</v>
      </c>
      <c r="J380" s="1">
        <f t="shared" ca="1" si="31"/>
        <v>-44.784381727427686</v>
      </c>
    </row>
    <row r="381" spans="1:10" x14ac:dyDescent="0.2">
      <c r="A381" s="9">
        <f t="shared" si="34"/>
        <v>45019</v>
      </c>
      <c r="B381" s="1">
        <v>3150.4410589696677</v>
      </c>
      <c r="C381">
        <v>3272</v>
      </c>
      <c r="D381" s="1">
        <f t="shared" si="29"/>
        <v>121.55894103033233</v>
      </c>
      <c r="E381" s="6">
        <f t="shared" si="30"/>
        <v>2.8561854744555255E-2</v>
      </c>
      <c r="F381" s="1">
        <f t="shared" si="32"/>
        <v>13.982366455466279</v>
      </c>
      <c r="G381" s="1">
        <v>3.4265306122448984</v>
      </c>
      <c r="H381" s="1">
        <f t="shared" si="33"/>
        <v>10.555835843221381</v>
      </c>
      <c r="I381" s="10">
        <f ca="1">-SUM(INDIRECT("F"&amp;MAX(220,ROW()-I$1)):INDIRECT("F"&amp;ROW()))/I$1</f>
        <v>-41.643182337572689</v>
      </c>
      <c r="J381" s="1">
        <f t="shared" ca="1" si="31"/>
        <v>-43.999081879963938</v>
      </c>
    </row>
    <row r="382" spans="1:10" x14ac:dyDescent="0.2">
      <c r="A382" s="9">
        <f t="shared" si="34"/>
        <v>45026</v>
      </c>
      <c r="B382" s="1">
        <v>3122.3659177821346</v>
      </c>
      <c r="C382">
        <v>3066</v>
      </c>
      <c r="D382" s="1">
        <f t="shared" si="29"/>
        <v>-56.365917782134602</v>
      </c>
      <c r="E382" s="6">
        <f t="shared" si="30"/>
        <v>2.1752830313911051E-2</v>
      </c>
      <c r="F382" s="1">
        <f t="shared" si="32"/>
        <v>5.2641060778652546</v>
      </c>
      <c r="G382" s="1">
        <v>2.6598639455782309</v>
      </c>
      <c r="H382" s="1">
        <f t="shared" si="33"/>
        <v>2.6042421322870237</v>
      </c>
      <c r="I382" s="10">
        <f ca="1">-SUM(INDIRECT("F"&amp;MAX(220,ROW()-I$1)):INDIRECT("F"&amp;ROW()))/I$1</f>
        <v>-39.288389943169172</v>
      </c>
      <c r="J382" s="1">
        <f t="shared" ca="1" si="31"/>
        <v>-42.821408895765245</v>
      </c>
    </row>
    <row r="383" spans="1:10" x14ac:dyDescent="0.2">
      <c r="A383" s="9">
        <f t="shared" si="34"/>
        <v>45033</v>
      </c>
      <c r="B383" s="1">
        <v>3093.432135285836</v>
      </c>
      <c r="C383">
        <v>3232</v>
      </c>
      <c r="D383" s="1">
        <f t="shared" si="29"/>
        <v>138.56786471416399</v>
      </c>
      <c r="E383" s="6">
        <f t="shared" si="30"/>
        <v>-8.3900541194890776E-3</v>
      </c>
      <c r="F383" s="1">
        <f t="shared" si="32"/>
        <v>2.1680598437185545</v>
      </c>
      <c r="G383" s="1">
        <v>2.1925170068027211</v>
      </c>
      <c r="H383" s="1">
        <f t="shared" si="33"/>
        <v>-2.4457163084166567E-2</v>
      </c>
      <c r="I383" s="10">
        <f ca="1">-SUM(INDIRECT("F"&amp;MAX(220,ROW()-I$1)):INDIRECT("F"&amp;ROW()))/I$1</f>
        <v>-37.015515631549512</v>
      </c>
      <c r="J383" s="1">
        <f t="shared" ca="1" si="31"/>
        <v>-41.36993557971131</v>
      </c>
    </row>
    <row r="384" spans="1:10" x14ac:dyDescent="0.2">
      <c r="A384" s="9">
        <f t="shared" si="34"/>
        <v>45040</v>
      </c>
      <c r="B384" s="1">
        <v>3064.0641360220739</v>
      </c>
      <c r="C384">
        <v>2904</v>
      </c>
      <c r="D384" s="1">
        <f t="shared" si="29"/>
        <v>-160.06413602207385</v>
      </c>
      <c r="E384" s="6">
        <f t="shared" si="30"/>
        <v>-4.045715692693342E-3</v>
      </c>
      <c r="F384" s="1">
        <f t="shared" si="32"/>
        <v>-7.0447547534872843</v>
      </c>
      <c r="G384" s="1">
        <v>1.8176870748299319</v>
      </c>
      <c r="H384" s="1">
        <f t="shared" si="33"/>
        <v>-8.8624418283172162</v>
      </c>
      <c r="I384" s="10">
        <f ca="1">-SUM(INDIRECT("F"&amp;MAX(220,ROW()-I$1)):INDIRECT("F"&amp;ROW()))/I$1</f>
        <v>-35.143146330070572</v>
      </c>
      <c r="J384" s="1">
        <f t="shared" ca="1" si="31"/>
        <v>-39.813238267301124</v>
      </c>
    </row>
    <row r="385" spans="1:10" x14ac:dyDescent="0.2">
      <c r="A385" s="9">
        <f t="shared" si="34"/>
        <v>45047</v>
      </c>
      <c r="B385" s="1">
        <v>3034.6927257676602</v>
      </c>
      <c r="C385">
        <v>3019</v>
      </c>
      <c r="D385" s="1">
        <f t="shared" si="29"/>
        <v>-15.692725767660249</v>
      </c>
      <c r="E385" s="6">
        <f t="shared" si="30"/>
        <v>-1.9936743515833764E-2</v>
      </c>
      <c r="F385" s="1">
        <f t="shared" si="32"/>
        <v>-7.0427999048803258</v>
      </c>
      <c r="G385" s="1">
        <v>1.6122448979591837</v>
      </c>
      <c r="H385" s="1">
        <f t="shared" si="33"/>
        <v>-8.6550448028395088</v>
      </c>
      <c r="I385" s="10">
        <f ca="1">-SUM(INDIRECT("F"&amp;MAX(220,ROW()-I$1)):INDIRECT("F"&amp;ROW()))/I$1</f>
        <v>-33.812870235158584</v>
      </c>
      <c r="J385" s="1">
        <f t="shared" ca="1" si="31"/>
        <v>-38.313146259265487</v>
      </c>
    </row>
    <row r="386" spans="1:10" x14ac:dyDescent="0.2">
      <c r="A386" s="9">
        <f t="shared" si="34"/>
        <v>45054</v>
      </c>
      <c r="B386" s="1">
        <v>3005.7488097792548</v>
      </c>
      <c r="C386">
        <v>3000</v>
      </c>
      <c r="D386" s="1">
        <f t="shared" si="29"/>
        <v>-5.7488097792547705</v>
      </c>
      <c r="E386" s="6">
        <f t="shared" si="30"/>
        <v>-9.1046246824923165E-3</v>
      </c>
      <c r="F386" s="1">
        <f t="shared" si="32"/>
        <v>-3.1374090781399673</v>
      </c>
      <c r="G386" s="1">
        <v>1.2510204081632654</v>
      </c>
      <c r="H386" s="1">
        <f t="shared" si="33"/>
        <v>-4.3884294863032327</v>
      </c>
      <c r="I386" s="10">
        <f ca="1">-SUM(INDIRECT("F"&amp;MAX(220,ROW()-I$1)):INDIRECT("F"&amp;ROW()))/I$1</f>
        <v>-32.939484852295877</v>
      </c>
      <c r="J386" s="1">
        <f t="shared" ca="1" si="31"/>
        <v>-36.969730907523086</v>
      </c>
    </row>
    <row r="387" spans="1:10" x14ac:dyDescent="0.2">
      <c r="A387" s="9">
        <f t="shared" si="34"/>
        <v>45061</v>
      </c>
      <c r="B387" s="1">
        <v>2977.6571088617493</v>
      </c>
      <c r="C387">
        <v>2917</v>
      </c>
      <c r="D387" s="1">
        <f t="shared" si="29"/>
        <v>-60.657108861749293</v>
      </c>
      <c r="E387" s="6">
        <f t="shared" si="30"/>
        <v>-4.9519786780473094E-3</v>
      </c>
      <c r="F387" s="1">
        <f t="shared" si="32"/>
        <v>-3.7461783000931228</v>
      </c>
      <c r="G387" s="1">
        <v>1.0102040816326532</v>
      </c>
      <c r="H387" s="1">
        <f t="shared" si="33"/>
        <v>-4.7563823817257758</v>
      </c>
      <c r="I387" s="10">
        <f ca="1">-SUM(INDIRECT("F"&amp;MAX(220,ROW()-I$1)):INDIRECT("F"&amp;ROW()))/I$1</f>
        <v>-32.540072614832184</v>
      </c>
      <c r="J387" s="1">
        <f t="shared" ca="1" si="31"/>
        <v>-35.862316334350361</v>
      </c>
    </row>
    <row r="388" spans="1:10" x14ac:dyDescent="0.2">
      <c r="A388" s="9">
        <f t="shared" si="34"/>
        <v>45068</v>
      </c>
      <c r="B388" s="1">
        <v>2950.8299648998541</v>
      </c>
      <c r="C388">
        <v>2973</v>
      </c>
      <c r="D388" s="1">
        <f t="shared" ref="D388:D441" si="35">C388-B388</f>
        <v>22.170035100145924</v>
      </c>
      <c r="E388" s="6">
        <f t="shared" si="30"/>
        <v>-9.166731724614692E-3</v>
      </c>
      <c r="F388" s="1">
        <f t="shared" si="32"/>
        <v>-2.106370173550983</v>
      </c>
      <c r="G388" s="1">
        <v>0.74149659863945583</v>
      </c>
      <c r="H388" s="1">
        <f t="shared" si="33"/>
        <v>-2.8478667721904389</v>
      </c>
      <c r="I388" s="10">
        <f ca="1">-SUM(INDIRECT("F"&amp;MAX(220,ROW()-I$1)):INDIRECT("F"&amp;ROW()))/I$1</f>
        <v>-32.58435849320923</v>
      </c>
      <c r="J388" s="1">
        <f t="shared" ca="1" si="31"/>
        <v>-35.042826874065078</v>
      </c>
    </row>
    <row r="389" spans="1:10" x14ac:dyDescent="0.2">
      <c r="A389" s="9">
        <f t="shared" si="34"/>
        <v>45075</v>
      </c>
      <c r="B389" s="1">
        <v>2925.6613261979701</v>
      </c>
      <c r="C389">
        <v>2883</v>
      </c>
      <c r="D389" s="1">
        <f t="shared" si="35"/>
        <v>-42.661326197970084</v>
      </c>
      <c r="E389" s="6">
        <f t="shared" ref="E389:E441" si="36">AVERAGE(D388:D390)/B389</f>
        <v>1.9253505412864389E-2</v>
      </c>
      <c r="F389" s="1">
        <f t="shared" si="32"/>
        <v>4.5116565122325643</v>
      </c>
      <c r="G389" s="1">
        <v>0.56054421768707485</v>
      </c>
      <c r="H389" s="1">
        <f t="shared" si="33"/>
        <v>3.9511122945454895</v>
      </c>
      <c r="I389" s="10">
        <f ca="1">-SUM(INDIRECT("F"&amp;MAX(220,ROW()-I$1)):INDIRECT("F"&amp;ROW()))/I$1</f>
        <v>-32.835350004638144</v>
      </c>
      <c r="J389" s="1">
        <f t="shared" ca="1" si="31"/>
        <v>-34.490957656708346</v>
      </c>
    </row>
    <row r="390" spans="1:10" x14ac:dyDescent="0.2">
      <c r="A390" s="9">
        <f t="shared" si="34"/>
        <v>45082</v>
      </c>
      <c r="B390" s="1">
        <v>2902.521000361694</v>
      </c>
      <c r="C390">
        <v>3092</v>
      </c>
      <c r="D390" s="1">
        <f t="shared" si="35"/>
        <v>189.47899963830605</v>
      </c>
      <c r="E390" s="6">
        <f t="shared" si="36"/>
        <v>5.4213608884446256E-2</v>
      </c>
      <c r="F390" s="1">
        <f t="shared" si="32"/>
        <v>23.626693375564564</v>
      </c>
      <c r="G390" s="1">
        <v>0.42993197278911566</v>
      </c>
      <c r="H390" s="1">
        <f t="shared" si="33"/>
        <v>23.196761402775447</v>
      </c>
      <c r="I390" s="10">
        <f ca="1">-SUM(INDIRECT("F"&amp;MAX(220,ROW()-I$1)):INDIRECT("F"&amp;ROW()))/I$1</f>
        <v>-33.292484541817863</v>
      </c>
      <c r="J390" s="1">
        <f t="shared" ca="1" si="31"/>
        <v>-34.191339377985727</v>
      </c>
    </row>
    <row r="391" spans="1:10" x14ac:dyDescent="0.2">
      <c r="A391" s="9">
        <f t="shared" si="34"/>
        <v>45089</v>
      </c>
      <c r="B391" s="1">
        <v>2881.7492585628343</v>
      </c>
      <c r="C391">
        <v>3207</v>
      </c>
      <c r="D391" s="1">
        <f t="shared" si="35"/>
        <v>325.25074143716574</v>
      </c>
      <c r="E391" s="6">
        <f t="shared" si="36"/>
        <v>7.7739573069290177E-2</v>
      </c>
      <c r="F391" s="1">
        <f t="shared" si="32"/>
        <v>35.618879021336447</v>
      </c>
      <c r="G391" s="1">
        <v>0.39659863945578228</v>
      </c>
      <c r="H391" s="1">
        <f t="shared" si="33"/>
        <v>35.222280381880665</v>
      </c>
      <c r="I391" s="10">
        <f ca="1">-SUM(INDIRECT("F"&amp;MAX(220,ROW()-I$1)):INDIRECT("F"&amp;ROW()))/I$1</f>
        <v>-33.842719124095723</v>
      </c>
      <c r="J391" s="1">
        <f t="shared" ca="1" si="31"/>
        <v>-34.104184314513226</v>
      </c>
    </row>
    <row r="392" spans="1:10" x14ac:dyDescent="0.2">
      <c r="A392" s="9">
        <f t="shared" si="34"/>
        <v>45096</v>
      </c>
      <c r="B392" s="1">
        <v>2863.651869915217</v>
      </c>
      <c r="C392">
        <v>3021</v>
      </c>
      <c r="D392" s="1">
        <f t="shared" si="35"/>
        <v>157.34813008478295</v>
      </c>
      <c r="E392" s="6">
        <f t="shared" si="36"/>
        <v>6.2636016008073322E-2</v>
      </c>
      <c r="F392" s="1">
        <f t="shared" si="32"/>
        <v>24.837548685052102</v>
      </c>
      <c r="G392" s="1">
        <v>0.33401360544217684</v>
      </c>
      <c r="H392" s="1">
        <f t="shared" si="33"/>
        <v>24.503535079609925</v>
      </c>
      <c r="I392" s="10">
        <f ca="1">-SUM(INDIRECT("F"&amp;MAX(220,ROW()-I$1)):INDIRECT("F"&amp;ROW()))/I$1</f>
        <v>-34.155093393044524</v>
      </c>
      <c r="J392" s="1">
        <f t="shared" ca="1" si="31"/>
        <v>-34.116911584146052</v>
      </c>
    </row>
    <row r="393" spans="1:10" x14ac:dyDescent="0.2">
      <c r="A393" s="9">
        <f t="shared" si="34"/>
        <v>45103</v>
      </c>
      <c r="B393" s="1">
        <v>2848.4956384252728</v>
      </c>
      <c r="C393">
        <v>2904</v>
      </c>
      <c r="D393" s="1">
        <f t="shared" si="35"/>
        <v>55.504361574727227</v>
      </c>
      <c r="E393" s="6">
        <f t="shared" si="36"/>
        <v>1.8998096376303009E-2</v>
      </c>
      <c r="F393" s="1">
        <f t="shared" si="32"/>
        <v>7.7804409133419119</v>
      </c>
      <c r="G393" s="1">
        <v>0.2591836734693877</v>
      </c>
      <c r="H393" s="1">
        <f t="shared" si="33"/>
        <v>7.5212572398725239</v>
      </c>
      <c r="I393" s="10">
        <f ca="1">-SUM(INDIRECT("F"&amp;MAX(220,ROW()-I$1)):INDIRECT("F"&amp;ROW()))/I$1</f>
        <v>-34.110505028689694</v>
      </c>
      <c r="J393" s="1">
        <f t="shared" ca="1" si="31"/>
        <v>-34.115309945281965</v>
      </c>
    </row>
    <row r="394" spans="1:10" x14ac:dyDescent="0.2">
      <c r="A394" s="9">
        <f t="shared" si="34"/>
        <v>45110</v>
      </c>
      <c r="B394" s="1">
        <v>2836.5045076606639</v>
      </c>
      <c r="C394">
        <v>2786</v>
      </c>
      <c r="D394" s="1">
        <f t="shared" si="35"/>
        <v>-50.504507660663876</v>
      </c>
      <c r="E394" s="6">
        <f t="shared" si="36"/>
        <v>1.4706312360571272E-2</v>
      </c>
      <c r="F394" s="1">
        <f t="shared" si="32"/>
        <v>2.6656805801719492</v>
      </c>
      <c r="G394" s="1">
        <v>0.18503401360544217</v>
      </c>
      <c r="H394" s="1">
        <f t="shared" si="33"/>
        <v>2.4806465665665072</v>
      </c>
      <c r="I394" s="10">
        <f ca="1">-SUM(INDIRECT("F"&amp;MAX(220,ROW()-I$1)):INDIRECT("F"&amp;ROW()))/I$1</f>
        <v>-33.992715318349383</v>
      </c>
      <c r="J394" s="1">
        <f t="shared" ca="1" si="31"/>
        <v>-34.084661288548816</v>
      </c>
    </row>
    <row r="395" spans="1:10" x14ac:dyDescent="0.2">
      <c r="A395" s="9">
        <f t="shared" si="34"/>
        <v>45117</v>
      </c>
      <c r="B395" s="1">
        <v>2827.8562900085849</v>
      </c>
      <c r="C395">
        <v>2948</v>
      </c>
      <c r="D395" s="1">
        <f t="shared" si="35"/>
        <v>120.14370999141511</v>
      </c>
      <c r="E395" s="6">
        <f t="shared" si="36"/>
        <v>3.1778057619730017E-3</v>
      </c>
      <c r="F395" s="1">
        <f t="shared" si="32"/>
        <v>5.2536730010242048</v>
      </c>
      <c r="G395" s="1">
        <v>0.18843537414965986</v>
      </c>
      <c r="H395" s="1">
        <f t="shared" si="33"/>
        <v>5.0652376268745449</v>
      </c>
      <c r="I395" s="10">
        <f ca="1">-SUM(INDIRECT("F"&amp;MAX(220,ROW()-I$1)):INDIRECT("F"&amp;ROW()))/I$1</f>
        <v>-33.936500486342567</v>
      </c>
      <c r="J395" s="1">
        <f t="shared" ca="1" si="31"/>
        <v>-34.047621087997257</v>
      </c>
    </row>
    <row r="396" spans="1:10" x14ac:dyDescent="0.2">
      <c r="A396" s="9">
        <f t="shared" si="34"/>
        <v>45124</v>
      </c>
      <c r="B396" s="1">
        <v>2822.6800682934886</v>
      </c>
      <c r="C396">
        <v>2780</v>
      </c>
      <c r="D396" s="1">
        <f t="shared" si="35"/>
        <v>-42.680068293488603</v>
      </c>
      <c r="E396" s="6">
        <f t="shared" si="36"/>
        <v>2.2485643592461343E-2</v>
      </c>
      <c r="F396" s="1">
        <f t="shared" si="32"/>
        <v>5.2760452028602458</v>
      </c>
      <c r="G396" s="1">
        <v>0.20884353741496597</v>
      </c>
      <c r="H396" s="1">
        <f t="shared" si="33"/>
        <v>5.0672016654452801</v>
      </c>
      <c r="I396" s="10">
        <f ca="1">-SUM(INDIRECT("F"&amp;MAX(220,ROW()-I$1)):INDIRECT("F"&amp;ROW()))/I$1</f>
        <v>-33.635497003218298</v>
      </c>
      <c r="J396" s="1">
        <f t="shared" ref="J396:J441" ca="1" si="37">I396+(J395-I396)*J$1</f>
        <v>-33.944590066802519</v>
      </c>
    </row>
    <row r="397" spans="1:10" x14ac:dyDescent="0.2">
      <c r="A397" s="9">
        <f t="shared" si="34"/>
        <v>45131</v>
      </c>
      <c r="B397" s="1">
        <v>2821.054307724351</v>
      </c>
      <c r="C397">
        <v>2934</v>
      </c>
      <c r="D397" s="1">
        <f t="shared" si="35"/>
        <v>112.94569227564898</v>
      </c>
      <c r="E397" s="6">
        <f t="shared" si="36"/>
        <v>3.8118039895749726E-3</v>
      </c>
      <c r="F397" s="1">
        <f t="shared" si="32"/>
        <v>5.1859146596651078</v>
      </c>
      <c r="G397" s="1">
        <v>0.21632653061224497</v>
      </c>
      <c r="H397" s="1">
        <f t="shared" si="33"/>
        <v>4.9695881290528625</v>
      </c>
      <c r="I397" s="10">
        <f ca="1">-SUM(INDIRECT("F"&amp;MAX(220,ROW()-I$1)):INDIRECT("F"&amp;ROW()))/I$1</f>
        <v>-32.977595213797208</v>
      </c>
      <c r="J397" s="1">
        <f t="shared" ca="1" si="37"/>
        <v>-33.702841353551193</v>
      </c>
    </row>
    <row r="398" spans="1:10" x14ac:dyDescent="0.2">
      <c r="A398" s="9">
        <f t="shared" si="34"/>
        <v>45138</v>
      </c>
      <c r="B398" s="1">
        <v>2823.0057057871863</v>
      </c>
      <c r="C398">
        <v>2785</v>
      </c>
      <c r="D398" s="1">
        <f t="shared" si="35"/>
        <v>-38.005705787186344</v>
      </c>
      <c r="E398" s="6">
        <f t="shared" si="36"/>
        <v>1.7054067496484599E-2</v>
      </c>
      <c r="F398" s="1">
        <f t="shared" si="32"/>
        <v>3.8009101343278968</v>
      </c>
      <c r="G398" s="1">
        <v>0.20680272108843537</v>
      </c>
      <c r="H398" s="1">
        <f t="shared" si="33"/>
        <v>3.5941074132394615</v>
      </c>
      <c r="I398" s="10">
        <f ca="1">-SUM(INDIRECT("F"&amp;MAX(220,ROW()-I$1)):INDIRECT("F"&amp;ROW()))/I$1</f>
        <v>-32.149715254227296</v>
      </c>
      <c r="J398" s="1">
        <f t="shared" ca="1" si="37"/>
        <v>-33.31455982872022</v>
      </c>
    </row>
    <row r="399" spans="1:10" x14ac:dyDescent="0.2">
      <c r="A399" s="9">
        <f t="shared" si="34"/>
        <v>45145</v>
      </c>
      <c r="B399" s="1">
        <v>2828.5087969400952</v>
      </c>
      <c r="C399">
        <v>2898</v>
      </c>
      <c r="D399" s="1">
        <f t="shared" si="35"/>
        <v>69.491203059904819</v>
      </c>
      <c r="E399" s="6">
        <f t="shared" si="36"/>
        <v>1.4141630558101054E-2</v>
      </c>
      <c r="F399" s="1">
        <f t="shared" si="32"/>
        <v>6.7675136560679254</v>
      </c>
      <c r="G399" s="1">
        <v>0.21632653061224488</v>
      </c>
      <c r="H399" s="1">
        <f t="shared" si="33"/>
        <v>6.5511871254556802</v>
      </c>
      <c r="I399" s="10">
        <f ca="1">-SUM(INDIRECT("F"&amp;MAX(220,ROW()-I$1)):INDIRECT("F"&amp;ROW()))/I$1</f>
        <v>-31.36196257295591</v>
      </c>
      <c r="J399" s="1">
        <f t="shared" ca="1" si="37"/>
        <v>-32.826410514779141</v>
      </c>
    </row>
    <row r="400" spans="1:10" x14ac:dyDescent="0.2">
      <c r="A400" s="9">
        <f t="shared" si="34"/>
        <v>45152</v>
      </c>
      <c r="B400" s="1">
        <v>2837.4863179627214</v>
      </c>
      <c r="C400">
        <v>2926</v>
      </c>
      <c r="D400" s="1">
        <f t="shared" si="35"/>
        <v>88.513682037278613</v>
      </c>
      <c r="E400" s="6">
        <f t="shared" si="36"/>
        <v>2.4222678487403535E-2</v>
      </c>
      <c r="F400" s="1">
        <f t="shared" si="32"/>
        <v>10.525294229090393</v>
      </c>
      <c r="G400" s="1">
        <v>0.30544217687074832</v>
      </c>
      <c r="H400" s="1">
        <f t="shared" si="33"/>
        <v>10.219852052219645</v>
      </c>
      <c r="I400" s="10">
        <f ca="1">-SUM(INDIRECT("F"&amp;MAX(220,ROW()-I$1)):INDIRECT("F"&amp;ROW()))/I$1</f>
        <v>-30.628915591120272</v>
      </c>
      <c r="J400" s="1">
        <f t="shared" ca="1" si="37"/>
        <v>-32.277036783864425</v>
      </c>
    </row>
    <row r="401" spans="1:10" x14ac:dyDescent="0.2">
      <c r="A401" s="9">
        <f t="shared" si="34"/>
        <v>45159</v>
      </c>
      <c r="B401" s="1">
        <v>2849.810328719931</v>
      </c>
      <c r="C401">
        <v>2898</v>
      </c>
      <c r="D401" s="1">
        <f t="shared" si="35"/>
        <v>48.189671280068978</v>
      </c>
      <c r="E401" s="6">
        <f t="shared" si="36"/>
        <v>1.5720260383681562E-2</v>
      </c>
      <c r="F401" s="1">
        <f t="shared" si="32"/>
        <v>6.521034018386298</v>
      </c>
      <c r="G401" s="1">
        <v>0.29591836734693872</v>
      </c>
      <c r="H401" s="1">
        <f t="shared" si="33"/>
        <v>6.225115651039359</v>
      </c>
      <c r="I401" s="10">
        <f ca="1">-SUM(INDIRECT("F"&amp;MAX(220,ROW()-I$1)):INDIRECT("F"&amp;ROW()))/I$1</f>
        <v>-29.982022683656943</v>
      </c>
      <c r="J401" s="1">
        <f t="shared" ca="1" si="37"/>
        <v>-31.703283258812554</v>
      </c>
    </row>
    <row r="402" spans="1:10" x14ac:dyDescent="0.2">
      <c r="A402" s="9">
        <f t="shared" si="34"/>
        <v>45166</v>
      </c>
      <c r="B402" s="1">
        <v>2865.3040720826002</v>
      </c>
      <c r="C402">
        <v>2863</v>
      </c>
      <c r="D402" s="1">
        <f t="shared" si="35"/>
        <v>-2.3040720826002143</v>
      </c>
      <c r="E402" s="6">
        <f t="shared" si="36"/>
        <v>1.4907208217872489E-2</v>
      </c>
      <c r="F402" s="1">
        <f t="shared" si="32"/>
        <v>4.4941778981271261</v>
      </c>
      <c r="G402" s="1">
        <v>0.34081632653061222</v>
      </c>
      <c r="H402" s="1">
        <f t="shared" si="33"/>
        <v>4.1533615715965135</v>
      </c>
      <c r="I402" s="10">
        <f ca="1">-SUM(INDIRECT("F"&amp;MAX(220,ROW()-I$1)):INDIRECT("F"&amp;ROW()))/I$1</f>
        <v>-29.612085853603315</v>
      </c>
      <c r="J402" s="1">
        <f t="shared" ca="1" si="37"/>
        <v>-31.180483907510244</v>
      </c>
    </row>
    <row r="403" spans="1:10" x14ac:dyDescent="0.2">
      <c r="A403" s="9">
        <f t="shared" si="34"/>
        <v>45173</v>
      </c>
      <c r="B403" s="1">
        <v>2883.744545967309</v>
      </c>
      <c r="C403">
        <v>2966</v>
      </c>
      <c r="D403" s="1">
        <f t="shared" si="35"/>
        <v>82.255454032690977</v>
      </c>
      <c r="E403" s="6">
        <f t="shared" si="36"/>
        <v>1.1106581546990535E-2</v>
      </c>
      <c r="F403" s="1">
        <f t="shared" si="32"/>
        <v>6.3693244969327258</v>
      </c>
      <c r="G403" s="1">
        <v>0.39047619047619048</v>
      </c>
      <c r="H403" s="1">
        <f t="shared" si="33"/>
        <v>5.978848306456535</v>
      </c>
      <c r="I403" s="10">
        <f ca="1">-SUM(INDIRECT("F"&amp;MAX(220,ROW()-I$1)):INDIRECT("F"&amp;ROW()))/I$1</f>
        <v>-29.454584205828855</v>
      </c>
      <c r="J403" s="1">
        <f t="shared" ca="1" si="37"/>
        <v>-30.749008982089897</v>
      </c>
    </row>
    <row r="404" spans="1:10" x14ac:dyDescent="0.2">
      <c r="A404" s="9">
        <f t="shared" si="34"/>
        <v>45180</v>
      </c>
      <c r="B404" s="1">
        <v>2904.8657500686654</v>
      </c>
      <c r="C404">
        <v>2921</v>
      </c>
      <c r="D404" s="1">
        <f t="shared" si="35"/>
        <v>16.13424993133458</v>
      </c>
      <c r="E404" s="6">
        <f t="shared" si="36"/>
        <v>2.019911407211529E-2</v>
      </c>
      <c r="F404" s="1">
        <f t="shared" si="32"/>
        <v>6.8629069243138474</v>
      </c>
      <c r="G404" s="1">
        <v>0.39047619047619048</v>
      </c>
      <c r="H404" s="1">
        <f t="shared" si="33"/>
        <v>6.4724307338376565</v>
      </c>
      <c r="I404" s="10">
        <f ca="1">-SUM(INDIRECT("F"&amp;MAX(220,ROW()-I$1)):INDIRECT("F"&amp;ROW()))/I$1</f>
        <v>-29.306100783206695</v>
      </c>
      <c r="J404" s="1">
        <f t="shared" ca="1" si="37"/>
        <v>-30.388281932369097</v>
      </c>
    </row>
    <row r="405" spans="1:10" x14ac:dyDescent="0.2">
      <c r="A405" s="9">
        <f t="shared" si="34"/>
        <v>45187</v>
      </c>
      <c r="B405" s="1">
        <v>2928.3625600145724</v>
      </c>
      <c r="C405">
        <v>3006</v>
      </c>
      <c r="D405" s="1">
        <f t="shared" si="35"/>
        <v>77.637439985427591</v>
      </c>
      <c r="E405" s="6">
        <f t="shared" si="36"/>
        <v>2.5597526807631679E-2</v>
      </c>
      <c r="F405" s="1">
        <f t="shared" si="32"/>
        <v>10.804069906526479</v>
      </c>
      <c r="G405" s="1">
        <v>0.39047619047619048</v>
      </c>
      <c r="H405" s="1">
        <f t="shared" si="33"/>
        <v>10.413593716050288</v>
      </c>
      <c r="I405" s="10">
        <f ca="1">-SUM(INDIRECT("F"&amp;MAX(220,ROW()-I$1)):INDIRECT("F"&amp;ROW()))/I$1</f>
        <v>-29.198892116580542</v>
      </c>
      <c r="J405" s="1">
        <f t="shared" ca="1" si="37"/>
        <v>-30.090934478421957</v>
      </c>
    </row>
    <row r="406" spans="1:10" x14ac:dyDescent="0.2">
      <c r="A406" s="9">
        <f t="shared" si="34"/>
        <v>45194</v>
      </c>
      <c r="B406" s="1">
        <v>2953.8951725194484</v>
      </c>
      <c r="C406">
        <v>3085</v>
      </c>
      <c r="D406" s="1">
        <f t="shared" si="35"/>
        <v>131.10482748055165</v>
      </c>
      <c r="E406" s="6">
        <f t="shared" si="36"/>
        <v>3.8891947813548433E-2</v>
      </c>
      <c r="F406" s="1">
        <f t="shared" ref="F406:F441" si="38">(0.5*D406+0.25*(D405+D407))/7</f>
        <v>16.991179934625311</v>
      </c>
      <c r="G406" s="1">
        <v>0.39047619047619048</v>
      </c>
      <c r="H406" s="1">
        <f t="shared" si="33"/>
        <v>16.600703744149122</v>
      </c>
      <c r="I406" s="10">
        <f ca="1">-SUM(INDIRECT("F"&amp;MAX(220,ROW()-I$1)):INDIRECT("F"&amp;ROW()))/I$1</f>
        <v>-29.264211567990074</v>
      </c>
      <c r="J406" s="1">
        <f t="shared" ca="1" si="37"/>
        <v>-29.884253750813986</v>
      </c>
    </row>
    <row r="407" spans="1:10" x14ac:dyDescent="0.2">
      <c r="A407" s="9">
        <f t="shared" si="34"/>
        <v>45201</v>
      </c>
      <c r="B407" s="1">
        <v>2981.0940567770222</v>
      </c>
      <c r="C407">
        <v>3117</v>
      </c>
      <c r="D407" s="1">
        <f t="shared" si="35"/>
        <v>135.90594322297784</v>
      </c>
      <c r="E407" s="6">
        <f t="shared" si="36"/>
        <v>4.0079852556639942E-2</v>
      </c>
      <c r="F407" s="1">
        <f t="shared" si="38"/>
        <v>17.655406213652636</v>
      </c>
      <c r="G407" s="1">
        <v>0.39047619047619048</v>
      </c>
      <c r="H407" s="1">
        <f t="shared" si="33"/>
        <v>17.264930023176447</v>
      </c>
      <c r="I407" s="10">
        <f ca="1">-SUM(INDIRECT("F"&amp;MAX(220,ROW()-I$1)):INDIRECT("F"&amp;ROW()))/I$1</f>
        <v>-29.436426434612688</v>
      </c>
      <c r="J407" s="1">
        <f t="shared" ca="1" si="37"/>
        <v>-29.772296921763662</v>
      </c>
    </row>
    <row r="408" spans="1:10" x14ac:dyDescent="0.2">
      <c r="A408" s="9">
        <f t="shared" si="34"/>
        <v>45208</v>
      </c>
      <c r="B408" s="1">
        <v>3009.5653399442335</v>
      </c>
      <c r="C408">
        <v>3101</v>
      </c>
      <c r="D408" s="1">
        <f t="shared" si="35"/>
        <v>91.434660055766471</v>
      </c>
      <c r="E408" s="6">
        <f t="shared" si="36"/>
        <v>3.6045521339379931E-2</v>
      </c>
      <c r="F408" s="1">
        <f t="shared" si="38"/>
        <v>14.888525539479312</v>
      </c>
      <c r="G408" s="1">
        <v>0.39047619047619048</v>
      </c>
      <c r="H408" s="1">
        <f t="shared" si="33"/>
        <v>14.498049349003121</v>
      </c>
      <c r="I408" s="10">
        <f ca="1">-SUM(INDIRECT("F"&amp;MAX(220,ROW()-I$1)):INDIRECT("F"&amp;ROW()))/I$1</f>
        <v>-29.555071150679012</v>
      </c>
      <c r="J408" s="1">
        <f t="shared" ca="1" si="37"/>
        <v>-29.717990478992498</v>
      </c>
    </row>
    <row r="409" spans="1:10" x14ac:dyDescent="0.2">
      <c r="A409" s="9">
        <f t="shared" si="34"/>
        <v>45215</v>
      </c>
      <c r="B409" s="1">
        <v>3038.8965482290901</v>
      </c>
      <c r="C409">
        <v>3137</v>
      </c>
      <c r="D409" s="1">
        <f t="shared" si="35"/>
        <v>98.103451770909942</v>
      </c>
      <c r="E409" s="6">
        <f t="shared" si="36"/>
        <v>5.877961330388471E-2</v>
      </c>
      <c r="F409" s="1">
        <f t="shared" si="38"/>
        <v>22.642105132041348</v>
      </c>
      <c r="G409" s="1">
        <v>1.1673469387755102</v>
      </c>
      <c r="H409" s="1">
        <f t="shared" si="33"/>
        <v>21.474758193265838</v>
      </c>
      <c r="I409" s="10">
        <f ca="1">-SUM(INDIRECT("F"&amp;MAX(220,ROW()-I$1)):INDIRECT("F"&amp;ROW()))/I$1</f>
        <v>-29.703101710200247</v>
      </c>
      <c r="J409" s="1">
        <f t="shared" ca="1" si="37"/>
        <v>-29.714268286794436</v>
      </c>
    </row>
    <row r="410" spans="1:10" x14ac:dyDescent="0.2">
      <c r="A410" s="9">
        <f t="shared" si="34"/>
        <v>45222</v>
      </c>
      <c r="B410" s="1">
        <v>3068.6626199004286</v>
      </c>
      <c r="C410">
        <v>3415</v>
      </c>
      <c r="D410" s="1">
        <f t="shared" si="35"/>
        <v>346.33738009957142</v>
      </c>
      <c r="E410" s="6">
        <f t="shared" si="36"/>
        <v>8.8421660088358583E-2</v>
      </c>
      <c r="F410" s="1">
        <f t="shared" si="38"/>
        <v>41.440932478844083</v>
      </c>
      <c r="H410" s="1">
        <f t="shared" si="33"/>
        <v>41.440932478844083</v>
      </c>
      <c r="I410" s="10">
        <f ca="1">-SUM(INDIRECT("F"&amp;MAX(220,ROW()-I$1)):INDIRECT("F"&amp;ROW()))/I$1</f>
        <v>-29.954820854292375</v>
      </c>
      <c r="J410" s="1">
        <f t="shared" ca="1" si="37"/>
        <v>-29.774406428668922</v>
      </c>
    </row>
    <row r="411" spans="1:10" x14ac:dyDescent="0.2">
      <c r="A411" s="9">
        <f t="shared" si="34"/>
        <v>45229</v>
      </c>
      <c r="B411" s="1">
        <v>3098.4321025624185</v>
      </c>
      <c r="C411">
        <v>3468</v>
      </c>
      <c r="D411" s="1">
        <f t="shared" si="35"/>
        <v>369.56789743758145</v>
      </c>
      <c r="E411" s="6">
        <f t="shared" si="36"/>
        <v>0.11910667466105075</v>
      </c>
      <c r="F411" s="1">
        <f t="shared" si="38"/>
        <v>52.739276094119774</v>
      </c>
      <c r="H411" s="1">
        <f t="shared" si="33"/>
        <v>52.739276094119774</v>
      </c>
      <c r="I411" s="10">
        <f ca="1">-SUM(INDIRECT("F"&amp;MAX(220,ROW()-I$1)):INDIRECT("F"&amp;ROW()))/I$1</f>
        <v>-30.187556148857077</v>
      </c>
      <c r="J411" s="1">
        <f t="shared" ca="1" si="37"/>
        <v>-29.877693858715961</v>
      </c>
    </row>
    <row r="412" spans="1:10" x14ac:dyDescent="0.2">
      <c r="A412" s="9">
        <f t="shared" si="34"/>
        <v>45236</v>
      </c>
      <c r="B412" s="1">
        <v>3127.7734443393806</v>
      </c>
      <c r="C412">
        <v>3519</v>
      </c>
      <c r="D412" s="1">
        <f t="shared" si="35"/>
        <v>391.2265556606194</v>
      </c>
      <c r="E412" s="6">
        <f t="shared" si="36"/>
        <v>0.10908006223127804</v>
      </c>
      <c r="F412" s="1">
        <f t="shared" si="38"/>
        <v>50.527132911509106</v>
      </c>
      <c r="H412" s="1">
        <f t="shared" si="33"/>
        <v>50.527132911509106</v>
      </c>
      <c r="I412" s="10">
        <f ca="1">-SUM(INDIRECT("F"&amp;MAX(220,ROW()-I$1)):INDIRECT("F"&amp;ROW()))/I$1</f>
        <v>-30.394336673610912</v>
      </c>
      <c r="J412" s="1">
        <f t="shared" ca="1" si="37"/>
        <v>-30.006854562439699</v>
      </c>
    </row>
    <row r="413" spans="1:10" x14ac:dyDescent="0.2">
      <c r="A413" s="9">
        <f t="shared" si="34"/>
        <v>45243</v>
      </c>
      <c r="B413" s="1">
        <v>3156.2612872365653</v>
      </c>
      <c r="C413">
        <v>3419</v>
      </c>
      <c r="D413" s="1">
        <f t="shared" si="35"/>
        <v>262.73871276343471</v>
      </c>
      <c r="E413" s="6">
        <f t="shared" si="36"/>
        <v>8.179324914741315E-2</v>
      </c>
      <c r="F413" s="1">
        <f t="shared" si="38"/>
        <v>37.043618224545021</v>
      </c>
      <c r="H413" s="1">
        <f t="shared" si="33"/>
        <v>37.043618224545021</v>
      </c>
      <c r="I413" s="10">
        <f ca="1">-SUM(INDIRECT("F"&amp;MAX(220,ROW()-I$1)):INDIRECT("F"&amp;ROW()))/I$1</f>
        <v>-30.472569463455596</v>
      </c>
      <c r="J413" s="1">
        <f t="shared" ca="1" si="37"/>
        <v>-30.123283287693674</v>
      </c>
    </row>
    <row r="414" spans="1:10" x14ac:dyDescent="0.2">
      <c r="A414" s="9">
        <f t="shared" si="34"/>
        <v>45250</v>
      </c>
      <c r="B414" s="1">
        <v>3183.4826709002282</v>
      </c>
      <c r="C414">
        <v>3304</v>
      </c>
      <c r="D414" s="1">
        <f t="shared" si="35"/>
        <v>120.51732909977181</v>
      </c>
      <c r="E414" s="6">
        <f t="shared" si="36"/>
        <v>7.5830263104273279E-2</v>
      </c>
      <c r="F414" s="1">
        <f t="shared" si="38"/>
        <v>30.168939809519593</v>
      </c>
      <c r="H414" s="1">
        <f t="shared" si="33"/>
        <v>30.168939809519593</v>
      </c>
      <c r="I414" s="10">
        <f ca="1">-SUM(INDIRECT("F"&amp;MAX(220,ROW()-I$1)):INDIRECT("F"&amp;ROW()))/I$1</f>
        <v>-30.332594695561301</v>
      </c>
      <c r="J414" s="1">
        <f t="shared" ca="1" si="37"/>
        <v>-30.175611139660582</v>
      </c>
    </row>
    <row r="415" spans="1:10" x14ac:dyDescent="0.2">
      <c r="A415" s="9">
        <f t="shared" si="34"/>
        <v>45257</v>
      </c>
      <c r="B415" s="1">
        <v>3209.0430562964298</v>
      </c>
      <c r="C415">
        <v>3550</v>
      </c>
      <c r="D415" s="1">
        <f t="shared" si="35"/>
        <v>340.95694370357023</v>
      </c>
      <c r="E415" s="6">
        <f t="shared" si="36"/>
        <v>8.6308407915078267E-2</v>
      </c>
      <c r="F415" s="1">
        <f t="shared" si="38"/>
        <v>41.852111966543411</v>
      </c>
      <c r="H415" s="1">
        <f t="shared" si="33"/>
        <v>41.852111966543411</v>
      </c>
      <c r="I415" s="10">
        <f ca="1">-SUM(INDIRECT("F"&amp;MAX(220,ROW()-I$1)):INDIRECT("F"&amp;ROW()))/I$1</f>
        <v>-30.216937671403638</v>
      </c>
      <c r="J415" s="1">
        <f t="shared" ca="1" si="37"/>
        <v>-30.185942772596345</v>
      </c>
    </row>
    <row r="416" spans="1:10" x14ac:dyDescent="0.2">
      <c r="A416" s="9">
        <f t="shared" si="34"/>
        <v>45264</v>
      </c>
      <c r="B416" s="1">
        <v>3232.5720814436968</v>
      </c>
      <c r="C416">
        <v>3602</v>
      </c>
      <c r="D416" s="1">
        <f t="shared" si="35"/>
        <v>369.42791855630321</v>
      </c>
      <c r="E416" s="6">
        <f t="shared" si="36"/>
        <v>0.11225899681940102</v>
      </c>
      <c r="F416" s="1">
        <f t="shared" si="38"/>
        <v>52.074421985147168</v>
      </c>
      <c r="H416" s="1">
        <f t="shared" si="33"/>
        <v>52.074421985147168</v>
      </c>
      <c r="I416" s="10">
        <f ca="1">-SUM(INDIRECT("F"&amp;MAX(220,ROW()-I$1)):INDIRECT("F"&amp;ROW()))/I$1</f>
        <v>-30.336892224794813</v>
      </c>
      <c r="J416" s="1">
        <f t="shared" ca="1" si="37"/>
        <v>-30.223680135645964</v>
      </c>
    </row>
    <row r="417" spans="1:10" x14ac:dyDescent="0.2">
      <c r="A417" s="9">
        <f t="shared" si="34"/>
        <v>45271</v>
      </c>
      <c r="B417" s="1">
        <v>3253.728965232056</v>
      </c>
      <c r="C417">
        <v>3632</v>
      </c>
      <c r="D417" s="1">
        <f t="shared" si="35"/>
        <v>378.271034767944</v>
      </c>
      <c r="E417" s="6">
        <f t="shared" si="36"/>
        <v>0.14122170670134035</v>
      </c>
      <c r="F417" s="1">
        <f t="shared" si="38"/>
        <v>62.74151812888983</v>
      </c>
      <c r="H417" s="1">
        <f t="shared" si="33"/>
        <v>62.74151812888983</v>
      </c>
      <c r="I417" s="10">
        <f ca="1">-SUM(INDIRECT("F"&amp;MAX(220,ROW()-I$1)):INDIRECT("F"&amp;ROW()))/I$1</f>
        <v>-30.804498984830882</v>
      </c>
      <c r="J417" s="1">
        <f t="shared" ca="1" si="37"/>
        <v>-30.368884847942194</v>
      </c>
    </row>
    <row r="418" spans="1:10" x14ac:dyDescent="0.2">
      <c r="A418" s="9">
        <f t="shared" si="34"/>
        <v>45278</v>
      </c>
      <c r="B418" s="1">
        <v>3272.207480483276</v>
      </c>
      <c r="C418">
        <v>3903</v>
      </c>
      <c r="D418" s="1">
        <f t="shared" si="35"/>
        <v>630.79251951672404</v>
      </c>
      <c r="E418" s="6">
        <f t="shared" si="36"/>
        <v>0.12033906138803412</v>
      </c>
      <c r="F418" s="1">
        <f t="shared" si="38"/>
        <v>64.718416075768147</v>
      </c>
      <c r="H418" s="1">
        <f t="shared" si="33"/>
        <v>64.718416075768147</v>
      </c>
      <c r="I418" s="10">
        <f ca="1">-SUM(INDIRECT("F"&amp;MAX(220,ROW()-I$1)):INDIRECT("F"&amp;ROW()))/I$1</f>
        <v>-31.327778035376078</v>
      </c>
      <c r="J418" s="1">
        <f t="shared" ca="1" si="37"/>
        <v>-30.608608144800666</v>
      </c>
    </row>
    <row r="419" spans="1:10" x14ac:dyDescent="0.2">
      <c r="A419" s="9">
        <f t="shared" si="34"/>
        <v>45285</v>
      </c>
      <c r="B419" s="1">
        <v>3287.7404236798839</v>
      </c>
      <c r="C419">
        <v>3460</v>
      </c>
      <c r="D419" s="1">
        <f t="shared" si="35"/>
        <v>172.25957632011614</v>
      </c>
      <c r="E419" s="6">
        <f t="shared" si="36"/>
        <v>0.12085810209142987</v>
      </c>
      <c r="F419" s="1">
        <f t="shared" si="38"/>
        <v>48.725349273063898</v>
      </c>
      <c r="H419" s="1">
        <f t="shared" ref="H419:H441" si="39">F419-G419</f>
        <v>48.725349273063898</v>
      </c>
      <c r="I419" s="10">
        <f ca="1">-SUM(INDIRECT("F"&amp;MAX(220,ROW()-I$1)):INDIRECT("F"&amp;ROW()))/I$1</f>
        <v>-31.552433643307893</v>
      </c>
      <c r="J419" s="1">
        <f t="shared" ca="1" si="37"/>
        <v>-30.844564519427472</v>
      </c>
    </row>
    <row r="420" spans="1:10" x14ac:dyDescent="0.2">
      <c r="A420" s="9">
        <f t="shared" si="34"/>
        <v>45292</v>
      </c>
      <c r="B420" s="1">
        <v>3316.0018925111672</v>
      </c>
      <c r="C420">
        <v>3705</v>
      </c>
      <c r="D420" s="1">
        <f t="shared" si="35"/>
        <v>388.99810748883283</v>
      </c>
      <c r="E420" s="6">
        <f t="shared" si="36"/>
        <v>8.7776047770341536E-2</v>
      </c>
      <c r="F420" s="1">
        <f t="shared" si="38"/>
        <v>45.078383180701508</v>
      </c>
      <c r="H420" s="1">
        <f t="shared" si="39"/>
        <v>45.078383180701508</v>
      </c>
      <c r="I420" s="10">
        <f ca="1">-SUM(INDIRECT("F"&amp;MAX(220,ROW()-I$1)):INDIRECT("F"&amp;ROW()))/I$1</f>
        <v>-31.777406757619527</v>
      </c>
      <c r="J420" s="1">
        <f t="shared" ca="1" si="37"/>
        <v>-31.077775078975485</v>
      </c>
    </row>
    <row r="421" spans="1:10" x14ac:dyDescent="0.2">
      <c r="A421" s="9">
        <f t="shared" si="34"/>
        <v>45299</v>
      </c>
      <c r="B421" s="1">
        <v>3325.0610622381396</v>
      </c>
      <c r="C421">
        <v>3637</v>
      </c>
      <c r="D421" s="1">
        <f t="shared" si="35"/>
        <v>311.93893776186042</v>
      </c>
      <c r="E421" s="6">
        <f t="shared" si="36"/>
        <v>0.12103143821517934</v>
      </c>
      <c r="F421" s="1">
        <f t="shared" si="38"/>
        <v>54.258918046777936</v>
      </c>
      <c r="H421" s="1">
        <f t="shared" si="39"/>
        <v>54.258918046777936</v>
      </c>
      <c r="I421" s="10">
        <f ca="1">-SUM(INDIRECT("F"&amp;MAX(220,ROW()-I$1)):INDIRECT("F"&amp;ROW()))/I$1</f>
        <v>-32.273975178279208</v>
      </c>
      <c r="J421" s="1">
        <f t="shared" ca="1" si="37"/>
        <v>-31.376825103801416</v>
      </c>
    </row>
    <row r="422" spans="1:10" x14ac:dyDescent="0.2">
      <c r="A422" s="9">
        <f t="shared" si="34"/>
        <v>45306</v>
      </c>
      <c r="B422" s="1">
        <v>3330.6262777027714</v>
      </c>
      <c r="C422">
        <v>3837</v>
      </c>
      <c r="D422" s="1">
        <f t="shared" si="35"/>
        <v>506.3737222972286</v>
      </c>
      <c r="E422" s="6">
        <f t="shared" si="36"/>
        <v>0.13828170923978636</v>
      </c>
      <c r="F422" s="1">
        <f t="shared" si="38"/>
        <v>67.430993066296011</v>
      </c>
      <c r="H422" s="1">
        <f t="shared" si="39"/>
        <v>67.430993066296011</v>
      </c>
      <c r="I422" s="10">
        <f ca="1">-SUM(INDIRECT("F"&amp;MAX(220,ROW()-I$1)):INDIRECT("F"&amp;ROW()))/I$1</f>
        <v>-33.122963259514684</v>
      </c>
      <c r="J422" s="1">
        <f t="shared" ca="1" si="37"/>
        <v>-31.813359642729733</v>
      </c>
    </row>
    <row r="423" spans="1:10" x14ac:dyDescent="0.2">
      <c r="A423" s="9">
        <f t="shared" si="34"/>
        <v>45313</v>
      </c>
      <c r="B423" s="1">
        <v>3332.6185765000291</v>
      </c>
      <c r="C423">
        <v>3896</v>
      </c>
      <c r="D423" s="1">
        <f t="shared" si="35"/>
        <v>563.38142349997088</v>
      </c>
      <c r="E423" s="6">
        <f t="shared" si="36"/>
        <v>0.17561206142070057</v>
      </c>
      <c r="F423" s="1">
        <f t="shared" si="38"/>
        <v>82.825909926580124</v>
      </c>
      <c r="H423" s="1">
        <f t="shared" si="39"/>
        <v>82.825909926580124</v>
      </c>
      <c r="I423" s="10">
        <f ca="1">-SUM(INDIRECT("F"&amp;MAX(220,ROW()-I$1)):INDIRECT("F"&amp;ROW()))/I$1</f>
        <v>-34.269697683669051</v>
      </c>
      <c r="J423" s="1">
        <f t="shared" ca="1" si="37"/>
        <v>-32.427444152964561</v>
      </c>
    </row>
    <row r="424" spans="1:10" x14ac:dyDescent="0.2">
      <c r="A424" s="9">
        <f t="shared" si="34"/>
        <v>45320</v>
      </c>
      <c r="B424" s="1">
        <v>3331.011091352927</v>
      </c>
      <c r="C424">
        <v>4017</v>
      </c>
      <c r="D424" s="1">
        <f t="shared" si="35"/>
        <v>685.988908647073</v>
      </c>
      <c r="E424" s="6">
        <f t="shared" si="36"/>
        <v>0.1725743162172225</v>
      </c>
      <c r="F424" s="1">
        <f t="shared" si="38"/>
        <v>86.090349744775693</v>
      </c>
      <c r="H424" s="1">
        <f t="shared" si="39"/>
        <v>86.090349744775693</v>
      </c>
      <c r="I424" s="10">
        <f ca="1">-SUM(INDIRECT("F"&amp;MAX(220,ROW()-I$1)):INDIRECT("F"&amp;ROW()))/I$1</f>
        <v>-35.274760477093523</v>
      </c>
      <c r="J424" s="1">
        <f t="shared" ca="1" si="37"/>
        <v>-33.139273233996803</v>
      </c>
    </row>
    <row r="425" spans="1:10" x14ac:dyDescent="0.2">
      <c r="A425" s="9">
        <f t="shared" si="34"/>
        <v>45327</v>
      </c>
      <c r="B425" s="1">
        <v>3325.8294479403976</v>
      </c>
      <c r="C425">
        <v>3801</v>
      </c>
      <c r="D425" s="1">
        <f t="shared" si="35"/>
        <v>475.17055205960241</v>
      </c>
      <c r="E425" s="6">
        <f t="shared" si="36"/>
        <v>0.14462638428845065</v>
      </c>
      <c r="F425" s="1">
        <f t="shared" si="38"/>
        <v>68.506379125236549</v>
      </c>
      <c r="H425" s="1">
        <f t="shared" si="39"/>
        <v>68.506379125236549</v>
      </c>
      <c r="I425" s="10">
        <f ca="1">-SUM(INDIRECT("F"&amp;MAX(220,ROW()-I$1)):INDIRECT("F"&amp;ROW()))/I$1</f>
        <v>-35.734220468750991</v>
      </c>
      <c r="J425" s="1">
        <f t="shared" ca="1" si="37"/>
        <v>-33.78801004268535</v>
      </c>
    </row>
    <row r="426" spans="1:10" x14ac:dyDescent="0.2">
      <c r="A426" s="9">
        <f t="shared" si="34"/>
        <v>45334</v>
      </c>
      <c r="B426" s="1">
        <v>3317.1513972596545</v>
      </c>
      <c r="C426">
        <v>3599</v>
      </c>
      <c r="D426" s="1">
        <f t="shared" si="35"/>
        <v>281.84860274034554</v>
      </c>
      <c r="E426" s="6">
        <f t="shared" si="36"/>
        <v>8.9124006392624799E-2</v>
      </c>
      <c r="F426" s="1">
        <f t="shared" si="38"/>
        <v>41.741502490870239</v>
      </c>
      <c r="H426" s="1">
        <f t="shared" si="39"/>
        <v>41.741502490870239</v>
      </c>
      <c r="I426" s="10">
        <f ca="1">-SUM(INDIRECT("F"&amp;MAX(220,ROW()-I$1)):INDIRECT("F"&amp;ROW()))/I$1</f>
        <v>-35.664161200485282</v>
      </c>
      <c r="J426" s="1">
        <f t="shared" ca="1" si="37"/>
        <v>-34.257047832135335</v>
      </c>
    </row>
    <row r="427" spans="1:10" x14ac:dyDescent="0.2">
      <c r="A427" s="9">
        <f t="shared" si="34"/>
        <v>45341</v>
      </c>
      <c r="B427" s="1">
        <v>3305.1056877959268</v>
      </c>
      <c r="C427">
        <v>3435</v>
      </c>
      <c r="D427" s="1">
        <f t="shared" si="35"/>
        <v>129.89431220407323</v>
      </c>
      <c r="E427" s="6">
        <f t="shared" si="36"/>
        <v>6.5844865767943767E-2</v>
      </c>
      <c r="F427" s="1">
        <f t="shared" si="38"/>
        <v>27.955965474623003</v>
      </c>
      <c r="H427" s="1">
        <f t="shared" si="39"/>
        <v>27.955965474623003</v>
      </c>
      <c r="I427" s="10">
        <f ca="1">-SUM(INDIRECT("F"&amp;MAX(220,ROW()-I$1)):INDIRECT("F"&amp;ROW()))/I$1</f>
        <v>-35.372466894189856</v>
      </c>
      <c r="J427" s="1">
        <f t="shared" ca="1" si="37"/>
        <v>-34.535902597648963</v>
      </c>
    </row>
    <row r="428" spans="1:10" x14ac:dyDescent="0.2">
      <c r="A428" s="9">
        <f t="shared" si="34"/>
        <v>45348</v>
      </c>
      <c r="B428" s="1">
        <v>3289.870193859048</v>
      </c>
      <c r="C428">
        <v>3531</v>
      </c>
      <c r="D428" s="1">
        <f t="shared" si="35"/>
        <v>241.12980614095204</v>
      </c>
      <c r="E428" s="6">
        <f t="shared" si="36"/>
        <v>6.6401281553362876E-2</v>
      </c>
      <c r="F428" s="1">
        <f t="shared" si="38"/>
        <v>32.017307042510915</v>
      </c>
      <c r="H428" s="1">
        <f t="shared" si="39"/>
        <v>32.017307042510915</v>
      </c>
      <c r="I428" s="10">
        <f ca="1">-SUM(INDIRECT("F"&amp;MAX(220,ROW()-I$1)):INDIRECT("F"&amp;ROW()))/I$1</f>
        <v>-35.168378909898706</v>
      </c>
      <c r="J428" s="1">
        <f t="shared" ca="1" si="37"/>
        <v>-34.694021675711397</v>
      </c>
    </row>
    <row r="429" spans="1:10" x14ac:dyDescent="0.2">
      <c r="A429" s="9">
        <f t="shared" si="34"/>
        <v>45355</v>
      </c>
      <c r="B429" s="1">
        <v>3271.6693272956718</v>
      </c>
      <c r="C429">
        <v>3556</v>
      </c>
      <c r="D429" s="1">
        <f t="shared" si="35"/>
        <v>284.33067270432821</v>
      </c>
      <c r="E429" s="6">
        <f t="shared" si="36"/>
        <v>6.9453810925431139E-2</v>
      </c>
      <c r="F429" s="1">
        <f t="shared" si="38"/>
        <v>34.500727903925231</v>
      </c>
      <c r="H429" s="1">
        <f t="shared" si="39"/>
        <v>34.500727903925231</v>
      </c>
      <c r="I429" s="10">
        <f ca="1">-SUM(INDIRECT("F"&amp;MAX(220,ROW()-I$1)):INDIRECT("F"&amp;ROW()))/I$1</f>
        <v>-35.128702251600465</v>
      </c>
      <c r="J429" s="1">
        <f t="shared" ca="1" si="37"/>
        <v>-34.802691819683666</v>
      </c>
    </row>
    <row r="430" spans="1:10" x14ac:dyDescent="0.2">
      <c r="A430" s="9">
        <f t="shared" si="34"/>
        <v>45362</v>
      </c>
      <c r="B430" s="1">
        <v>3250.770770239702</v>
      </c>
      <c r="C430">
        <v>3407</v>
      </c>
      <c r="D430" s="1">
        <f t="shared" si="35"/>
        <v>156.22922976029804</v>
      </c>
      <c r="E430" s="6">
        <f t="shared" si="36"/>
        <v>5.9070947242142867E-2</v>
      </c>
      <c r="F430" s="1">
        <f t="shared" si="38"/>
        <v>26.15384127698881</v>
      </c>
      <c r="H430" s="1">
        <f t="shared" si="39"/>
        <v>26.15384127698881</v>
      </c>
      <c r="I430" s="10">
        <f ca="1">-SUM(INDIRECT("F"&amp;MAX(220,ROW()-I$1)):INDIRECT("F"&amp;ROW()))/I$1</f>
        <v>-35.169643464955819</v>
      </c>
      <c r="J430" s="1">
        <f t="shared" ca="1" si="37"/>
        <v>-34.894429731001708</v>
      </c>
    </row>
    <row r="431" spans="1:10" x14ac:dyDescent="0.2">
      <c r="A431" s="9">
        <f t="shared" si="34"/>
        <v>45369</v>
      </c>
      <c r="B431" s="1">
        <v>3227.4815764692376</v>
      </c>
      <c r="C431">
        <v>3363</v>
      </c>
      <c r="D431" s="1">
        <f t="shared" si="35"/>
        <v>135.51842353076245</v>
      </c>
      <c r="E431" s="6">
        <f t="shared" si="36"/>
        <v>5.5523575931882035E-2</v>
      </c>
      <c r="F431" s="1">
        <f t="shared" si="38"/>
        <v>24.040084952510092</v>
      </c>
      <c r="H431" s="1">
        <f t="shared" si="39"/>
        <v>24.040084952510092</v>
      </c>
      <c r="I431" s="10">
        <f ca="1">-SUM(INDIRECT("F"&amp;MAX(220,ROW()-I$1)):INDIRECT("F"&amp;ROW()))/I$1</f>
        <v>-35.316628339016347</v>
      </c>
      <c r="J431" s="1">
        <f t="shared" ca="1" si="37"/>
        <v>-34.999979383005368</v>
      </c>
    </row>
    <row r="432" spans="1:10" x14ac:dyDescent="0.2">
      <c r="A432" s="9">
        <f t="shared" si="34"/>
        <v>45376</v>
      </c>
      <c r="B432" s="1">
        <v>3202.1436981515403</v>
      </c>
      <c r="C432">
        <v>3448</v>
      </c>
      <c r="D432" s="1">
        <f t="shared" si="35"/>
        <v>245.85630184845968</v>
      </c>
      <c r="E432" s="6">
        <f t="shared" si="36"/>
        <v>6.2691931718859367E-2</v>
      </c>
      <c r="F432" s="1">
        <f t="shared" si="38"/>
        <v>30.289358002997719</v>
      </c>
      <c r="H432" s="1">
        <f t="shared" si="39"/>
        <v>30.289358002997719</v>
      </c>
      <c r="I432" s="10">
        <f ca="1">-SUM(INDIRECT("F"&amp;MAX(220,ROW()-I$1)):INDIRECT("F"&amp;ROW()))/I$1</f>
        <v>-35.495059768401674</v>
      </c>
      <c r="J432" s="1">
        <f t="shared" ca="1" si="37"/>
        <v>-35.123749479354444</v>
      </c>
    </row>
    <row r="433" spans="1:10" x14ac:dyDescent="0.2">
      <c r="A433" s="9">
        <f t="shared" si="34"/>
        <v>45383</v>
      </c>
      <c r="B433" s="1">
        <v>3175.1290031437456</v>
      </c>
      <c r="C433">
        <v>3396</v>
      </c>
      <c r="D433" s="1">
        <f t="shared" si="35"/>
        <v>220.87099685625435</v>
      </c>
      <c r="E433" s="6">
        <f t="shared" si="36"/>
        <v>7.6101206442651198E-2</v>
      </c>
      <c r="F433" s="1">
        <f t="shared" si="38"/>
        <v>33.777301432397458</v>
      </c>
      <c r="H433" s="1">
        <f t="shared" si="39"/>
        <v>33.777301432397458</v>
      </c>
      <c r="I433" s="10">
        <f ca="1">-SUM(INDIRECT("F"&amp;MAX(220,ROW()-I$1)):INDIRECT("F"&amp;ROW()))/I$1</f>
        <v>-35.550690100430167</v>
      </c>
      <c r="J433" s="1">
        <f t="shared" ca="1" si="37"/>
        <v>-35.230484634623373</v>
      </c>
    </row>
    <row r="434" spans="1:10" x14ac:dyDescent="0.2">
      <c r="A434" s="9">
        <f t="shared" si="34"/>
        <v>45390</v>
      </c>
      <c r="B434" s="1">
        <v>3146.8338554538395</v>
      </c>
      <c r="C434">
        <v>3405</v>
      </c>
      <c r="D434" s="1">
        <f t="shared" si="35"/>
        <v>258.16614454616047</v>
      </c>
      <c r="E434" s="6">
        <f t="shared" si="36"/>
        <v>6.2111509588263905E-2</v>
      </c>
      <c r="F434" s="1">
        <f t="shared" si="38"/>
        <v>30.161783860830155</v>
      </c>
      <c r="H434" s="1">
        <f t="shared" si="39"/>
        <v>30.161783860830155</v>
      </c>
      <c r="I434" s="10">
        <f ca="1">-SUM(INDIRECT("F"&amp;MAX(220,ROW()-I$1)):INDIRECT("F"&amp;ROW()))/I$1</f>
        <v>-35.394506451310555</v>
      </c>
      <c r="J434" s="1">
        <f t="shared" ca="1" si="37"/>
        <v>-35.271490088795169</v>
      </c>
    </row>
    <row r="435" spans="1:10" x14ac:dyDescent="0.2">
      <c r="A435" s="9">
        <f t="shared" si="34"/>
        <v>45397</v>
      </c>
      <c r="B435" s="1">
        <v>3117.6733378453309</v>
      </c>
      <c r="C435">
        <v>3225</v>
      </c>
      <c r="D435" s="1">
        <f t="shared" si="35"/>
        <v>107.32666215466907</v>
      </c>
      <c r="E435" s="6">
        <f t="shared" si="36"/>
        <v>6.3125878598522048E-2</v>
      </c>
      <c r="F435" s="1">
        <f t="shared" si="38"/>
        <v>24.919438144953183</v>
      </c>
      <c r="H435" s="1">
        <f t="shared" si="39"/>
        <v>24.919438144953183</v>
      </c>
      <c r="I435" s="10">
        <f ca="1">-SUM(INDIRECT("F"&amp;MAX(220,ROW()-I$1)):INDIRECT("F"&amp;ROW()))/I$1</f>
        <v>-34.816516933544662</v>
      </c>
      <c r="J435" s="1">
        <f t="shared" ca="1" si="37"/>
        <v>-35.15774679998254</v>
      </c>
    </row>
    <row r="436" spans="1:10" x14ac:dyDescent="0.2">
      <c r="A436" s="9">
        <f t="shared" si="34"/>
        <v>45404</v>
      </c>
      <c r="B436" s="1">
        <v>3088.0752007968094</v>
      </c>
      <c r="C436">
        <v>3313</v>
      </c>
      <c r="D436" s="1">
        <f t="shared" si="35"/>
        <v>224.92479920319056</v>
      </c>
      <c r="E436" s="6">
        <f t="shared" si="36"/>
        <v>5.4270897202696934E-2</v>
      </c>
      <c r="F436" s="1">
        <f t="shared" si="38"/>
        <v>25.989379804754094</v>
      </c>
      <c r="H436" s="1">
        <f t="shared" si="39"/>
        <v>25.989379804754094</v>
      </c>
      <c r="I436" s="10">
        <f ca="1">-SUM(INDIRECT("F"&amp;MAX(220,ROW()-I$1)):INDIRECT("F"&amp;ROW()))/I$1</f>
        <v>-33.70874376339443</v>
      </c>
      <c r="J436" s="1">
        <f t="shared" ca="1" si="37"/>
        <v>-34.795496040835516</v>
      </c>
    </row>
    <row r="437" spans="1:10" x14ac:dyDescent="0.2">
      <c r="A437" s="9">
        <f t="shared" si="34"/>
        <v>45411</v>
      </c>
      <c r="B437" s="1">
        <v>3058.4736260279356</v>
      </c>
      <c r="C437">
        <v>3229</v>
      </c>
      <c r="D437" s="1">
        <f t="shared" si="35"/>
        <v>170.52637397206445</v>
      </c>
      <c r="E437" s="6">
        <f t="shared" si="36"/>
        <v>4.2303048853551753E-2</v>
      </c>
      <c r="F437" s="1">
        <f t="shared" si="38"/>
        <v>19.952666129626518</v>
      </c>
      <c r="H437" s="1">
        <f t="shared" si="39"/>
        <v>19.952666129626518</v>
      </c>
      <c r="I437" s="10">
        <f ca="1">-SUM(INDIRECT("F"&amp;MAX(220,ROW()-I$1)):INDIRECT("F"&amp;ROW()))/I$1</f>
        <v>-32.182626838008652</v>
      </c>
      <c r="J437" s="1">
        <f t="shared" ca="1" si="37"/>
        <v>-34.142278740128802</v>
      </c>
    </row>
    <row r="438" spans="1:10" x14ac:dyDescent="0.2">
      <c r="A438" s="9">
        <f t="shared" si="34"/>
        <v>45418</v>
      </c>
      <c r="B438" s="1">
        <v>3029.302895517777</v>
      </c>
      <c r="C438">
        <v>3022</v>
      </c>
      <c r="D438" s="1">
        <f t="shared" si="35"/>
        <v>-7.3028955177769603</v>
      </c>
      <c r="E438" s="6">
        <f t="shared" si="36"/>
        <v>3.6447595541342907E-2</v>
      </c>
      <c r="F438" s="1">
        <f t="shared" si="38"/>
        <v>11.568911593084847</v>
      </c>
      <c r="H438" s="1">
        <f t="shared" si="39"/>
        <v>11.568911593084847</v>
      </c>
      <c r="I438" s="10">
        <f ca="1">-SUM(INDIRECT("F"&amp;MAX(220,ROW()-I$1)):INDIRECT("F"&amp;ROW()))/I$1</f>
        <v>-30.590926122090735</v>
      </c>
      <c r="J438" s="1">
        <f t="shared" ca="1" si="37"/>
        <v>-33.254440585619285</v>
      </c>
    </row>
    <row r="439" spans="1:10" x14ac:dyDescent="0.2">
      <c r="A439" s="9">
        <f t="shared" si="34"/>
        <v>45425</v>
      </c>
      <c r="B439" s="1">
        <v>3000.9910583301348</v>
      </c>
      <c r="C439">
        <v>3169</v>
      </c>
      <c r="D439" s="1">
        <f t="shared" si="35"/>
        <v>168.00894166986518</v>
      </c>
      <c r="E439" s="6">
        <f t="shared" si="36"/>
        <v>3.3405892998151027E-2</v>
      </c>
      <c r="F439" s="1">
        <f t="shared" si="38"/>
        <v>16.741475007814952</v>
      </c>
      <c r="H439" s="1">
        <f t="shared" si="39"/>
        <v>16.741475007814952</v>
      </c>
      <c r="I439" s="10">
        <f ca="1">-SUM(INDIRECT("F"&amp;MAX(220,ROW()-I$1)):INDIRECT("F"&amp;ROW()))/I$1</f>
        <v>-29.332549958752388</v>
      </c>
      <c r="J439" s="1">
        <f t="shared" ca="1" si="37"/>
        <v>-32.273967928902564</v>
      </c>
    </row>
    <row r="440" spans="1:10" x14ac:dyDescent="0.2">
      <c r="A440" s="9">
        <f t="shared" si="34"/>
        <v>45432</v>
      </c>
      <c r="B440" s="1">
        <v>2973.9536876031348</v>
      </c>
      <c r="C440">
        <v>3114</v>
      </c>
      <c r="D440" s="1">
        <f t="shared" si="35"/>
        <v>140.04631239686523</v>
      </c>
      <c r="E440" s="6">
        <f t="shared" si="36"/>
        <v>3.8273117335797364E-2</v>
      </c>
      <c r="F440" s="1">
        <f t="shared" si="38"/>
        <v>17.196919560980405</v>
      </c>
      <c r="H440" s="1">
        <f t="shared" si="39"/>
        <v>17.196919560980405</v>
      </c>
      <c r="I440" s="10">
        <f ca="1">-SUM(INDIRECT("F"&amp;MAX(220,ROW()-I$1)):INDIRECT("F"&amp;ROW()))/I$1</f>
        <v>-28.420752151100899</v>
      </c>
      <c r="J440" s="1">
        <f t="shared" ca="1" si="37"/>
        <v>-31.310663984452148</v>
      </c>
    </row>
    <row r="441" spans="1:10" x14ac:dyDescent="0.2">
      <c r="A441" s="9">
        <f t="shared" ref="A441" si="40">A440+7</f>
        <v>45439</v>
      </c>
      <c r="B441" s="1">
        <v>2948.5878187561443</v>
      </c>
      <c r="C441">
        <v>2982</v>
      </c>
      <c r="D441" s="1">
        <f t="shared" si="35"/>
        <v>33.412181243855684</v>
      </c>
      <c r="E441" s="6">
        <f t="shared" si="36"/>
        <v>2.9413825244976766E-2</v>
      </c>
      <c r="F441" s="1">
        <f t="shared" si="38"/>
        <v>7.3882383887348784</v>
      </c>
      <c r="H441" s="1">
        <f t="shared" si="39"/>
        <v>7.3882383887348784</v>
      </c>
      <c r="I441" s="10">
        <f ca="1">-SUM(INDIRECT("F"&amp;MAX(220,ROW()-I$1)):INDIRECT("F"&amp;ROW()))/I$1</f>
        <v>-27.779039217514416</v>
      </c>
      <c r="J441" s="1">
        <f t="shared" ca="1" si="37"/>
        <v>-30.427757792717713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4</vt:i4>
      </vt:variant>
    </vt:vector>
  </HeadingPairs>
  <TitlesOfParts>
    <vt:vector size="14" baseType="lpstr">
      <vt:lpstr>311 cov wlz</vt:lpstr>
      <vt:lpstr>312 cov nwlz</vt:lpstr>
      <vt:lpstr>321 ncov wlz</vt:lpstr>
      <vt:lpstr>322 ncov nwlz</vt:lpstr>
      <vt:lpstr>verzamel</vt:lpstr>
      <vt:lpstr>Corona</vt:lpstr>
      <vt:lpstr>Delta</vt:lpstr>
      <vt:lpstr>VE</vt:lpstr>
      <vt:lpstr>VaxOvst</vt:lpstr>
      <vt:lpstr>Oversterfte</vt:lpstr>
      <vt:lpstr>'322 ncov nwlz'!table_tabel_1cd4820b_3961_480b_9d85_eb5e1bda9573</vt:lpstr>
      <vt:lpstr>'312 cov nwlz'!table_tabel_5498f8e9_d98c_433b_9ae8_845ebf120eca</vt:lpstr>
      <vt:lpstr>'311 cov wlz'!table_tabel_557fa828_405a_4ae1_86e0_7dd3ce3187f3</vt:lpstr>
      <vt:lpstr>'321 ncov wlz'!table_tabel_cfafa6db_e588_46e6_bffb_dc002bef3f2e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Steigstra</dc:creator>
  <cp:lastModifiedBy>Herman Steigstra</cp:lastModifiedBy>
  <dcterms:created xsi:type="dcterms:W3CDTF">2024-02-25T07:26:14Z</dcterms:created>
  <dcterms:modified xsi:type="dcterms:W3CDTF">2024-06-16T18:41:16Z</dcterms:modified>
</cp:coreProperties>
</file>