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artin J Jolley\Downloads\"/>
    </mc:Choice>
  </mc:AlternateContent>
  <xr:revisionPtr revIDLastSave="0" documentId="8_{7BEB45C6-9D88-447D-82C4-3BC1A5DCB031}" xr6:coauthVersionLast="47" xr6:coauthVersionMax="47" xr10:uidLastSave="{00000000-0000-0000-0000-000000000000}"/>
  <bookViews>
    <workbookView xWindow="-120" yWindow="-120" windowWidth="29040" windowHeight="15840" xr2:uid="{B1E8E668-C7D8-45D0-B47B-26491C57C32A}"/>
  </bookViews>
  <sheets>
    <sheet name="Oblique" sheetId="1" r:id="rId1"/>
    <sheet name="Trial"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C17" i="1" s="1"/>
  <c r="C12" i="1"/>
  <c r="C14" i="1" s="1"/>
  <c r="C23" i="1"/>
  <c r="C29" i="2"/>
  <c r="D24" i="2"/>
  <c r="C20" i="2"/>
  <c r="C16" i="2"/>
  <c r="C17" i="2" s="1"/>
  <c r="C12" i="2"/>
  <c r="C6" i="2"/>
  <c r="C24" i="2" s="1"/>
  <c r="E24" i="2" s="1"/>
  <c r="C5" i="2"/>
  <c r="D20" i="2" s="1"/>
  <c r="C6" i="1"/>
  <c r="C5" i="1"/>
  <c r="C15" i="1" l="1"/>
  <c r="C22" i="1"/>
  <c r="C20" i="1"/>
  <c r="E20" i="2"/>
  <c r="D22" i="2"/>
  <c r="C19" i="2"/>
  <c r="E19" i="2" s="1"/>
  <c r="C22" i="2"/>
  <c r="C26" i="2"/>
  <c r="D19" i="2"/>
  <c r="D23" i="2"/>
  <c r="D26" i="2"/>
  <c r="C23" i="2"/>
  <c r="C19" i="1" l="1"/>
  <c r="D19" i="1" s="1"/>
  <c r="D20" i="1"/>
  <c r="C26" i="1" s="1"/>
  <c r="G26" i="1" s="1"/>
  <c r="C21" i="1"/>
  <c r="D21" i="1" s="1"/>
  <c r="C27" i="1" s="1"/>
  <c r="D22" i="1"/>
  <c r="C28" i="1" s="1"/>
  <c r="E23" i="2"/>
  <c r="E25" i="2" s="1"/>
  <c r="C31" i="2" s="1"/>
  <c r="F31" i="2" s="1"/>
  <c r="H45" i="2" s="1"/>
  <c r="E22" i="2"/>
  <c r="C30" i="2" s="1"/>
  <c r="C46" i="2"/>
  <c r="G45" i="2" s="1"/>
  <c r="F30" i="2"/>
  <c r="H44" i="2" s="1"/>
  <c r="E21" i="2"/>
  <c r="E26" i="2"/>
  <c r="C32" i="2" s="1"/>
  <c r="E25" i="1" l="1"/>
  <c r="C25" i="1"/>
  <c r="G25" i="1" s="1"/>
  <c r="E26" i="1"/>
  <c r="H26" i="1" s="1"/>
  <c r="E28" i="1"/>
  <c r="F32" i="2"/>
  <c r="H46" i="2" s="1"/>
  <c r="C34" i="2"/>
  <c r="C43" i="2"/>
  <c r="G43" i="2" s="1"/>
  <c r="F29" i="2"/>
  <c r="C45" i="2"/>
  <c r="G46" i="2" s="1"/>
  <c r="C37" i="2"/>
  <c r="C38" i="2" s="1"/>
  <c r="C39" i="2" s="1"/>
  <c r="C44" i="2"/>
  <c r="C35" i="2"/>
  <c r="G44" i="2"/>
  <c r="H25" i="1" l="1"/>
  <c r="C30" i="1"/>
  <c r="G28" i="1"/>
  <c r="H28" i="1" s="1"/>
  <c r="E27" i="1"/>
  <c r="C13" i="2"/>
  <c r="H43" i="2"/>
  <c r="G27" i="1" l="1"/>
  <c r="H27" i="1" s="1"/>
  <c r="C13" i="1" s="1"/>
  <c r="C31" i="1"/>
  <c r="C33" i="1" s="1"/>
  <c r="C14" i="2"/>
  <c r="C15" i="2"/>
  <c r="C34" i="1" l="1"/>
  <c r="C35" i="1" s="1"/>
</calcChain>
</file>

<file path=xl/sharedStrings.xml><?xml version="1.0" encoding="utf-8"?>
<sst xmlns="http://schemas.openxmlformats.org/spreadsheetml/2006/main" count="161" uniqueCount="71">
  <si>
    <t>AlphaH</t>
  </si>
  <si>
    <t xml:space="preserve"> = angle of camera in H direction (deg)</t>
  </si>
  <si>
    <t>Typical Values</t>
  </si>
  <si>
    <t>AlphaW</t>
  </si>
  <si>
    <t xml:space="preserve"> = angle of camera in W direction (deg)</t>
  </si>
  <si>
    <t>Sw</t>
  </si>
  <si>
    <t>5mm (mobile phone), 53mm (medium format detailed)</t>
  </si>
  <si>
    <r>
      <t>S</t>
    </r>
    <r>
      <rPr>
        <sz val="10"/>
        <color rgb="FF000000"/>
        <rFont val="Calibri"/>
        <family val="2"/>
        <charset val="1"/>
      </rPr>
      <t>w</t>
    </r>
  </si>
  <si>
    <t xml:space="preserve"> = the sensor width of the camera (millimeters)</t>
  </si>
  <si>
    <t>Fr</t>
  </si>
  <si>
    <t>11mm (180D FOV), 300mm (9D FOV), 28-50mm Ave.</t>
  </si>
  <si>
    <r>
      <rPr>
        <sz val="11"/>
        <color rgb="FF000000"/>
        <rFont val="Calibri"/>
        <family val="2"/>
        <charset val="1"/>
      </rPr>
      <t>F</t>
    </r>
    <r>
      <rPr>
        <sz val="8"/>
        <color rgb="FF000000"/>
        <rFont val="Calibri"/>
        <family val="2"/>
        <charset val="1"/>
      </rPr>
      <t>R</t>
    </r>
  </si>
  <si>
    <t xml:space="preserve"> = the focal length of the camera (millimeters)</t>
  </si>
  <si>
    <t>imW&amp;H</t>
  </si>
  <si>
    <t>HD=1920x1080</t>
  </si>
  <si>
    <t>H</t>
  </si>
  <si>
    <t xml:space="preserve"> = the camera height (meters)</t>
  </si>
  <si>
    <t>imW</t>
  </si>
  <si>
    <t xml:space="preserve"> = the image width (pixels)</t>
  </si>
  <si>
    <t>imH</t>
  </si>
  <si>
    <t xml:space="preserve"> = the image height (pixels)</t>
  </si>
  <si>
    <t>Enter the tilt angles in both directions (0,0 for nadir)</t>
  </si>
  <si>
    <t>GSD (Nadir)</t>
  </si>
  <si>
    <t xml:space="preserve"> = Ground Sampling Distance (centimeters/pixel)</t>
  </si>
  <si>
    <t>Enter sensor width and focal length of camera</t>
  </si>
  <si>
    <t>Ave. GSD (Tilt)</t>
  </si>
  <si>
    <t>Enter the height of the camera</t>
  </si>
  <si>
    <t>Dw</t>
  </si>
  <si>
    <t xml:space="preserve"> = width of single image footprint on the ground (meters)</t>
  </si>
  <si>
    <t>Enter your resolution (pixel width and height) [HD=1920x1080]</t>
  </si>
  <si>
    <r>
      <rPr>
        <b/>
        <sz val="11"/>
        <color rgb="FF000000"/>
        <rFont val="Calibri"/>
        <family val="2"/>
        <charset val="1"/>
      </rPr>
      <t>D</t>
    </r>
    <r>
      <rPr>
        <b/>
        <sz val="10"/>
        <color rgb="FF000000"/>
        <rFont val="Calibri"/>
        <family val="2"/>
        <charset val="1"/>
      </rPr>
      <t>H</t>
    </r>
  </si>
  <si>
    <t xml:space="preserve"> = height of single image footprint on the ground (meters)</t>
  </si>
  <si>
    <t>Let the spreadsheet calculate the average GSD in each quadrant</t>
  </si>
  <si>
    <t>theta</t>
  </si>
  <si>
    <t xml:space="preserve"> = angle of capture [ATAN(Sw/Fr)] (deg)</t>
  </si>
  <si>
    <t>LH+</t>
  </si>
  <si>
    <t>LH-</t>
  </si>
  <si>
    <t>LW+</t>
  </si>
  <si>
    <t>LW-</t>
  </si>
  <si>
    <t xml:space="preserve"> = length of H direction from nadir with positive AlphaH (m)</t>
  </si>
  <si>
    <t xml:space="preserve"> --&gt;</t>
  </si>
  <si>
    <t xml:space="preserve"> = Average Ground Sampling Distance (centimeters/pixel)</t>
  </si>
  <si>
    <t xml:space="preserve"> = length of H direction from nadir with negative AlphaH (m)</t>
  </si>
  <si>
    <t xml:space="preserve"> = length of W direction from nadir with positive AlphaW (m)</t>
  </si>
  <si>
    <t xml:space="preserve"> = length of W direction from nadir with negative AlphaW (m)</t>
  </si>
  <si>
    <t>Total LH</t>
  </si>
  <si>
    <t>m</t>
  </si>
  <si>
    <t>Total LW</t>
  </si>
  <si>
    <t>AREA</t>
  </si>
  <si>
    <t>m^2</t>
  </si>
  <si>
    <t>Ave. Density</t>
  </si>
  <si>
    <t>pixels per cm</t>
  </si>
  <si>
    <t>Sqrt Dens.</t>
  </si>
  <si>
    <t>square pixels per cm</t>
  </si>
  <si>
    <t>LH+W+</t>
  </si>
  <si>
    <t>LH-W-</t>
  </si>
  <si>
    <t>LH+W-</t>
  </si>
  <si>
    <t>LH-W+</t>
  </si>
  <si>
    <t xml:space="preserve"> = length of hyp between quadrant H+W+ (m)</t>
  </si>
  <si>
    <t xml:space="preserve"> = length of hyp between quadrant H-W- (m)</t>
  </si>
  <si>
    <t xml:space="preserve"> = length of hyp between quadrant H+W- (m)</t>
  </si>
  <si>
    <t xml:space="preserve"> = length of hyp between quadrant H-W+ (m)</t>
  </si>
  <si>
    <t>Unit Lengths</t>
  </si>
  <si>
    <t>TRIALS</t>
  </si>
  <si>
    <t>Orig. GSD</t>
  </si>
  <si>
    <t>Unit GSD</t>
  </si>
  <si>
    <t>Hyp.</t>
  </si>
  <si>
    <t>RatioAspect</t>
  </si>
  <si>
    <t>14-35mm wide angle, 28-50mm Ave., "normal" lens Fr=Sw</t>
  </si>
  <si>
    <t>Let the spreadsheet calculate the average GSD on each axis</t>
  </si>
  <si>
    <t>Actual distance (aspect ratio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</si>
</sst>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1"/>
      <color rgb="FF000000"/>
      <name val="Calibri"/>
      <family val="2"/>
      <charset val="1"/>
    </font>
    <font>
      <sz val="10"/>
      <color rgb="FF000000"/>
      <name val="Calibri"/>
      <family val="2"/>
      <charset val="1"/>
    </font>
    <font>
      <sz val="8"/>
      <color rgb="FF000000"/>
      <name val="Calibri"/>
      <family val="2"/>
      <charset val="1"/>
    </font>
    <font>
      <b/>
      <sz val="11"/>
      <color rgb="FF000000"/>
      <name val="Calibri"/>
      <family val="2"/>
      <charset val="1"/>
    </font>
    <font>
      <b/>
      <sz val="10"/>
      <color rgb="FF000000"/>
      <name val="Calibri"/>
      <family val="2"/>
      <charset val="1"/>
    </font>
    <font>
      <b/>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C00000"/>
        <bgColor indexed="64"/>
      </patternFill>
    </fill>
  </fills>
  <borders count="59">
    <border>
      <left/>
      <right/>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medium">
        <color indexed="64"/>
      </left>
      <right style="medium">
        <color indexed="64"/>
      </right>
      <top/>
      <bottom style="thin">
        <color auto="1"/>
      </bottom>
      <diagonal/>
    </border>
    <border>
      <left/>
      <right style="medium">
        <color indexed="64"/>
      </right>
      <top/>
      <bottom style="thin">
        <color auto="1"/>
      </bottom>
      <diagonal/>
    </border>
    <border>
      <left style="thin">
        <color indexed="64"/>
      </left>
      <right/>
      <top style="medium">
        <color auto="1"/>
      </top>
      <bottom/>
      <diagonal/>
    </border>
    <border>
      <left style="thin">
        <color indexed="64"/>
      </left>
      <right/>
      <top/>
      <bottom/>
      <diagonal/>
    </border>
    <border>
      <left/>
      <right style="thin">
        <color indexed="64"/>
      </right>
      <top style="medium">
        <color auto="1"/>
      </top>
      <bottom/>
      <diagonal/>
    </border>
    <border>
      <left/>
      <right style="thin">
        <color indexed="64"/>
      </right>
      <top/>
      <bottom/>
      <diagonal/>
    </border>
    <border>
      <left/>
      <right style="thin">
        <color indexed="64"/>
      </right>
      <top/>
      <bottom style="medium">
        <color auto="1"/>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style="medium">
        <color indexed="64"/>
      </left>
      <right style="thin">
        <color auto="1"/>
      </right>
      <top/>
      <bottom style="thin">
        <color indexed="64"/>
      </bottom>
      <diagonal/>
    </border>
    <border>
      <left style="thin">
        <color auto="1"/>
      </left>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94">
    <xf numFmtId="0" fontId="0" fillId="0" borderId="0" xfId="0"/>
    <xf numFmtId="0" fontId="0" fillId="4" borderId="1" xfId="0" applyFill="1" applyBorder="1"/>
    <xf numFmtId="0" fontId="0" fillId="4" borderId="0" xfId="0" applyFill="1" applyBorder="1"/>
    <xf numFmtId="0" fontId="0" fillId="4" borderId="8" xfId="0" applyFill="1" applyBorder="1"/>
    <xf numFmtId="0" fontId="0" fillId="4" borderId="2" xfId="0" applyFill="1" applyBorder="1"/>
    <xf numFmtId="0" fontId="0" fillId="4" borderId="4" xfId="0" applyFill="1" applyBorder="1"/>
    <xf numFmtId="0" fontId="0" fillId="4" borderId="9" xfId="0" applyFill="1" applyBorder="1"/>
    <xf numFmtId="0" fontId="0" fillId="4" borderId="10" xfId="0" applyFill="1" applyBorder="1"/>
    <xf numFmtId="0" fontId="0" fillId="2" borderId="11" xfId="0" applyFill="1" applyBorder="1"/>
    <xf numFmtId="0" fontId="0" fillId="2" borderId="12" xfId="0" applyFill="1" applyBorder="1"/>
    <xf numFmtId="0" fontId="0" fillId="2"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0" borderId="16" xfId="0" applyBorder="1"/>
    <xf numFmtId="0" fontId="0" fillId="0" borderId="17" xfId="0" applyBorder="1"/>
    <xf numFmtId="0" fontId="0" fillId="3" borderId="18" xfId="0" applyFill="1" applyBorder="1"/>
    <xf numFmtId="0" fontId="0" fillId="3" borderId="19" xfId="0" applyFill="1" applyBorder="1"/>
    <xf numFmtId="0" fontId="0" fillId="4" borderId="20" xfId="0" applyFill="1" applyBorder="1"/>
    <xf numFmtId="0" fontId="0" fillId="4" borderId="21" xfId="0" applyFill="1" applyBorder="1"/>
    <xf numFmtId="0" fontId="0" fillId="4" borderId="22" xfId="0" applyFill="1" applyBorder="1"/>
    <xf numFmtId="0" fontId="0" fillId="4" borderId="23" xfId="0" applyFill="1" applyBorder="1"/>
    <xf numFmtId="0" fontId="0" fillId="4" borderId="24" xfId="0" applyFill="1" applyBorder="1"/>
    <xf numFmtId="0" fontId="0" fillId="4" borderId="25" xfId="0" applyFill="1" applyBorder="1"/>
    <xf numFmtId="0" fontId="0" fillId="4" borderId="3" xfId="0" applyFill="1" applyBorder="1"/>
    <xf numFmtId="0" fontId="0" fillId="4" borderId="26" xfId="0" applyFill="1" applyBorder="1"/>
    <xf numFmtId="0" fontId="0" fillId="4" borderId="5" xfId="0" applyFill="1" applyBorder="1"/>
    <xf numFmtId="0" fontId="0" fillId="4" borderId="6" xfId="0" applyFill="1" applyBorder="1"/>
    <xf numFmtId="0" fontId="0" fillId="4" borderId="7" xfId="0" applyFill="1" applyBorder="1"/>
    <xf numFmtId="0" fontId="0" fillId="5" borderId="1" xfId="0" applyFill="1" applyBorder="1"/>
    <xf numFmtId="0" fontId="0" fillId="5" borderId="0" xfId="0" applyFill="1" applyBorder="1"/>
    <xf numFmtId="0" fontId="0" fillId="5" borderId="8" xfId="0" applyFill="1" applyBorder="1"/>
    <xf numFmtId="0" fontId="0" fillId="0" borderId="6"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27" xfId="0" applyBorder="1"/>
    <xf numFmtId="0" fontId="0" fillId="2" borderId="28" xfId="0" applyFill="1" applyBorder="1"/>
    <xf numFmtId="0" fontId="0" fillId="0" borderId="29" xfId="0" applyBorder="1"/>
    <xf numFmtId="0" fontId="0" fillId="4" borderId="30" xfId="0" applyFill="1" applyBorder="1"/>
    <xf numFmtId="0" fontId="0" fillId="4" borderId="31" xfId="0" applyFill="1" applyBorder="1"/>
    <xf numFmtId="0" fontId="0" fillId="4" borderId="32" xfId="0" applyFill="1" applyBorder="1"/>
    <xf numFmtId="0" fontId="0" fillId="4" borderId="33" xfId="0" applyFill="1" applyBorder="1"/>
    <xf numFmtId="0" fontId="0" fillId="4" borderId="34" xfId="0" applyFill="1" applyBorder="1"/>
    <xf numFmtId="0" fontId="1" fillId="6" borderId="36" xfId="0" applyFont="1" applyFill="1" applyBorder="1"/>
    <xf numFmtId="0" fontId="1" fillId="6" borderId="38" xfId="0" applyFont="1" applyFill="1" applyBorder="1"/>
    <xf numFmtId="0" fontId="1" fillId="6" borderId="40" xfId="0" applyFont="1" applyFill="1" applyBorder="1"/>
    <xf numFmtId="0" fontId="1" fillId="6" borderId="35" xfId="0" applyFont="1" applyFill="1" applyBorder="1" applyAlignment="1">
      <alignment horizontal="center"/>
    </xf>
    <xf numFmtId="0" fontId="1" fillId="6" borderId="37" xfId="0" applyFont="1" applyFill="1" applyBorder="1" applyAlignment="1">
      <alignment horizontal="center"/>
    </xf>
    <xf numFmtId="0" fontId="1" fillId="6" borderId="39" xfId="0" applyFont="1" applyFill="1" applyBorder="1" applyAlignment="1">
      <alignment horizontal="center"/>
    </xf>
    <xf numFmtId="0" fontId="0" fillId="5" borderId="24" xfId="0" applyFill="1" applyBorder="1"/>
    <xf numFmtId="0" fontId="7" fillId="5" borderId="41" xfId="0" applyFont="1" applyFill="1" applyBorder="1" applyAlignment="1">
      <alignment horizontal="center"/>
    </xf>
    <xf numFmtId="0" fontId="0" fillId="4" borderId="41" xfId="0" applyFill="1" applyBorder="1"/>
    <xf numFmtId="0" fontId="0" fillId="4" borderId="42" xfId="0" applyFill="1" applyBorder="1"/>
    <xf numFmtId="0" fontId="7" fillId="5" borderId="23" xfId="0" applyFont="1" applyFill="1" applyBorder="1" applyAlignment="1">
      <alignment horizontal="center"/>
    </xf>
    <xf numFmtId="0" fontId="7" fillId="5" borderId="25" xfId="0" applyFont="1" applyFill="1" applyBorder="1" applyAlignment="1">
      <alignment horizontal="center"/>
    </xf>
    <xf numFmtId="0" fontId="0" fillId="5" borderId="26" xfId="0" applyFill="1" applyBorder="1"/>
    <xf numFmtId="0" fontId="0" fillId="5" borderId="43" xfId="0" applyFill="1" applyBorder="1"/>
    <xf numFmtId="0" fontId="0" fillId="2" borderId="47" xfId="0" applyFill="1" applyBorder="1"/>
    <xf numFmtId="0" fontId="0" fillId="2" borderId="46" xfId="0" applyFill="1" applyBorder="1"/>
    <xf numFmtId="0" fontId="0" fillId="2" borderId="41" xfId="0" applyFill="1" applyBorder="1"/>
    <xf numFmtId="0" fontId="0" fillId="2" borderId="43" xfId="0" applyFill="1" applyBorder="1"/>
    <xf numFmtId="0" fontId="0" fillId="2" borderId="23" xfId="0" applyFill="1" applyBorder="1"/>
    <xf numFmtId="0" fontId="0" fillId="2" borderId="25" xfId="0" applyFill="1" applyBorder="1"/>
    <xf numFmtId="0" fontId="0" fillId="2" borderId="3" xfId="0" applyFill="1" applyBorder="1"/>
    <xf numFmtId="0" fontId="0" fillId="2" borderId="48" xfId="0" applyFill="1" applyBorder="1"/>
    <xf numFmtId="0" fontId="0" fillId="2" borderId="24" xfId="0" applyFill="1" applyBorder="1"/>
    <xf numFmtId="0" fontId="0" fillId="2" borderId="26" xfId="0" applyFill="1" applyBorder="1"/>
    <xf numFmtId="0" fontId="0" fillId="8" borderId="1" xfId="0" applyFill="1" applyBorder="1"/>
    <xf numFmtId="0" fontId="0" fillId="8" borderId="2" xfId="0" applyFill="1" applyBorder="1"/>
    <xf numFmtId="0" fontId="0" fillId="8" borderId="33" xfId="0" applyFill="1" applyBorder="1"/>
    <xf numFmtId="0" fontId="1" fillId="9" borderId="8" xfId="0" applyFont="1" applyFill="1" applyBorder="1"/>
    <xf numFmtId="0" fontId="1" fillId="9" borderId="9" xfId="0" applyFont="1" applyFill="1" applyBorder="1"/>
    <xf numFmtId="0" fontId="0" fillId="8" borderId="44" xfId="0" applyFill="1" applyBorder="1"/>
    <xf numFmtId="0" fontId="0" fillId="8" borderId="52" xfId="0" applyFill="1" applyBorder="1"/>
    <xf numFmtId="0" fontId="1" fillId="9" borderId="45" xfId="0" applyFont="1" applyFill="1" applyBorder="1"/>
    <xf numFmtId="0" fontId="0" fillId="4" borderId="53" xfId="0" applyFill="1" applyBorder="1"/>
    <xf numFmtId="0" fontId="0" fillId="4" borderId="54" xfId="0" applyFill="1" applyBorder="1"/>
    <xf numFmtId="0" fontId="0" fillId="4" borderId="55" xfId="0" applyFill="1" applyBorder="1"/>
    <xf numFmtId="0" fontId="0" fillId="4" borderId="43" xfId="0" applyFill="1" applyBorder="1"/>
    <xf numFmtId="0" fontId="7" fillId="4" borderId="56" xfId="0" applyFont="1" applyFill="1" applyBorder="1"/>
    <xf numFmtId="0" fontId="7" fillId="4" borderId="57" xfId="0" applyFont="1" applyFill="1" applyBorder="1"/>
    <xf numFmtId="0" fontId="7" fillId="4" borderId="58" xfId="0" applyFont="1" applyFill="1" applyBorder="1"/>
    <xf numFmtId="0" fontId="0" fillId="0" borderId="0" xfId="0" applyAlignment="1">
      <alignment horizontal="center"/>
    </xf>
    <xf numFmtId="0" fontId="0" fillId="5" borderId="44" xfId="0" applyFill="1" applyBorder="1" applyAlignment="1">
      <alignment horizontal="center"/>
    </xf>
    <xf numFmtId="0" fontId="0" fillId="5" borderId="45" xfId="0" applyFill="1" applyBorder="1" applyAlignment="1">
      <alignment horizontal="center"/>
    </xf>
    <xf numFmtId="0" fontId="0" fillId="7" borderId="44" xfId="0" applyFill="1" applyBorder="1" applyAlignment="1">
      <alignment horizontal="center"/>
    </xf>
    <xf numFmtId="0" fontId="0" fillId="7" borderId="51" xfId="0" applyFill="1" applyBorder="1" applyAlignment="1">
      <alignment horizontal="center"/>
    </xf>
    <xf numFmtId="0" fontId="0" fillId="7" borderId="45"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2" borderId="48" xfId="0" applyFill="1" applyBorder="1" applyAlignment="1">
      <alignment horizontal="center"/>
    </xf>
    <xf numFmtId="0" fontId="7" fillId="0" borderId="53" xfId="0" applyFont="1" applyBorder="1"/>
    <xf numFmtId="0" fontId="0" fillId="5" borderId="5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600075</xdr:colOff>
      <xdr:row>28</xdr:row>
      <xdr:rowOff>0</xdr:rowOff>
    </xdr:from>
    <xdr:to>
      <xdr:col>9</xdr:col>
      <xdr:colOff>9525</xdr:colOff>
      <xdr:row>35</xdr:row>
      <xdr:rowOff>180975</xdr:rowOff>
    </xdr:to>
    <xdr:sp macro="" textlink="">
      <xdr:nvSpPr>
        <xdr:cNvPr id="2" name="TextBox 1">
          <a:extLst>
            <a:ext uri="{FF2B5EF4-FFF2-40B4-BE49-F238E27FC236}">
              <a16:creationId xmlns:a16="http://schemas.microsoft.com/office/drawing/2014/main" id="{0E8552D8-D751-4204-B4F5-0299F2041184}"/>
            </a:ext>
          </a:extLst>
        </xdr:cNvPr>
        <xdr:cNvSpPr txBox="1"/>
      </xdr:nvSpPr>
      <xdr:spPr>
        <a:xfrm>
          <a:off x="6781800" y="5467350"/>
          <a:ext cx="5372100" cy="15335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If any of these values are negative, it would indicate the angle of the camera is not capturing a certain</a:t>
          </a:r>
          <a:r>
            <a:rPr lang="en-US" sz="1100" baseline="0">
              <a:solidFill>
                <a:schemeClr val="bg1"/>
              </a:solidFill>
            </a:rPr>
            <a:t> axis. For example, an AlphaH value of 50 and Sw=15, Fr= 20, H=15, would give us a LH- of -3.5m. This means that it is not capturing any of the LH direction, and is missing 3.5m from nadir into the LH+ direction.</a:t>
          </a:r>
        </a:p>
        <a:p>
          <a:endParaRPr lang="en-US" sz="1100" baseline="0">
            <a:solidFill>
              <a:schemeClr val="bg1"/>
            </a:solidFill>
          </a:endParaRPr>
        </a:p>
        <a:p>
          <a:r>
            <a:rPr lang="en-US" sz="1100" baseline="0">
              <a:solidFill>
                <a:schemeClr val="bg1"/>
              </a:solidFill>
            </a:rPr>
            <a:t>For large angles (oblique), the GSD has been capped to not record anything above 60deg as the values are the extremeties are very unlikely to be used and obscure averages too much</a:t>
          </a:r>
          <a:endParaRPr lang="en-US" sz="1100">
            <a:solidFill>
              <a:schemeClr val="bg1"/>
            </a:solidFill>
          </a:endParaRPr>
        </a:p>
      </xdr:txBody>
    </xdr:sp>
    <xdr:clientData/>
  </xdr:twoCellAnchor>
  <xdr:twoCellAnchor editAs="oneCell">
    <xdr:from>
      <xdr:col>9</xdr:col>
      <xdr:colOff>123814</xdr:colOff>
      <xdr:row>27</xdr:row>
      <xdr:rowOff>152400</xdr:rowOff>
    </xdr:from>
    <xdr:to>
      <xdr:col>17</xdr:col>
      <xdr:colOff>390586</xdr:colOff>
      <xdr:row>46</xdr:row>
      <xdr:rowOff>104825</xdr:rowOff>
    </xdr:to>
    <xdr:pic>
      <xdr:nvPicPr>
        <xdr:cNvPr id="4" name="Picture 3">
          <a:extLst>
            <a:ext uri="{FF2B5EF4-FFF2-40B4-BE49-F238E27FC236}">
              <a16:creationId xmlns:a16="http://schemas.microsoft.com/office/drawing/2014/main" id="{372E0FAC-4967-4AC1-B755-B35A581AC3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14801850" y="2905114"/>
          <a:ext cx="3600500" cy="5143572"/>
        </a:xfrm>
        <a:prstGeom prst="rect">
          <a:avLst/>
        </a:prstGeom>
      </xdr:spPr>
    </xdr:pic>
    <xdr:clientData/>
  </xdr:twoCellAnchor>
  <xdr:twoCellAnchor editAs="oneCell">
    <xdr:from>
      <xdr:col>9</xdr:col>
      <xdr:colOff>140474</xdr:colOff>
      <xdr:row>0</xdr:row>
      <xdr:rowOff>114300</xdr:rowOff>
    </xdr:from>
    <xdr:to>
      <xdr:col>17</xdr:col>
      <xdr:colOff>361949</xdr:colOff>
      <xdr:row>27</xdr:row>
      <xdr:rowOff>122362</xdr:rowOff>
    </xdr:to>
    <xdr:pic>
      <xdr:nvPicPr>
        <xdr:cNvPr id="6" name="Picture 5">
          <a:extLst>
            <a:ext uri="{FF2B5EF4-FFF2-40B4-BE49-F238E27FC236}">
              <a16:creationId xmlns:a16="http://schemas.microsoft.com/office/drawing/2014/main" id="{63C1E00E-760B-4979-BA1B-0871DCE71B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46974" y="114300"/>
          <a:ext cx="5098275" cy="3532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32</xdr:row>
      <xdr:rowOff>190500</xdr:rowOff>
    </xdr:from>
    <xdr:to>
      <xdr:col>7</xdr:col>
      <xdr:colOff>9525</xdr:colOff>
      <xdr:row>38</xdr:row>
      <xdr:rowOff>190500</xdr:rowOff>
    </xdr:to>
    <xdr:sp macro="" textlink="">
      <xdr:nvSpPr>
        <xdr:cNvPr id="2" name="TextBox 1">
          <a:extLst>
            <a:ext uri="{FF2B5EF4-FFF2-40B4-BE49-F238E27FC236}">
              <a16:creationId xmlns:a16="http://schemas.microsoft.com/office/drawing/2014/main" id="{A8320E8F-11BC-4E5D-B583-45B7C00DC0BB}"/>
            </a:ext>
          </a:extLst>
        </xdr:cNvPr>
        <xdr:cNvSpPr txBox="1"/>
      </xdr:nvSpPr>
      <xdr:spPr>
        <a:xfrm>
          <a:off x="6781800" y="4305300"/>
          <a:ext cx="4762500" cy="11525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If any of these values are negative, it would indicate the angle of the camera is not capturing a certain</a:t>
          </a:r>
          <a:r>
            <a:rPr lang="en-US" sz="1100" baseline="0">
              <a:solidFill>
                <a:schemeClr val="bg1"/>
              </a:solidFill>
            </a:rPr>
            <a:t> quadrant. For example, an AlphaH value of 50 and Sw=15, Fr= 20, H=15, would give us a LH- of -3.5m. This means that it is not capturing any of the LH direction, and is missing 3.5m from nadir into the LH+ direction.</a:t>
          </a:r>
          <a:endParaRPr lang="en-US" sz="11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DEB4-32CB-4966-9D7E-B3368694DB67}">
  <dimension ref="B2:I35"/>
  <sheetViews>
    <sheetView tabSelected="1" workbookViewId="0">
      <selection activeCell="F42" sqref="F42"/>
    </sheetView>
  </sheetViews>
  <sheetFormatPr defaultRowHeight="15" x14ac:dyDescent="0.25"/>
  <cols>
    <col min="2" max="2" width="14.5703125" bestFit="1" customWidth="1"/>
    <col min="3" max="3" width="14.28515625" customWidth="1"/>
    <col min="4" max="4" width="54.7109375" bestFit="1" customWidth="1"/>
    <col min="5" max="5" width="35.5703125" customWidth="1"/>
    <col min="7" max="7" width="9.140625" hidden="1" customWidth="1"/>
    <col min="8" max="8" width="13.7109375" bestFit="1" customWidth="1"/>
    <col min="9" max="9" width="57.42578125" bestFit="1" customWidth="1"/>
    <col min="10" max="12" width="9.140625" customWidth="1"/>
  </cols>
  <sheetData>
    <row r="2" spans="2:9" ht="15.75" thickBot="1" x14ac:dyDescent="0.3"/>
    <row r="3" spans="2:9" ht="15.75" thickBot="1" x14ac:dyDescent="0.3">
      <c r="B3" s="11" t="s">
        <v>0</v>
      </c>
      <c r="C3" s="8">
        <v>0</v>
      </c>
      <c r="D3" s="12" t="s">
        <v>1</v>
      </c>
      <c r="H3" s="84" t="s">
        <v>2</v>
      </c>
      <c r="I3" s="85"/>
    </row>
    <row r="4" spans="2:9" ht="15.75" thickBot="1" x14ac:dyDescent="0.3">
      <c r="B4" s="17" t="s">
        <v>3</v>
      </c>
      <c r="C4" s="10">
        <v>0</v>
      </c>
      <c r="D4" s="18" t="s">
        <v>4</v>
      </c>
      <c r="H4" s="51" t="s">
        <v>5</v>
      </c>
      <c r="I4" s="57" t="s">
        <v>6</v>
      </c>
    </row>
    <row r="5" spans="2:9" hidden="1" x14ac:dyDescent="0.25">
      <c r="B5" s="36" t="s">
        <v>0</v>
      </c>
      <c r="C5" s="37">
        <f>RADIANS(C3)</f>
        <v>0</v>
      </c>
      <c r="D5" s="38"/>
      <c r="H5" s="54"/>
      <c r="I5" s="50"/>
    </row>
    <row r="6" spans="2:9" hidden="1" x14ac:dyDescent="0.25">
      <c r="B6" s="15" t="s">
        <v>3</v>
      </c>
      <c r="C6" s="9">
        <f>RADIANS(C4)</f>
        <v>0</v>
      </c>
      <c r="D6" s="16"/>
      <c r="H6" s="54"/>
      <c r="I6" s="50"/>
    </row>
    <row r="7" spans="2:9" x14ac:dyDescent="0.25">
      <c r="B7" s="13" t="s">
        <v>7</v>
      </c>
      <c r="C7" s="9">
        <v>20</v>
      </c>
      <c r="D7" s="14" t="s">
        <v>8</v>
      </c>
      <c r="H7" s="54" t="s">
        <v>9</v>
      </c>
      <c r="I7" s="50" t="s">
        <v>68</v>
      </c>
    </row>
    <row r="8" spans="2:9" ht="15.75" thickBot="1" x14ac:dyDescent="0.3">
      <c r="B8" s="13" t="s">
        <v>11</v>
      </c>
      <c r="C8" s="9">
        <v>20</v>
      </c>
      <c r="D8" s="14" t="s">
        <v>12</v>
      </c>
      <c r="H8" s="55" t="s">
        <v>13</v>
      </c>
      <c r="I8" s="56" t="s">
        <v>14</v>
      </c>
    </row>
    <row r="9" spans="2:9" x14ac:dyDescent="0.25">
      <c r="B9" s="13" t="s">
        <v>15</v>
      </c>
      <c r="C9" s="9">
        <v>10</v>
      </c>
      <c r="D9" s="14" t="s">
        <v>16</v>
      </c>
    </row>
    <row r="10" spans="2:9" ht="15.75" thickBot="1" x14ac:dyDescent="0.3">
      <c r="B10" s="13" t="s">
        <v>17</v>
      </c>
      <c r="C10" s="9">
        <v>1920</v>
      </c>
      <c r="D10" s="14" t="s">
        <v>18</v>
      </c>
    </row>
    <row r="11" spans="2:9" ht="15.75" thickBot="1" x14ac:dyDescent="0.3">
      <c r="B11" s="17" t="s">
        <v>19</v>
      </c>
      <c r="C11" s="10">
        <v>1080</v>
      </c>
      <c r="D11" s="18" t="s">
        <v>20</v>
      </c>
      <c r="H11" s="47">
        <v>1</v>
      </c>
      <c r="I11" s="44" t="s">
        <v>21</v>
      </c>
    </row>
    <row r="12" spans="2:9" ht="15.75" thickBot="1" x14ac:dyDescent="0.3">
      <c r="B12" s="80" t="s">
        <v>22</v>
      </c>
      <c r="C12" s="81">
        <f>(C7*C9*100)/(C8*C10)</f>
        <v>0.52083333333333337</v>
      </c>
      <c r="D12" s="82" t="s">
        <v>23</v>
      </c>
      <c r="H12" s="48">
        <v>2</v>
      </c>
      <c r="I12" s="45" t="s">
        <v>24</v>
      </c>
    </row>
    <row r="13" spans="2:9" x14ac:dyDescent="0.25">
      <c r="B13" s="52" t="s">
        <v>25</v>
      </c>
      <c r="C13" s="53">
        <f>AVERAGEIF(H25:H28, "&lt;&gt;0")</f>
        <v>0.52083333333333326</v>
      </c>
      <c r="D13" s="79" t="s">
        <v>23</v>
      </c>
      <c r="H13" s="48">
        <v>3</v>
      </c>
      <c r="I13" s="45" t="s">
        <v>26</v>
      </c>
    </row>
    <row r="14" spans="2:9" x14ac:dyDescent="0.25">
      <c r="B14" s="22" t="s">
        <v>27</v>
      </c>
      <c r="C14" s="7">
        <f>(C12*C10)/100</f>
        <v>10.000000000000002</v>
      </c>
      <c r="D14" s="23" t="s">
        <v>28</v>
      </c>
      <c r="H14" s="48">
        <v>4</v>
      </c>
      <c r="I14" s="45" t="s">
        <v>29</v>
      </c>
    </row>
    <row r="15" spans="2:9" ht="15.75" thickBot="1" x14ac:dyDescent="0.3">
      <c r="B15" s="22" t="s">
        <v>30</v>
      </c>
      <c r="C15" s="7">
        <f>(C12*C11)/100</f>
        <v>5.625</v>
      </c>
      <c r="D15" s="23" t="s">
        <v>31</v>
      </c>
      <c r="H15" s="49">
        <v>5</v>
      </c>
      <c r="I15" s="46" t="s">
        <v>69</v>
      </c>
    </row>
    <row r="16" spans="2:9" ht="15.75" thickBot="1" x14ac:dyDescent="0.3">
      <c r="B16" s="24" t="s">
        <v>33</v>
      </c>
      <c r="C16" s="25">
        <f>DEGREES((ATAN((C7/2)/C8)))</f>
        <v>26.56505117707799</v>
      </c>
      <c r="D16" s="26" t="s">
        <v>34</v>
      </c>
    </row>
    <row r="17" spans="2:9" hidden="1" x14ac:dyDescent="0.25">
      <c r="B17" t="s">
        <v>33</v>
      </c>
      <c r="C17">
        <f>RADIANS(C16)</f>
        <v>0.46364760900080609</v>
      </c>
    </row>
    <row r="18" spans="2:9" hidden="1" x14ac:dyDescent="0.25"/>
    <row r="19" spans="2:9" hidden="1" x14ac:dyDescent="0.25">
      <c r="B19" t="s">
        <v>35</v>
      </c>
      <c r="C19">
        <f>C17+C17-C20</f>
        <v>0.46364760900080609</v>
      </c>
      <c r="D19">
        <f>IF(C19&gt;RADIANS(60),RADIANS(60),C19)</f>
        <v>0.46364760900080609</v>
      </c>
    </row>
    <row r="20" spans="2:9" hidden="1" x14ac:dyDescent="0.25">
      <c r="B20" t="s">
        <v>36</v>
      </c>
      <c r="C20">
        <f>C17-C5</f>
        <v>0.46364760900080609</v>
      </c>
      <c r="D20">
        <f t="shared" ref="D20:D22" si="0">IF(C20&gt;RADIANS(60),RADIANS(60),C20)</f>
        <v>0.46364760900080609</v>
      </c>
    </row>
    <row r="21" spans="2:9" hidden="1" x14ac:dyDescent="0.25">
      <c r="B21" t="s">
        <v>37</v>
      </c>
      <c r="C21">
        <f>C17+C17-C22</f>
        <v>0.46364760900080609</v>
      </c>
      <c r="D21">
        <f t="shared" si="0"/>
        <v>0.46364760900080609</v>
      </c>
    </row>
    <row r="22" spans="2:9" hidden="1" x14ac:dyDescent="0.25">
      <c r="B22" t="s">
        <v>38</v>
      </c>
      <c r="C22">
        <f>C17-C6</f>
        <v>0.46364760900080609</v>
      </c>
      <c r="D22">
        <f t="shared" si="0"/>
        <v>0.46364760900080609</v>
      </c>
    </row>
    <row r="23" spans="2:9" hidden="1" x14ac:dyDescent="0.25">
      <c r="B23" t="s">
        <v>67</v>
      </c>
      <c r="C23">
        <f>C10/C11</f>
        <v>1.7777777777777777</v>
      </c>
    </row>
    <row r="24" spans="2:9" ht="15.75" thickBot="1" x14ac:dyDescent="0.3">
      <c r="E24" s="92" t="s">
        <v>70</v>
      </c>
    </row>
    <row r="25" spans="2:9" x14ac:dyDescent="0.25">
      <c r="B25" s="27" t="s">
        <v>35</v>
      </c>
      <c r="C25" s="27">
        <f>(TAN(D19)*$C$9)</f>
        <v>4.9999999999999991</v>
      </c>
      <c r="D25" s="28" t="s">
        <v>39</v>
      </c>
      <c r="E25" s="76">
        <f>(TAN(D19)*$C$9)/C23</f>
        <v>2.8124999999999996</v>
      </c>
      <c r="F25" s="33" t="s">
        <v>40</v>
      </c>
      <c r="G25" s="28">
        <f>(C25/(($C$10/2)))*100</f>
        <v>0.52083333333333326</v>
      </c>
      <c r="H25" s="28">
        <f>IF(G25&lt;0,0,G25)</f>
        <v>0.52083333333333326</v>
      </c>
      <c r="I25" s="29" t="s">
        <v>41</v>
      </c>
    </row>
    <row r="26" spans="2:9" x14ac:dyDescent="0.25">
      <c r="B26" s="1" t="s">
        <v>36</v>
      </c>
      <c r="C26" s="1">
        <f t="shared" ref="C26:C28" si="1">(TAN(D20)*$C$9)</f>
        <v>4.9999999999999991</v>
      </c>
      <c r="D26" s="2" t="s">
        <v>42</v>
      </c>
      <c r="E26" s="77">
        <f>(TAN(D20)*$C$9)/C23</f>
        <v>2.8124999999999996</v>
      </c>
      <c r="F26" s="34" t="s">
        <v>40</v>
      </c>
      <c r="G26" s="2">
        <f>(C26/(($C$10/2)))*100</f>
        <v>0.52083333333333326</v>
      </c>
      <c r="H26" s="2">
        <f t="shared" ref="H26:H28" si="2">IF(G26&lt;0,0,G26)</f>
        <v>0.52083333333333326</v>
      </c>
      <c r="I26" s="3" t="s">
        <v>41</v>
      </c>
    </row>
    <row r="27" spans="2:9" x14ac:dyDescent="0.25">
      <c r="B27" s="1" t="s">
        <v>37</v>
      </c>
      <c r="C27" s="1">
        <f t="shared" si="1"/>
        <v>4.9999999999999991</v>
      </c>
      <c r="D27" s="2" t="s">
        <v>43</v>
      </c>
      <c r="E27" s="77">
        <f>TAN(D21)*$C$9</f>
        <v>4.9999999999999991</v>
      </c>
      <c r="F27" s="34" t="s">
        <v>40</v>
      </c>
      <c r="G27" s="2">
        <f>(E27/(($C$10/2)))*100</f>
        <v>0.52083333333333326</v>
      </c>
      <c r="H27" s="2">
        <f t="shared" si="2"/>
        <v>0.52083333333333326</v>
      </c>
      <c r="I27" s="3" t="s">
        <v>41</v>
      </c>
    </row>
    <row r="28" spans="2:9" ht="15.75" thickBot="1" x14ac:dyDescent="0.3">
      <c r="B28" s="4" t="s">
        <v>38</v>
      </c>
      <c r="C28" s="4">
        <f t="shared" si="1"/>
        <v>4.9999999999999991</v>
      </c>
      <c r="D28" s="5" t="s">
        <v>44</v>
      </c>
      <c r="E28" s="78">
        <f>TAN(D22)*$C$9</f>
        <v>4.9999999999999991</v>
      </c>
      <c r="F28" s="35" t="s">
        <v>40</v>
      </c>
      <c r="G28" s="5">
        <f>(E28/(($C$10/2)))*100</f>
        <v>0.52083333333333326</v>
      </c>
      <c r="H28" s="5">
        <f t="shared" si="2"/>
        <v>0.52083333333333326</v>
      </c>
      <c r="I28" s="6" t="s">
        <v>41</v>
      </c>
    </row>
    <row r="29" spans="2:9" ht="15.75" thickBot="1" x14ac:dyDescent="0.3"/>
    <row r="30" spans="2:9" x14ac:dyDescent="0.25">
      <c r="B30" s="76" t="s">
        <v>45</v>
      </c>
      <c r="C30" s="28">
        <f>SUMIF(E25:E26,"&gt;0")</f>
        <v>5.6249999999999991</v>
      </c>
      <c r="D30" s="29" t="s">
        <v>46</v>
      </c>
      <c r="H30" s="83"/>
      <c r="I30" s="83"/>
    </row>
    <row r="31" spans="2:9" x14ac:dyDescent="0.25">
      <c r="B31" s="77" t="s">
        <v>47</v>
      </c>
      <c r="C31" s="2">
        <f>SUMIF(E27:E28,"&gt;0")</f>
        <v>9.9999999999999982</v>
      </c>
      <c r="D31" s="3" t="s">
        <v>46</v>
      </c>
      <c r="H31" s="83"/>
      <c r="I31" s="83"/>
    </row>
    <row r="32" spans="2:9" x14ac:dyDescent="0.25">
      <c r="B32" s="93"/>
      <c r="C32" s="31"/>
      <c r="D32" s="32"/>
      <c r="H32" s="83"/>
      <c r="I32" s="83"/>
    </row>
    <row r="33" spans="2:9" x14ac:dyDescent="0.25">
      <c r="B33" s="77" t="s">
        <v>48</v>
      </c>
      <c r="C33" s="2">
        <f>C30*C31</f>
        <v>56.249999999999979</v>
      </c>
      <c r="D33" s="3" t="s">
        <v>49</v>
      </c>
      <c r="H33" s="83"/>
      <c r="I33" s="83"/>
    </row>
    <row r="34" spans="2:9" x14ac:dyDescent="0.25">
      <c r="B34" s="77" t="s">
        <v>50</v>
      </c>
      <c r="C34" s="2">
        <f>((C10*C11)/C33)/(100^2)</f>
        <v>3.6864000000000017</v>
      </c>
      <c r="D34" s="3" t="s">
        <v>51</v>
      </c>
      <c r="H34" s="83"/>
      <c r="I34" s="83"/>
    </row>
    <row r="35" spans="2:9" ht="15.75" thickBot="1" x14ac:dyDescent="0.3">
      <c r="B35" s="78" t="s">
        <v>52</v>
      </c>
      <c r="C35" s="5">
        <f>SQRT(C34)</f>
        <v>1.9200000000000004</v>
      </c>
      <c r="D35" s="6" t="s">
        <v>53</v>
      </c>
      <c r="H35" s="83"/>
      <c r="I35" s="83"/>
    </row>
  </sheetData>
  <mergeCells count="2">
    <mergeCell ref="H30:I35"/>
    <mergeCell ref="H3: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B118-561D-407C-97FE-6EA1BF293072}">
  <dimension ref="B2:J46"/>
  <sheetViews>
    <sheetView workbookViewId="0">
      <selection activeCell="C29" sqref="C29"/>
    </sheetView>
  </sheetViews>
  <sheetFormatPr defaultRowHeight="15" x14ac:dyDescent="0.25"/>
  <cols>
    <col min="2" max="2" width="14.5703125" bestFit="1" customWidth="1"/>
    <col min="3" max="3" width="14.28515625" customWidth="1"/>
    <col min="4" max="4" width="54.7109375" bestFit="1" customWidth="1"/>
    <col min="6" max="6" width="13.7109375" bestFit="1" customWidth="1"/>
    <col min="7" max="7" width="57.42578125" bestFit="1" customWidth="1"/>
  </cols>
  <sheetData>
    <row r="2" spans="2:7" ht="15.75" thickBot="1" x14ac:dyDescent="0.3"/>
    <row r="3" spans="2:7" ht="15.75" thickBot="1" x14ac:dyDescent="0.3">
      <c r="B3" s="11" t="s">
        <v>0</v>
      </c>
      <c r="C3" s="8">
        <v>5</v>
      </c>
      <c r="D3" s="12" t="s">
        <v>1</v>
      </c>
      <c r="F3" s="84" t="s">
        <v>2</v>
      </c>
      <c r="G3" s="85"/>
    </row>
    <row r="4" spans="2:7" ht="15.75" thickBot="1" x14ac:dyDescent="0.3">
      <c r="B4" s="17" t="s">
        <v>3</v>
      </c>
      <c r="C4" s="10">
        <v>5</v>
      </c>
      <c r="D4" s="18" t="s">
        <v>4</v>
      </c>
      <c r="F4" s="51" t="s">
        <v>5</v>
      </c>
      <c r="G4" s="57" t="s">
        <v>6</v>
      </c>
    </row>
    <row r="5" spans="2:7" hidden="1" x14ac:dyDescent="0.25">
      <c r="B5" s="36" t="s">
        <v>0</v>
      </c>
      <c r="C5" s="37">
        <f>RADIANS(C3)</f>
        <v>8.7266462599716474E-2</v>
      </c>
      <c r="D5" s="38"/>
      <c r="F5" s="54"/>
      <c r="G5" s="50"/>
    </row>
    <row r="6" spans="2:7" hidden="1" x14ac:dyDescent="0.25">
      <c r="B6" s="15" t="s">
        <v>3</v>
      </c>
      <c r="C6" s="9">
        <f>RADIANS(C4)</f>
        <v>8.7266462599716474E-2</v>
      </c>
      <c r="D6" s="16"/>
      <c r="F6" s="54"/>
      <c r="G6" s="50"/>
    </row>
    <row r="7" spans="2:7" x14ac:dyDescent="0.25">
      <c r="B7" s="13" t="s">
        <v>7</v>
      </c>
      <c r="C7" s="9">
        <v>40</v>
      </c>
      <c r="D7" s="14" t="s">
        <v>8</v>
      </c>
      <c r="F7" s="54" t="s">
        <v>9</v>
      </c>
      <c r="G7" s="50" t="s">
        <v>10</v>
      </c>
    </row>
    <row r="8" spans="2:7" ht="15.75" thickBot="1" x14ac:dyDescent="0.3">
      <c r="B8" s="13" t="s">
        <v>11</v>
      </c>
      <c r="C8" s="9">
        <v>50</v>
      </c>
      <c r="D8" s="14" t="s">
        <v>12</v>
      </c>
      <c r="F8" s="55" t="s">
        <v>13</v>
      </c>
      <c r="G8" s="56" t="s">
        <v>14</v>
      </c>
    </row>
    <row r="9" spans="2:7" x14ac:dyDescent="0.25">
      <c r="B9" s="13" t="s">
        <v>15</v>
      </c>
      <c r="C9" s="9">
        <v>20</v>
      </c>
      <c r="D9" s="14" t="s">
        <v>16</v>
      </c>
    </row>
    <row r="10" spans="2:7" ht="15.75" thickBot="1" x14ac:dyDescent="0.3">
      <c r="B10" s="13" t="s">
        <v>17</v>
      </c>
      <c r="C10" s="9">
        <v>1920</v>
      </c>
      <c r="D10" s="14" t="s">
        <v>18</v>
      </c>
    </row>
    <row r="11" spans="2:7" ht="15.75" thickBot="1" x14ac:dyDescent="0.3">
      <c r="B11" s="17" t="s">
        <v>19</v>
      </c>
      <c r="C11" s="10">
        <v>1080</v>
      </c>
      <c r="D11" s="18" t="s">
        <v>20</v>
      </c>
      <c r="F11" s="47">
        <v>1</v>
      </c>
      <c r="G11" s="44" t="s">
        <v>21</v>
      </c>
    </row>
    <row r="12" spans="2:7" ht="15.75" thickBot="1" x14ac:dyDescent="0.3">
      <c r="B12" s="19" t="s">
        <v>22</v>
      </c>
      <c r="C12" s="20">
        <f>(C7*C9*100)/(C8*C10)</f>
        <v>0.83333333333333337</v>
      </c>
      <c r="D12" s="21" t="s">
        <v>23</v>
      </c>
      <c r="F12" s="48">
        <v>2</v>
      </c>
      <c r="G12" s="45" t="s">
        <v>24</v>
      </c>
    </row>
    <row r="13" spans="2:7" x14ac:dyDescent="0.25">
      <c r="B13" s="52" t="s">
        <v>25</v>
      </c>
      <c r="C13" s="53">
        <f>IF(C4=0,AVERAGE(F31:F32),AVERAGE(F29:F32))</f>
        <v>2.2174406907626873</v>
      </c>
      <c r="D13" s="21" t="s">
        <v>23</v>
      </c>
      <c r="F13" s="48">
        <v>3</v>
      </c>
      <c r="G13" s="45" t="s">
        <v>26</v>
      </c>
    </row>
    <row r="14" spans="2:7" x14ac:dyDescent="0.25">
      <c r="B14" s="22" t="s">
        <v>27</v>
      </c>
      <c r="C14" s="7">
        <f>MAX(($C$12*C10)/100, ($C$13*C10)/100)</f>
        <v>42.574861262643601</v>
      </c>
      <c r="D14" s="23" t="s">
        <v>28</v>
      </c>
      <c r="F14" s="48">
        <v>4</v>
      </c>
      <c r="G14" s="45" t="s">
        <v>29</v>
      </c>
    </row>
    <row r="15" spans="2:7" ht="15.75" thickBot="1" x14ac:dyDescent="0.3">
      <c r="B15" s="22" t="s">
        <v>30</v>
      </c>
      <c r="C15" s="7">
        <f>MAX(($C$12*C11)/100, ($C$13*C11)/100)</f>
        <v>23.948359460237025</v>
      </c>
      <c r="D15" s="23" t="s">
        <v>31</v>
      </c>
      <c r="F15" s="49">
        <v>5</v>
      </c>
      <c r="G15" s="46" t="s">
        <v>32</v>
      </c>
    </row>
    <row r="16" spans="2:7" ht="15.75" thickBot="1" x14ac:dyDescent="0.3">
      <c r="B16" s="24" t="s">
        <v>33</v>
      </c>
      <c r="C16" s="25">
        <f>DEGREES(ATAN(C7/C8))</f>
        <v>38.659808254090095</v>
      </c>
      <c r="D16" s="26" t="s">
        <v>34</v>
      </c>
    </row>
    <row r="17" spans="2:7" x14ac:dyDescent="0.25">
      <c r="B17" t="s">
        <v>33</v>
      </c>
      <c r="C17">
        <f>RADIANS(C16)</f>
        <v>0.67474094222355274</v>
      </c>
    </row>
    <row r="19" spans="2:7" x14ac:dyDescent="0.25">
      <c r="B19" t="s">
        <v>35</v>
      </c>
      <c r="C19">
        <f>SIN(C17+C5)</f>
        <v>0.69037509537337527</v>
      </c>
      <c r="D19">
        <f>SIN(RADIANS(90)-(C17+C5))</f>
        <v>0.72345160701197075</v>
      </c>
      <c r="E19">
        <f>C19/D19</f>
        <v>0.95427957956274445</v>
      </c>
    </row>
    <row r="20" spans="2:7" x14ac:dyDescent="0.25">
      <c r="B20" t="s">
        <v>35</v>
      </c>
      <c r="C20">
        <f>SIN(C5)</f>
        <v>8.7155742747658166E-2</v>
      </c>
      <c r="D20">
        <f>SIN(RADIANS(90)-C5)</f>
        <v>0.99619469809174555</v>
      </c>
      <c r="E20">
        <f>C20/D20</f>
        <v>8.7488663525923993E-2</v>
      </c>
    </row>
    <row r="21" spans="2:7" x14ac:dyDescent="0.25">
      <c r="B21" t="s">
        <v>35</v>
      </c>
      <c r="E21">
        <f>E19-E20</f>
        <v>0.86679091603682046</v>
      </c>
    </row>
    <row r="22" spans="2:7" x14ac:dyDescent="0.25">
      <c r="B22" t="s">
        <v>36</v>
      </c>
      <c r="C22">
        <f>SIN(C17-C5)</f>
        <v>0.55426069322240146</v>
      </c>
      <c r="D22">
        <f>SIN(RADIANS(90)-(C17-C5))</f>
        <v>0.83234312873274974</v>
      </c>
      <c r="E22">
        <f>C22/D22</f>
        <v>0.66590408941834911</v>
      </c>
    </row>
    <row r="23" spans="2:7" x14ac:dyDescent="0.25">
      <c r="B23" t="s">
        <v>37</v>
      </c>
      <c r="C23">
        <f>SIN(C17+C6)</f>
        <v>0.69037509537337527</v>
      </c>
      <c r="D23">
        <f>SIN(RADIANS(90)-(C17+C6))</f>
        <v>0.72345160701197075</v>
      </c>
      <c r="E23">
        <f>C23/D23</f>
        <v>0.95427957956274445</v>
      </c>
    </row>
    <row r="24" spans="2:7" x14ac:dyDescent="0.25">
      <c r="B24" t="s">
        <v>37</v>
      </c>
      <c r="C24">
        <f>SIN(C6)</f>
        <v>8.7155742747658166E-2</v>
      </c>
      <c r="D24">
        <f>SIN(RADIANS(90)-C6)</f>
        <v>0.99619469809174555</v>
      </c>
      <c r="E24">
        <f>C24/D24</f>
        <v>8.7488663525923993E-2</v>
      </c>
    </row>
    <row r="25" spans="2:7" x14ac:dyDescent="0.25">
      <c r="B25" t="s">
        <v>37</v>
      </c>
      <c r="E25">
        <f>E23-E24</f>
        <v>0.86679091603682046</v>
      </c>
    </row>
    <row r="26" spans="2:7" x14ac:dyDescent="0.25">
      <c r="B26" t="s">
        <v>38</v>
      </c>
      <c r="C26">
        <f>SIN(C17-C6)</f>
        <v>0.55426069322240146</v>
      </c>
      <c r="D26">
        <f>SIN(RADIANS(90)-(C17-C6))</f>
        <v>0.83234312873274974</v>
      </c>
      <c r="E26">
        <f>C26/D26</f>
        <v>0.66590408941834911</v>
      </c>
    </row>
    <row r="28" spans="2:7" ht="15.75" thickBot="1" x14ac:dyDescent="0.3"/>
    <row r="29" spans="2:7" ht="15.75" thickBot="1" x14ac:dyDescent="0.3">
      <c r="B29" s="27" t="s">
        <v>35</v>
      </c>
      <c r="C29" s="28">
        <f>E21*C9</f>
        <v>17.335818320736408</v>
      </c>
      <c r="D29" s="41" t="s">
        <v>39</v>
      </c>
      <c r="E29" s="33" t="s">
        <v>40</v>
      </c>
      <c r="F29" s="39">
        <f>(C29/($C$11/2))*100</f>
        <v>3.2103367260622977</v>
      </c>
      <c r="G29" s="29" t="s">
        <v>41</v>
      </c>
    </row>
    <row r="30" spans="2:7" x14ac:dyDescent="0.25">
      <c r="B30" s="1" t="s">
        <v>36</v>
      </c>
      <c r="C30" s="2">
        <f>E22*C9</f>
        <v>13.318081788366982</v>
      </c>
      <c r="D30" s="42" t="s">
        <v>42</v>
      </c>
      <c r="E30" s="34" t="s">
        <v>40</v>
      </c>
      <c r="F30" s="39">
        <f>(C30/($C$11/2))*100</f>
        <v>2.466311442290182</v>
      </c>
      <c r="G30" s="3" t="s">
        <v>41</v>
      </c>
    </row>
    <row r="31" spans="2:7" x14ac:dyDescent="0.25">
      <c r="B31" s="1" t="s">
        <v>37</v>
      </c>
      <c r="C31" s="2">
        <f>E25*C9</f>
        <v>17.335818320736408</v>
      </c>
      <c r="D31" s="42" t="s">
        <v>43</v>
      </c>
      <c r="E31" s="34" t="s">
        <v>40</v>
      </c>
      <c r="F31" s="40">
        <f>(C31/($C$10/2))*100</f>
        <v>1.8058144084100427</v>
      </c>
      <c r="G31" s="3" t="s">
        <v>41</v>
      </c>
    </row>
    <row r="32" spans="2:7" ht="15.75" thickBot="1" x14ac:dyDescent="0.3">
      <c r="B32" s="4" t="s">
        <v>38</v>
      </c>
      <c r="C32" s="5">
        <f>E26*C9</f>
        <v>13.318081788366982</v>
      </c>
      <c r="D32" s="43" t="s">
        <v>44</v>
      </c>
      <c r="E32" s="35" t="s">
        <v>40</v>
      </c>
      <c r="F32" s="40">
        <f>(C32/($C$10/2))*100</f>
        <v>1.3873001862882273</v>
      </c>
      <c r="G32" s="6" t="s">
        <v>41</v>
      </c>
    </row>
    <row r="33" spans="2:10" ht="15.75" thickBot="1" x14ac:dyDescent="0.3"/>
    <row r="34" spans="2:10" x14ac:dyDescent="0.25">
      <c r="B34" s="27" t="s">
        <v>45</v>
      </c>
      <c r="C34" s="28">
        <f>C29+C30</f>
        <v>30.65390010910339</v>
      </c>
      <c r="D34" s="29" t="s">
        <v>46</v>
      </c>
      <c r="F34" s="83"/>
      <c r="G34" s="83"/>
    </row>
    <row r="35" spans="2:10" x14ac:dyDescent="0.25">
      <c r="B35" s="1" t="s">
        <v>47</v>
      </c>
      <c r="C35" s="2">
        <f>C31+C32</f>
        <v>30.65390010910339</v>
      </c>
      <c r="D35" s="3" t="s">
        <v>46</v>
      </c>
      <c r="F35" s="83"/>
      <c r="G35" s="83"/>
    </row>
    <row r="36" spans="2:10" x14ac:dyDescent="0.25">
      <c r="B36" s="30"/>
      <c r="C36" s="31"/>
      <c r="D36" s="32"/>
      <c r="F36" s="83"/>
      <c r="G36" s="83"/>
    </row>
    <row r="37" spans="2:10" x14ac:dyDescent="0.25">
      <c r="B37" s="1" t="s">
        <v>48</v>
      </c>
      <c r="C37" s="2">
        <f>(C29*(C31+C32))+(C30*(C31+C32))</f>
        <v>939.66159189888879</v>
      </c>
      <c r="D37" s="3" t="s">
        <v>49</v>
      </c>
      <c r="F37" s="83"/>
      <c r="G37" s="83"/>
    </row>
    <row r="38" spans="2:10" x14ac:dyDescent="0.25">
      <c r="B38" s="1" t="s">
        <v>50</v>
      </c>
      <c r="C38" s="2">
        <f>((C10*C11)/C37)/100^2</f>
        <v>0.22067518965094909</v>
      </c>
      <c r="D38" s="3" t="s">
        <v>51</v>
      </c>
      <c r="F38" s="83"/>
      <c r="G38" s="83"/>
    </row>
    <row r="39" spans="2:10" ht="15.75" thickBot="1" x14ac:dyDescent="0.3">
      <c r="B39" s="4" t="s">
        <v>52</v>
      </c>
      <c r="C39" s="5">
        <f>SQRT(C38)</f>
        <v>0.46976077917483605</v>
      </c>
      <c r="D39" s="6" t="s">
        <v>53</v>
      </c>
      <c r="F39" s="83"/>
      <c r="G39" s="83"/>
    </row>
    <row r="40" spans="2:10" ht="15.75" thickBot="1" x14ac:dyDescent="0.3"/>
    <row r="41" spans="2:10" ht="15.75" thickBot="1" x14ac:dyDescent="0.3">
      <c r="B41" s="86" t="s">
        <v>63</v>
      </c>
      <c r="C41" s="87"/>
      <c r="D41" s="87"/>
      <c r="E41" s="87"/>
      <c r="F41" s="87"/>
      <c r="G41" s="87"/>
      <c r="H41" s="87"/>
      <c r="I41" s="87"/>
      <c r="J41" s="88"/>
    </row>
    <row r="42" spans="2:10" ht="15.75" thickBot="1" x14ac:dyDescent="0.3">
      <c r="B42" s="89" t="s">
        <v>66</v>
      </c>
      <c r="C42" s="90"/>
      <c r="D42" s="91"/>
      <c r="F42" s="89" t="s">
        <v>62</v>
      </c>
      <c r="G42" s="91"/>
      <c r="H42" s="73" t="s">
        <v>64</v>
      </c>
      <c r="I42" s="74" t="s">
        <v>65</v>
      </c>
      <c r="J42" s="75"/>
    </row>
    <row r="43" spans="2:10" x14ac:dyDescent="0.25">
      <c r="B43" s="60" t="s">
        <v>54</v>
      </c>
      <c r="C43" s="58">
        <f>SQRT((C29^2)+(C31^2))</f>
        <v>24.516549384021403</v>
      </c>
      <c r="D43" s="61" t="s">
        <v>58</v>
      </c>
      <c r="F43" s="60" t="s">
        <v>35</v>
      </c>
      <c r="G43" s="61">
        <f>C29/C43</f>
        <v>0.70710678118654746</v>
      </c>
      <c r="H43" s="68">
        <f>F29</f>
        <v>3.2103367260622977</v>
      </c>
      <c r="I43" s="70"/>
      <c r="J43" s="71"/>
    </row>
    <row r="44" spans="2:10" x14ac:dyDescent="0.25">
      <c r="B44" s="62" t="s">
        <v>55</v>
      </c>
      <c r="C44" s="59">
        <f>SQRT((C30^2)+(C32^2))</f>
        <v>18.83461188990271</v>
      </c>
      <c r="D44" s="61" t="s">
        <v>59</v>
      </c>
      <c r="F44" s="62" t="s">
        <v>36</v>
      </c>
      <c r="G44" s="66">
        <f>C30/C46</f>
        <v>0.60921740072258257</v>
      </c>
      <c r="H44" s="68">
        <f t="shared" ref="H44:H46" si="0">F30</f>
        <v>2.466311442290182</v>
      </c>
      <c r="I44" s="70"/>
      <c r="J44" s="71"/>
    </row>
    <row r="45" spans="2:10" x14ac:dyDescent="0.25">
      <c r="B45" s="62" t="s">
        <v>56</v>
      </c>
      <c r="C45" s="59">
        <f>SQRT((C29^2)+(C32^2))</f>
        <v>21.860967484793814</v>
      </c>
      <c r="D45" s="61" t="s">
        <v>60</v>
      </c>
      <c r="F45" s="62" t="s">
        <v>37</v>
      </c>
      <c r="G45" s="66">
        <f>C31/C46</f>
        <v>0.79300325261427529</v>
      </c>
      <c r="H45" s="68">
        <f t="shared" si="0"/>
        <v>1.8058144084100427</v>
      </c>
      <c r="I45" s="70"/>
      <c r="J45" s="71"/>
    </row>
    <row r="46" spans="2:10" ht="15.75" thickBot="1" x14ac:dyDescent="0.3">
      <c r="B46" s="63" t="s">
        <v>57</v>
      </c>
      <c r="C46" s="64">
        <f>SQRT((C30^2)+(C31^2))</f>
        <v>21.860967484793814</v>
      </c>
      <c r="D46" s="65" t="s">
        <v>61</v>
      </c>
      <c r="F46" s="63" t="s">
        <v>38</v>
      </c>
      <c r="G46" s="67">
        <f>C32/C45</f>
        <v>0.60921740072258257</v>
      </c>
      <c r="H46" s="69">
        <f t="shared" si="0"/>
        <v>1.3873001862882273</v>
      </c>
      <c r="I46" s="70"/>
      <c r="J46" s="72"/>
    </row>
  </sheetData>
  <mergeCells count="5">
    <mergeCell ref="F3:G3"/>
    <mergeCell ref="F34:G39"/>
    <mergeCell ref="B41:J41"/>
    <mergeCell ref="B42:D42"/>
    <mergeCell ref="F42:G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Oblique</vt:lpstr>
      <vt:lpstr>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J Jolley</dc:creator>
  <cp:keywords/>
  <dc:description/>
  <cp:lastModifiedBy>Martin J Jolley</cp:lastModifiedBy>
  <cp:revision/>
  <dcterms:created xsi:type="dcterms:W3CDTF">2021-02-05T02:08:53Z</dcterms:created>
  <dcterms:modified xsi:type="dcterms:W3CDTF">2021-11-11T13:19:35Z</dcterms:modified>
  <cp:category/>
  <cp:contentStatus/>
</cp:coreProperties>
</file>