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321"/>
  </bookViews>
  <sheets>
    <sheet name="Summary" sheetId="1" r:id="rId1"/>
    <sheet name="Heights" sheetId="2" r:id="rId2"/>
    <sheet name="Audio" sheetId="3" r:id="rId3"/>
    <sheet name="Simulation" sheetId="4" r:id="rId4"/>
    <sheet name="Parallax Error" sheetId="5" r:id="rId5"/>
  </sheets>
  <calcPr calcId="145621" iterateDelta="1E-4"/>
</workbook>
</file>

<file path=xl/calcChain.xml><?xml version="1.0" encoding="utf-8"?>
<calcChain xmlns="http://schemas.openxmlformats.org/spreadsheetml/2006/main">
  <c r="M3" i="3" l="1"/>
  <c r="O3" i="3" s="1"/>
  <c r="N3" i="3"/>
  <c r="P3" i="3" s="1"/>
  <c r="M5" i="3"/>
  <c r="N5" i="3"/>
  <c r="O5" i="3"/>
  <c r="Q5" i="3" s="1"/>
  <c r="B30" i="3" s="1"/>
  <c r="P5" i="3"/>
  <c r="R5" i="3" s="1"/>
  <c r="C30" i="3" s="1"/>
  <c r="M7" i="3"/>
  <c r="O7" i="3" s="1"/>
  <c r="N7" i="3"/>
  <c r="P7" i="3" s="1"/>
  <c r="M9" i="3"/>
  <c r="N9" i="3"/>
  <c r="O9" i="3"/>
  <c r="Q9" i="3" s="1"/>
  <c r="B32" i="3" s="1"/>
  <c r="P9" i="3"/>
  <c r="R9" i="3" s="1"/>
  <c r="C32" i="3" s="1"/>
  <c r="M11" i="3"/>
  <c r="O11" i="3" s="1"/>
  <c r="N11" i="3"/>
  <c r="P11" i="3" s="1"/>
  <c r="M13" i="3"/>
  <c r="N13" i="3"/>
  <c r="O13" i="3"/>
  <c r="Q13" i="3" s="1"/>
  <c r="B34" i="3" s="1"/>
  <c r="P13" i="3"/>
  <c r="R13" i="3" s="1"/>
  <c r="C34" i="3" s="1"/>
  <c r="M15" i="3"/>
  <c r="O15" i="3" s="1"/>
  <c r="N15" i="3"/>
  <c r="P15" i="3" s="1"/>
  <c r="M17" i="3"/>
  <c r="N17" i="3"/>
  <c r="O17" i="3"/>
  <c r="Q17" i="3" s="1"/>
  <c r="B36" i="3" s="1"/>
  <c r="P17" i="3"/>
  <c r="R17" i="3" s="1"/>
  <c r="C36" i="3" s="1"/>
  <c r="M19" i="3"/>
  <c r="O19" i="3" s="1"/>
  <c r="N19" i="3"/>
  <c r="P19" i="3" s="1"/>
  <c r="M21" i="3"/>
  <c r="N21" i="3"/>
  <c r="O21" i="3"/>
  <c r="Q21" i="3" s="1"/>
  <c r="B38" i="3" s="1"/>
  <c r="P21" i="3"/>
  <c r="R21" i="3" s="1"/>
  <c r="C38" i="3" s="1"/>
  <c r="M24" i="3"/>
  <c r="N24" i="3"/>
  <c r="O5" i="2"/>
  <c r="E6" i="2"/>
  <c r="F6" i="2"/>
  <c r="G6" i="2"/>
  <c r="H6" i="2"/>
  <c r="I6" i="2"/>
  <c r="J6" i="2"/>
  <c r="K6" i="2"/>
  <c r="L6" i="2"/>
  <c r="M6" i="2"/>
  <c r="N6" i="2"/>
  <c r="O7" i="2"/>
  <c r="E8" i="2"/>
  <c r="F8" i="2"/>
  <c r="P7" i="2" s="1"/>
  <c r="G8" i="2"/>
  <c r="H8" i="2"/>
  <c r="I8" i="2"/>
  <c r="J8" i="2"/>
  <c r="K8" i="2"/>
  <c r="L8" i="2"/>
  <c r="M8" i="2"/>
  <c r="N8" i="2"/>
  <c r="O9" i="2"/>
  <c r="F10" i="2"/>
  <c r="G10" i="2"/>
  <c r="H10" i="2"/>
  <c r="I10" i="2"/>
  <c r="J10" i="2"/>
  <c r="K10" i="2"/>
  <c r="L10" i="2"/>
  <c r="M10" i="2"/>
  <c r="N10" i="2"/>
  <c r="O11" i="2"/>
  <c r="G12" i="2"/>
  <c r="H12" i="2"/>
  <c r="I12" i="2"/>
  <c r="J12" i="2"/>
  <c r="P11" i="2" s="1"/>
  <c r="C32" i="5" s="1"/>
  <c r="K12" i="2"/>
  <c r="L12" i="2"/>
  <c r="M12" i="2"/>
  <c r="N12" i="2"/>
  <c r="O13" i="2"/>
  <c r="G14" i="2"/>
  <c r="P13" i="2" s="1"/>
  <c r="C33" i="5" s="1"/>
  <c r="H14" i="2"/>
  <c r="I14" i="2"/>
  <c r="J14" i="2"/>
  <c r="K14" i="2"/>
  <c r="L14" i="2"/>
  <c r="M14" i="2"/>
  <c r="N14" i="2"/>
  <c r="S18" i="2"/>
  <c r="T18" i="2"/>
  <c r="E19" i="2"/>
  <c r="F19" i="2"/>
  <c r="G19" i="2"/>
  <c r="S20" i="2"/>
  <c r="E21" i="2"/>
  <c r="F21" i="2"/>
  <c r="T20" i="2" s="1"/>
  <c r="I30" i="5" s="1"/>
  <c r="S22" i="2"/>
  <c r="E23" i="2"/>
  <c r="F23" i="2"/>
  <c r="T22" i="2" s="1"/>
  <c r="G23" i="2"/>
  <c r="H23" i="2"/>
  <c r="I23" i="2"/>
  <c r="J23" i="2"/>
  <c r="K23" i="2"/>
  <c r="L23" i="2"/>
  <c r="M23" i="2"/>
  <c r="N23" i="2"/>
  <c r="O23" i="2"/>
  <c r="P23" i="2"/>
  <c r="Q23" i="2"/>
  <c r="R23" i="2"/>
  <c r="S24" i="2"/>
  <c r="E25" i="2"/>
  <c r="F25" i="2"/>
  <c r="G25" i="2"/>
  <c r="H25" i="2"/>
  <c r="I25" i="2"/>
  <c r="J25" i="2"/>
  <c r="K25" i="2"/>
  <c r="L25" i="2"/>
  <c r="M25" i="2"/>
  <c r="N25" i="2"/>
  <c r="O25" i="2"/>
  <c r="P25" i="2"/>
  <c r="Q25" i="2"/>
  <c r="S26" i="2"/>
  <c r="E27" i="2"/>
  <c r="F27" i="2"/>
  <c r="G27" i="2"/>
  <c r="H27" i="2"/>
  <c r="T26" i="2" s="1"/>
  <c r="I33" i="5" s="1"/>
  <c r="I27" i="2"/>
  <c r="J27" i="2"/>
  <c r="E33" i="2"/>
  <c r="F33" i="2"/>
  <c r="K33" i="2"/>
  <c r="L33" i="2"/>
  <c r="C34" i="2"/>
  <c r="E34" i="2"/>
  <c r="I34" i="2"/>
  <c r="K34" i="2"/>
  <c r="C35" i="2"/>
  <c r="I35" i="2"/>
  <c r="L35" i="2"/>
  <c r="C36" i="2"/>
  <c r="E36" i="2"/>
  <c r="I36" i="2"/>
  <c r="K36" i="2"/>
  <c r="C37" i="2"/>
  <c r="I37" i="2"/>
  <c r="L37" i="2"/>
  <c r="C38" i="2"/>
  <c r="E38" i="2"/>
  <c r="I38" i="2"/>
  <c r="K38" i="2"/>
  <c r="C4" i="5"/>
  <c r="E4" i="5"/>
  <c r="D5" i="5"/>
  <c r="D6" i="5"/>
  <c r="D7" i="5"/>
  <c r="D8" i="5"/>
  <c r="D9" i="5"/>
  <c r="C16" i="5"/>
  <c r="E16" i="5"/>
  <c r="G16" i="5"/>
  <c r="D28" i="5"/>
  <c r="J28" i="5"/>
  <c r="I29" i="5"/>
  <c r="C30" i="5"/>
  <c r="I31" i="5"/>
  <c r="D4" i="4"/>
  <c r="E4" i="4" s="1"/>
  <c r="F4" i="4"/>
  <c r="G4" i="4"/>
  <c r="H4" i="4" s="1"/>
  <c r="I4" i="4"/>
  <c r="J4" i="4"/>
  <c r="K4" i="4" s="1"/>
  <c r="L4" i="4"/>
  <c r="O4" i="4"/>
  <c r="P4" i="4" s="1"/>
  <c r="Q4" i="4" s="1"/>
  <c r="U4" i="4"/>
  <c r="V4" i="4"/>
  <c r="X4" i="4"/>
  <c r="Y4" i="4" s="1"/>
  <c r="Z4" i="4" s="1"/>
  <c r="C5" i="4"/>
  <c r="C17" i="5" s="1"/>
  <c r="G17" i="5" s="1"/>
  <c r="H17" i="5" s="1"/>
  <c r="F5" i="4"/>
  <c r="G5" i="4" s="1"/>
  <c r="H5" i="4" s="1"/>
  <c r="I5" i="4"/>
  <c r="J5" i="4"/>
  <c r="K5" i="4" s="1"/>
  <c r="L5" i="4"/>
  <c r="O5" i="4"/>
  <c r="R5" i="4"/>
  <c r="S5" i="4"/>
  <c r="T5" i="4" s="1"/>
  <c r="C6" i="4"/>
  <c r="C18" i="5" s="1"/>
  <c r="G18" i="5" s="1"/>
  <c r="H18" i="5" s="1"/>
  <c r="L6" i="4"/>
  <c r="F7" i="4"/>
  <c r="I7" i="4"/>
  <c r="J7" i="4"/>
  <c r="L7" i="4"/>
  <c r="R7" i="4"/>
  <c r="F8" i="4"/>
  <c r="L8" i="4"/>
  <c r="O8" i="4"/>
  <c r="F9" i="4"/>
  <c r="I9" i="4"/>
  <c r="J9" i="4"/>
  <c r="L9" i="4"/>
  <c r="O9" i="4"/>
  <c r="R9" i="4"/>
  <c r="L10" i="4"/>
  <c r="O10" i="4" s="1"/>
  <c r="L11" i="4"/>
  <c r="O11" i="4" s="1"/>
  <c r="R11" i="4"/>
  <c r="L12" i="4"/>
  <c r="O12" i="4" s="1"/>
  <c r="L13" i="4"/>
  <c r="O13" i="4" s="1"/>
  <c r="R13" i="4"/>
  <c r="D5" i="4" l="1"/>
  <c r="C5" i="5"/>
  <c r="F5" i="5" s="1"/>
  <c r="I5" i="5" s="1"/>
  <c r="P5" i="4"/>
  <c r="Q5" i="4" s="1"/>
  <c r="B17" i="5"/>
  <c r="E17" i="5" s="1"/>
  <c r="I17" i="5" s="1"/>
  <c r="L36" i="2"/>
  <c r="K37" i="2"/>
  <c r="I8" i="4"/>
  <c r="J8" i="4" s="1"/>
  <c r="L34" i="2"/>
  <c r="K35" i="2"/>
  <c r="I44" i="2" s="1" a="1"/>
  <c r="I6" i="4"/>
  <c r="P5" i="2"/>
  <c r="C29" i="5" s="1"/>
  <c r="E37" i="2"/>
  <c r="F36" i="2"/>
  <c r="E35" i="2"/>
  <c r="C44" i="2" s="1" a="1"/>
  <c r="F34" i="2"/>
  <c r="L38" i="2"/>
  <c r="D5" i="1" s="1"/>
  <c r="C7" i="4"/>
  <c r="F6" i="4"/>
  <c r="G6" i="4" s="1"/>
  <c r="H6" i="4" s="1"/>
  <c r="E5" i="4"/>
  <c r="M4" i="4"/>
  <c r="N4" i="4" s="1"/>
  <c r="C6" i="5"/>
  <c r="F6" i="5" s="1"/>
  <c r="I6" i="5" s="1"/>
  <c r="O6" i="4"/>
  <c r="D6" i="4"/>
  <c r="E6" i="4" s="1"/>
  <c r="B5" i="5"/>
  <c r="E5" i="5" s="1"/>
  <c r="F37" i="2"/>
  <c r="F35" i="2"/>
  <c r="E35" i="3"/>
  <c r="D36" i="3"/>
  <c r="Q15" i="3"/>
  <c r="B35" i="3" s="1"/>
  <c r="R15" i="3"/>
  <c r="C35" i="3" s="1"/>
  <c r="D32" i="3"/>
  <c r="Q7" i="3"/>
  <c r="B31" i="3" s="1"/>
  <c r="R7" i="3"/>
  <c r="C31" i="3" s="1"/>
  <c r="O7" i="4"/>
  <c r="T24" i="2"/>
  <c r="I32" i="5" s="1"/>
  <c r="P9" i="2"/>
  <c r="C31" i="5" s="1"/>
  <c r="E37" i="3"/>
  <c r="D38" i="3"/>
  <c r="Q19" i="3"/>
  <c r="B37" i="3" s="1"/>
  <c r="R19" i="3"/>
  <c r="C37" i="3" s="1"/>
  <c r="F34" i="3"/>
  <c r="E33" i="3"/>
  <c r="D34" i="3"/>
  <c r="Q11" i="3"/>
  <c r="B33" i="3" s="1"/>
  <c r="R11" i="3"/>
  <c r="C33" i="3" s="1"/>
  <c r="D30" i="3"/>
  <c r="J5" i="5" l="1"/>
  <c r="H29" i="5" s="1"/>
  <c r="J34" i="2"/>
  <c r="M33" i="2" s="1"/>
  <c r="F31" i="3"/>
  <c r="E30" i="3"/>
  <c r="D31" i="3"/>
  <c r="R6" i="4"/>
  <c r="S6" i="4" s="1"/>
  <c r="T6" i="4" s="1"/>
  <c r="C7" i="5"/>
  <c r="F7" i="5" s="1"/>
  <c r="I7" i="5" s="1"/>
  <c r="C19" i="5"/>
  <c r="G19" i="5" s="1"/>
  <c r="H19" i="5" s="1"/>
  <c r="C8" i="4"/>
  <c r="D7" i="4"/>
  <c r="E7" i="4" s="1"/>
  <c r="S7" i="4"/>
  <c r="T7" i="4" s="1"/>
  <c r="E36" i="3"/>
  <c r="D37" i="3"/>
  <c r="F37" i="3"/>
  <c r="R12" i="4"/>
  <c r="F36" i="3"/>
  <c r="B6" i="5"/>
  <c r="E6" i="5" s="1"/>
  <c r="J6" i="5" s="1"/>
  <c r="B18" i="5"/>
  <c r="E18" i="5" s="1"/>
  <c r="I18" i="5" s="1"/>
  <c r="G7" i="4"/>
  <c r="H7" i="4" s="1"/>
  <c r="F30" i="3"/>
  <c r="E31" i="3"/>
  <c r="M5" i="4"/>
  <c r="N5" i="4" s="1"/>
  <c r="B29" i="5"/>
  <c r="D34" i="2"/>
  <c r="G33" i="2" s="1"/>
  <c r="F38" i="2"/>
  <c r="D9" i="1" s="1"/>
  <c r="J6" i="4"/>
  <c r="K6" i="4" s="1"/>
  <c r="K8" i="4"/>
  <c r="I44" i="2"/>
  <c r="I42" i="2" s="1"/>
  <c r="J44" i="2"/>
  <c r="I45" i="2"/>
  <c r="J45" i="2"/>
  <c r="D44" i="2"/>
  <c r="C45" i="2"/>
  <c r="D45" i="2"/>
  <c r="C44" i="2"/>
  <c r="C42" i="2" s="1"/>
  <c r="E32" i="3"/>
  <c r="D33" i="3"/>
  <c r="B43" i="3" s="1" a="1"/>
  <c r="F33" i="3"/>
  <c r="R8" i="4"/>
  <c r="S8" i="4" s="1"/>
  <c r="T8" i="4" s="1"/>
  <c r="F32" i="3"/>
  <c r="F35" i="3"/>
  <c r="E34" i="3"/>
  <c r="D35" i="3"/>
  <c r="R10" i="4"/>
  <c r="P6" i="4"/>
  <c r="Q6" i="4" s="1"/>
  <c r="M6" i="4"/>
  <c r="N6" i="4" s="1"/>
  <c r="K7" i="4"/>
  <c r="J35" i="2" l="1"/>
  <c r="M34" i="2" s="1"/>
  <c r="H30" i="5"/>
  <c r="L29" i="5" s="1"/>
  <c r="C43" i="3"/>
  <c r="B44" i="3"/>
  <c r="B43" i="3"/>
  <c r="B41" i="3" s="1"/>
  <c r="C44" i="3"/>
  <c r="D42" i="2"/>
  <c r="E10" i="1" s="1"/>
  <c r="D10" i="1"/>
  <c r="F28" i="5"/>
  <c r="U5" i="4"/>
  <c r="V5" i="4" s="1"/>
  <c r="W5" i="4" s="1"/>
  <c r="E28" i="5"/>
  <c r="D29" i="5"/>
  <c r="M7" i="4"/>
  <c r="N7" i="4" s="1"/>
  <c r="B19" i="5"/>
  <c r="E19" i="5" s="1"/>
  <c r="D35" i="2"/>
  <c r="G34" i="2" s="1"/>
  <c r="B30" i="5"/>
  <c r="F29" i="5" s="1"/>
  <c r="P7" i="4"/>
  <c r="Q7" i="4" s="1"/>
  <c r="C8" i="5"/>
  <c r="F8" i="5" s="1"/>
  <c r="I8" i="5" s="1"/>
  <c r="C20" i="5"/>
  <c r="G20" i="5" s="1"/>
  <c r="H20" i="5" s="1"/>
  <c r="D8" i="4"/>
  <c r="B8" i="5" s="1"/>
  <c r="E8" i="5" s="1"/>
  <c r="C9" i="4"/>
  <c r="G8" i="4"/>
  <c r="H8" i="4" s="1"/>
  <c r="B7" i="5"/>
  <c r="E7" i="5" s="1"/>
  <c r="J7" i="5" s="1"/>
  <c r="I19" i="5"/>
  <c r="E38" i="3"/>
  <c r="D13" i="1" s="1"/>
  <c r="J42" i="2"/>
  <c r="E6" i="1" s="1"/>
  <c r="D6" i="1"/>
  <c r="F38" i="3"/>
  <c r="E13" i="1" s="1"/>
  <c r="K28" i="5"/>
  <c r="X5" i="4"/>
  <c r="Y5" i="4" s="1"/>
  <c r="Z5" i="4" s="1"/>
  <c r="L28" i="5"/>
  <c r="J29" i="5"/>
  <c r="C21" i="5" l="1"/>
  <c r="G21" i="5" s="1"/>
  <c r="H21" i="5" s="1"/>
  <c r="C10" i="4"/>
  <c r="D9" i="4"/>
  <c r="C9" i="5"/>
  <c r="F9" i="5" s="1"/>
  <c r="I9" i="5" s="1"/>
  <c r="K9" i="4"/>
  <c r="G9" i="4"/>
  <c r="H9" i="4" s="1"/>
  <c r="S9" i="4"/>
  <c r="T9" i="4" s="1"/>
  <c r="H31" i="5"/>
  <c r="L30" i="5" s="1"/>
  <c r="J36" i="2"/>
  <c r="M35" i="2" s="1"/>
  <c r="B31" i="5"/>
  <c r="D36" i="2"/>
  <c r="G35" i="2" s="1"/>
  <c r="C41" i="3"/>
  <c r="E14" i="1" s="1"/>
  <c r="D14" i="1"/>
  <c r="E8" i="4"/>
  <c r="P8" i="4"/>
  <c r="Q8" i="4" s="1"/>
  <c r="D30" i="5"/>
  <c r="U6" i="4"/>
  <c r="V6" i="4" s="1"/>
  <c r="W6" i="4" s="1"/>
  <c r="E29" i="5"/>
  <c r="F30" i="5"/>
  <c r="B20" i="5"/>
  <c r="E20" i="5" s="1"/>
  <c r="I20" i="5" s="1"/>
  <c r="J8" i="5"/>
  <c r="K29" i="5"/>
  <c r="J30" i="5"/>
  <c r="X6" i="4"/>
  <c r="Y6" i="4" s="1"/>
  <c r="Z6" i="4" s="1"/>
  <c r="D37" i="2" l="1"/>
  <c r="G36" i="2" s="1"/>
  <c r="B32" i="5"/>
  <c r="F31" i="5" s="1"/>
  <c r="C11" i="4"/>
  <c r="D10" i="4"/>
  <c r="S10" i="4"/>
  <c r="T10" i="4" s="1"/>
  <c r="E9" i="4"/>
  <c r="M9" i="4" s="1"/>
  <c r="N9" i="4" s="1"/>
  <c r="P9" i="4"/>
  <c r="Q9" i="4" s="1"/>
  <c r="J37" i="2"/>
  <c r="M36" i="2" s="1"/>
  <c r="H32" i="5"/>
  <c r="B21" i="5"/>
  <c r="E21" i="5" s="1"/>
  <c r="I21" i="5" s="1"/>
  <c r="B9" i="5"/>
  <c r="E9" i="5" s="1"/>
  <c r="J9" i="5" s="1"/>
  <c r="M8" i="4"/>
  <c r="N8" i="4" s="1"/>
  <c r="E30" i="5"/>
  <c r="U7" i="4"/>
  <c r="V7" i="4" s="1"/>
  <c r="W7" i="4" s="1"/>
  <c r="D31" i="5"/>
  <c r="L31" i="5"/>
  <c r="K30" i="5"/>
  <c r="J31" i="5"/>
  <c r="X7" i="4"/>
  <c r="Y7" i="4" s="1"/>
  <c r="Z7" i="4" s="1"/>
  <c r="H33" i="5" l="1"/>
  <c r="J38" i="2"/>
  <c r="M37" i="2" s="1"/>
  <c r="B33" i="5"/>
  <c r="D38" i="2"/>
  <c r="G37" i="2" s="1"/>
  <c r="G38" i="2" s="1"/>
  <c r="E9" i="1" s="1"/>
  <c r="C12" i="4"/>
  <c r="D11" i="4"/>
  <c r="S11" i="4"/>
  <c r="T11" i="4" s="1"/>
  <c r="M38" i="2"/>
  <c r="E5" i="1" s="1"/>
  <c r="E10" i="4"/>
  <c r="M10" i="4" s="1"/>
  <c r="N10" i="4" s="1"/>
  <c r="P10" i="4"/>
  <c r="Q10" i="4" s="1"/>
  <c r="D32" i="5"/>
  <c r="F32" i="5"/>
  <c r="F33" i="5" s="1"/>
  <c r="E11" i="1" s="1"/>
  <c r="U8" i="4"/>
  <c r="V8" i="4" s="1"/>
  <c r="W8" i="4" s="1"/>
  <c r="E31" i="5"/>
  <c r="K31" i="5"/>
  <c r="J32" i="5"/>
  <c r="X8" i="4"/>
  <c r="Y8" i="4" s="1"/>
  <c r="Z8" i="4" s="1"/>
  <c r="L32" i="5"/>
  <c r="L33" i="5" s="1"/>
  <c r="E7" i="1" s="1"/>
  <c r="E11" i="4" l="1"/>
  <c r="M11" i="4" s="1"/>
  <c r="N11" i="4" s="1"/>
  <c r="P11" i="4"/>
  <c r="Q11" i="4" s="1"/>
  <c r="E32" i="5"/>
  <c r="E33" i="5" s="1"/>
  <c r="D11" i="1" s="1"/>
  <c r="D33" i="5"/>
  <c r="B39" i="5" s="1" a="1"/>
  <c r="U9" i="4"/>
  <c r="V9" i="4" s="1"/>
  <c r="W9" i="4" s="1"/>
  <c r="X9" i="4"/>
  <c r="Y9" i="4" s="1"/>
  <c r="Z9" i="4" s="1"/>
  <c r="K32" i="5"/>
  <c r="K33" i="5" s="1"/>
  <c r="D7" i="1" s="1"/>
  <c r="J33" i="5"/>
  <c r="H39" i="5" s="1" a="1"/>
  <c r="C13" i="4"/>
  <c r="D12" i="4"/>
  <c r="S12" i="4"/>
  <c r="T12" i="4" s="1"/>
  <c r="E12" i="4" l="1"/>
  <c r="M12" i="4" s="1"/>
  <c r="N12" i="4" s="1"/>
  <c r="P12" i="4"/>
  <c r="Q12" i="4" s="1"/>
  <c r="D13" i="4"/>
  <c r="S13" i="4"/>
  <c r="T13" i="4" s="1"/>
  <c r="C39" i="5"/>
  <c r="B40" i="5"/>
  <c r="C40" i="5"/>
  <c r="B39" i="5"/>
  <c r="B37" i="5" s="1"/>
  <c r="H39" i="5"/>
  <c r="H37" i="5" s="1"/>
  <c r="I39" i="5"/>
  <c r="H40" i="5"/>
  <c r="I40" i="5"/>
  <c r="C37" i="5" l="1"/>
  <c r="E12" i="1" s="1"/>
  <c r="D12" i="1"/>
  <c r="E13" i="4"/>
  <c r="M13" i="4" s="1"/>
  <c r="N13" i="4" s="1"/>
  <c r="P13" i="4"/>
  <c r="Q13" i="4" s="1"/>
  <c r="I37" i="5"/>
  <c r="E8" i="1" s="1"/>
  <c r="D8" i="1"/>
</calcChain>
</file>

<file path=xl/sharedStrings.xml><?xml version="1.0" encoding="utf-8"?>
<sst xmlns="http://schemas.openxmlformats.org/spreadsheetml/2006/main" count="214" uniqueCount="82">
  <si>
    <r>
      <t>C</t>
    </r>
    <r>
      <rPr>
        <b/>
        <vertAlign val="subscript"/>
        <sz val="9"/>
        <rFont val="Trebuchet MS"/>
        <family val="2"/>
      </rPr>
      <t>R</t>
    </r>
  </si>
  <si>
    <r>
      <t>δC</t>
    </r>
    <r>
      <rPr>
        <b/>
        <vertAlign val="subscript"/>
        <sz val="9"/>
        <rFont val="Trebuchet MS"/>
        <family val="2"/>
      </rPr>
      <t>R</t>
    </r>
  </si>
  <si>
    <t>Close Camera</t>
  </si>
  <si>
    <t>Raw</t>
  </si>
  <si>
    <t>2 Point</t>
  </si>
  <si>
    <t>Linear Fit</t>
  </si>
  <si>
    <t>Parallax Corrected</t>
  </si>
  <si>
    <t>Far Camera</t>
  </si>
  <si>
    <t>Sound</t>
  </si>
  <si>
    <t>Far Shots</t>
  </si>
  <si>
    <t>Average</t>
  </si>
  <si>
    <t>Uncertainty</t>
  </si>
  <si>
    <t>Bounce</t>
  </si>
  <si>
    <t># of points</t>
  </si>
  <si>
    <t>Height</t>
  </si>
  <si>
    <t>Uncertainty in Measurement</t>
  </si>
  <si>
    <t>Close Shot</t>
  </si>
  <si>
    <t xml:space="preserve"> Height Far Raw</t>
  </si>
  <si>
    <t xml:space="preserve"> Height Close Raw</t>
  </si>
  <si>
    <t xml:space="preserve">The measurements taken when the camera was at a far distance are marked in blue. The measurements when the camera is closer are marked in green. The uncertainties include frame rate and human judgment uncertainties. They are propagated into the gray data tables.  Values marked in bold in the gray tables are the average values and propagated uncertainty for that data set using the two-point method. LINEST was also used and can be seen in the bottom of the gray boxes.  The uncertainties in the gray boxes also include the parallax error calculated on the parallax error sheet.  </t>
  </si>
  <si>
    <t>Avg</t>
  </si>
  <si>
    <t>Ln(h/200)</t>
  </si>
  <si>
    <t>COR</t>
  </si>
  <si>
    <t>CoR</t>
  </si>
  <si>
    <t>Prop Error</t>
  </si>
  <si>
    <t>Slope</t>
  </si>
  <si>
    <t>Intercept</t>
  </si>
  <si>
    <t>Value</t>
  </si>
  <si>
    <t># of tests</t>
  </si>
  <si>
    <t>101736-1</t>
  </si>
  <si>
    <t>101736-2</t>
  </si>
  <si>
    <t>Total</t>
  </si>
  <si>
    <t>Interval</t>
  </si>
  <si>
    <t>Test 1</t>
  </si>
  <si>
    <t>Test 2</t>
  </si>
  <si>
    <t>Test 3</t>
  </si>
  <si>
    <t>Test 4</t>
  </si>
  <si>
    <t>Test 5</t>
  </si>
  <si>
    <t>Test 6</t>
  </si>
  <si>
    <t>Test 7</t>
  </si>
  <si>
    <t>Test 8</t>
  </si>
  <si>
    <t>Test 9</t>
  </si>
  <si>
    <t>Test 10</t>
  </si>
  <si>
    <t>Error</t>
  </si>
  <si>
    <t>time</t>
  </si>
  <si>
    <t>error</t>
  </si>
  <si>
    <t>Total Time</t>
  </si>
  <si>
    <t xml:space="preserve">The measured time for the first bounce is very inaccurate. This is because the time of drop cannot be accurately determined using these measurement techniques. Two methods were used to determine this. One includes the person dropping the ball saying “drop” which takes 0.3 seconds  to say, giving an uncertainty of at least 0.15 seconds, and 0.3 seconds was used here for a conservative estimate. The other method uses the video to watch the experimenter drop the ball. This can be done with a maximum accuracy of +- 1 frame, or 0.04 seconds. Even with these methods, the time for the first bounce was measured much lower than what was expected. The intervals between bounces can be measured very accurately, as the waveforms stand out clearly from the background noise in Audacity. </t>
  </si>
  <si>
    <t xml:space="preserve">Height Derived from Time </t>
  </si>
  <si>
    <t>Since each method to determine drop time was used 5 times, the total uncertainty for any given average time is 0.0672 s (from propagating the two types of error through 10 measurements being averaged) plus the much smaller uncertainty due to the precision of the sound file and having to pick out the start time of each bounce sound.</t>
  </si>
  <si>
    <r>
      <t>Simulation C</t>
    </r>
    <r>
      <rPr>
        <vertAlign val="subscript"/>
        <sz val="10"/>
        <rFont val="Arial"/>
        <family val="2"/>
      </rPr>
      <t>R</t>
    </r>
    <r>
      <rPr>
        <sz val="10"/>
        <rFont val="Arial"/>
        <family val="2"/>
      </rPr>
      <t xml:space="preserve"> = 0.900</t>
    </r>
  </si>
  <si>
    <t>Height (cm)</t>
  </si>
  <si>
    <t>Fall Time</t>
  </si>
  <si>
    <t>Height Far Raw</t>
  </si>
  <si>
    <t xml:space="preserve">Difference </t>
  </si>
  <si>
    <t>Difference %</t>
  </si>
  <si>
    <t>Height Close Raw</t>
  </si>
  <si>
    <t>Time Measurements</t>
  </si>
  <si>
    <t>Difference</t>
  </si>
  <si>
    <t>Time Intervals</t>
  </si>
  <si>
    <t>Time Derived Heights</t>
  </si>
  <si>
    <t>Corrected Far</t>
  </si>
  <si>
    <t>Corrected Close</t>
  </si>
  <si>
    <t>Change cell B1 in order to change CoR. Change Cell C4 to change starting height.</t>
  </si>
  <si>
    <t>Close</t>
  </si>
  <si>
    <t>Simulated Time</t>
  </si>
  <si>
    <t>Simulated Height</t>
  </si>
  <si>
    <r>
      <t xml:space="preserve">Camera Distance from Wall </t>
    </r>
    <r>
      <rPr>
        <b/>
        <i/>
        <sz val="10"/>
        <rFont val="Trebuchet MS"/>
        <family val="2"/>
      </rPr>
      <t>x</t>
    </r>
    <r>
      <rPr>
        <b/>
        <i/>
        <vertAlign val="subscript"/>
        <sz val="10"/>
        <rFont val="Trebuchet MS"/>
        <family val="2"/>
      </rPr>
      <t>Cam</t>
    </r>
    <r>
      <rPr>
        <b/>
        <i/>
        <sz val="10"/>
        <rFont val="Trebuchet MS"/>
        <family val="2"/>
      </rPr>
      <t xml:space="preserve"> </t>
    </r>
  </si>
  <si>
    <r>
      <t xml:space="preserve">Ball Distance From Wall </t>
    </r>
    <r>
      <rPr>
        <b/>
        <i/>
        <sz val="10"/>
        <rFont val="Trebuchet MS"/>
        <family val="2"/>
      </rPr>
      <t>x</t>
    </r>
    <r>
      <rPr>
        <b/>
        <i/>
        <vertAlign val="subscript"/>
        <sz val="10"/>
        <rFont val="Trebuchet MS"/>
        <family val="2"/>
      </rPr>
      <t>Δ</t>
    </r>
    <r>
      <rPr>
        <b/>
        <i/>
        <sz val="10"/>
        <rFont val="Trebuchet MS"/>
        <family val="2"/>
      </rPr>
      <t xml:space="preserve"> </t>
    </r>
  </si>
  <si>
    <r>
      <t xml:space="preserve">Vertical Offset </t>
    </r>
    <r>
      <rPr>
        <b/>
        <i/>
        <sz val="10"/>
        <rFont val="Trebuchet MS"/>
        <family val="2"/>
      </rPr>
      <t>y</t>
    </r>
    <r>
      <rPr>
        <b/>
        <i/>
        <vertAlign val="subscript"/>
        <sz val="10"/>
        <rFont val="Trebuchet MS"/>
        <family val="2"/>
      </rPr>
      <t>Δ</t>
    </r>
    <r>
      <rPr>
        <b/>
        <i/>
        <sz val="10"/>
        <rFont val="Trebuchet MS"/>
        <family val="2"/>
      </rPr>
      <t xml:space="preserve"> </t>
    </r>
  </si>
  <si>
    <t>Size on camera</t>
  </si>
  <si>
    <r>
      <t xml:space="preserve">Camera Height </t>
    </r>
    <r>
      <rPr>
        <b/>
        <i/>
        <sz val="10"/>
        <rFont val="Trebuchet MS"/>
        <family val="2"/>
      </rPr>
      <t>H</t>
    </r>
    <r>
      <rPr>
        <b/>
        <i/>
        <vertAlign val="subscript"/>
        <sz val="10"/>
        <rFont val="Trebuchet MS"/>
        <family val="2"/>
      </rPr>
      <t>Cam</t>
    </r>
    <r>
      <rPr>
        <b/>
        <i/>
        <sz val="10"/>
        <rFont val="Trebuchet MS"/>
        <family val="2"/>
      </rPr>
      <t xml:space="preserve"> </t>
    </r>
  </si>
  <si>
    <t>Angle between horizontal from camera and measurement</t>
  </si>
  <si>
    <r>
      <t xml:space="preserve">Height Offset (cm) </t>
    </r>
    <r>
      <rPr>
        <b/>
        <i/>
        <sz val="10"/>
        <rFont val="Trebuchet MS"/>
        <family val="2"/>
      </rPr>
      <t>H</t>
    </r>
    <r>
      <rPr>
        <b/>
        <i/>
        <vertAlign val="subscript"/>
        <sz val="10"/>
        <rFont val="Trebuchet MS"/>
        <family val="2"/>
      </rPr>
      <t>Δ</t>
    </r>
    <r>
      <rPr>
        <b/>
        <i/>
        <sz val="10"/>
        <rFont val="Trebuchet MS"/>
        <family val="2"/>
      </rPr>
      <t xml:space="preserve"> </t>
    </r>
  </si>
  <si>
    <t>Far</t>
  </si>
  <si>
    <r>
      <t xml:space="preserve">Angle </t>
    </r>
    <r>
      <rPr>
        <b/>
        <i/>
        <sz val="10"/>
        <rFont val="Trebuchet MS"/>
        <family val="2"/>
      </rPr>
      <t>θ</t>
    </r>
  </si>
  <si>
    <t xml:space="preserve"> Height Far Corrected</t>
  </si>
  <si>
    <t>Height Close Corrected</t>
  </si>
  <si>
    <t xml:space="preserve">These grey boxes are formatted the same as the other sheets, but the data has been corrected for the calculated parallax error. </t>
  </si>
  <si>
    <t>Figrue 6 from report (below)</t>
  </si>
  <si>
    <t xml:space="preserve">Figure not in report (below). This is the linearized data as explained in page 4 of the report. </t>
  </si>
  <si>
    <t>Matthew Klimuszka  #4223034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</si>
</sst>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
    <numFmt numFmtId="166" formatCode="0.0"/>
  </numFmts>
  <fonts count="11" x14ac:knownFonts="1">
    <font>
      <sz val="10"/>
      <name val="Arial"/>
      <family val="2"/>
    </font>
    <font>
      <sz val="9"/>
      <name val="Trebuchet MS"/>
      <family val="2"/>
    </font>
    <font>
      <b/>
      <sz val="9"/>
      <name val="Trebuchet MS"/>
      <family val="2"/>
    </font>
    <font>
      <b/>
      <vertAlign val="subscript"/>
      <sz val="9"/>
      <name val="Trebuchet MS"/>
      <family val="2"/>
    </font>
    <font>
      <sz val="11"/>
      <color indexed="8"/>
      <name val="Calibri"/>
      <family val="2"/>
    </font>
    <font>
      <b/>
      <sz val="11"/>
      <color indexed="8"/>
      <name val="Calibri"/>
      <family val="2"/>
    </font>
    <font>
      <b/>
      <sz val="10"/>
      <name val="Arial"/>
      <family val="2"/>
    </font>
    <font>
      <vertAlign val="subscript"/>
      <sz val="10"/>
      <name val="Arial"/>
      <family val="2"/>
    </font>
    <font>
      <b/>
      <i/>
      <sz val="10"/>
      <name val="Trebuchet MS"/>
      <family val="2"/>
    </font>
    <font>
      <b/>
      <i/>
      <vertAlign val="subscript"/>
      <sz val="10"/>
      <name val="Trebuchet MS"/>
      <family val="2"/>
    </font>
    <font>
      <sz val="10"/>
      <color theme="0"/>
      <name val="Arial"/>
      <family val="2"/>
    </font>
  </fonts>
  <fills count="17">
    <fill>
      <patternFill patternType="none"/>
    </fill>
    <fill>
      <patternFill patternType="gray125"/>
    </fill>
    <fill>
      <patternFill patternType="solid">
        <fgColor indexed="49"/>
        <bgColor indexed="44"/>
      </patternFill>
    </fill>
    <fill>
      <patternFill patternType="solid">
        <fgColor indexed="44"/>
        <bgColor indexed="49"/>
      </patternFill>
    </fill>
    <fill>
      <patternFill patternType="solid">
        <fgColor indexed="18"/>
        <bgColor indexed="32"/>
      </patternFill>
    </fill>
    <fill>
      <patternFill patternType="solid">
        <fgColor indexed="43"/>
        <bgColor indexed="26"/>
      </patternFill>
    </fill>
    <fill>
      <patternFill patternType="solid">
        <fgColor indexed="11"/>
        <bgColor indexed="50"/>
      </patternFill>
    </fill>
    <fill>
      <patternFill patternType="solid">
        <fgColor indexed="17"/>
        <bgColor indexed="21"/>
      </patternFill>
    </fill>
    <fill>
      <patternFill patternType="solid">
        <fgColor indexed="22"/>
        <bgColor indexed="31"/>
      </patternFill>
    </fill>
    <fill>
      <patternFill patternType="solid">
        <fgColor indexed="19"/>
        <bgColor indexed="57"/>
      </patternFill>
    </fill>
    <fill>
      <patternFill patternType="solid">
        <fgColor indexed="42"/>
        <bgColor indexed="31"/>
      </patternFill>
    </fill>
    <fill>
      <patternFill patternType="solid">
        <fgColor indexed="55"/>
        <bgColor indexed="23"/>
      </patternFill>
    </fill>
    <fill>
      <patternFill patternType="solid">
        <fgColor indexed="24"/>
        <bgColor indexed="31"/>
      </patternFill>
    </fill>
    <fill>
      <patternFill patternType="solid">
        <fgColor indexed="31"/>
        <bgColor indexed="24"/>
      </patternFill>
    </fill>
    <fill>
      <patternFill patternType="solid">
        <fgColor indexed="9"/>
        <bgColor indexed="26"/>
      </patternFill>
    </fill>
    <fill>
      <patternFill patternType="solid">
        <fgColor indexed="50"/>
        <bgColor indexed="11"/>
      </patternFill>
    </fill>
    <fill>
      <patternFill patternType="solid">
        <fgColor indexed="40"/>
        <bgColor indexed="15"/>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4" fillId="0" borderId="0"/>
  </cellStyleXfs>
  <cellXfs count="10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2"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5" fontId="0" fillId="0" borderId="0" xfId="0" applyNumberFormat="1"/>
    <xf numFmtId="0" fontId="4" fillId="0" borderId="0" xfId="1" applyAlignment="1">
      <alignment horizontal="center"/>
    </xf>
    <xf numFmtId="0" fontId="5" fillId="0" borderId="0" xfId="1" applyFont="1" applyAlignment="1">
      <alignment horizontal="center"/>
    </xf>
    <xf numFmtId="0" fontId="0" fillId="0" borderId="0" xfId="0"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6" fillId="3" borderId="0" xfId="0" applyFont="1" applyFill="1" applyAlignment="1">
      <alignment horizontal="center"/>
    </xf>
    <xf numFmtId="0" fontId="0" fillId="3" borderId="0" xfId="0" applyFill="1" applyAlignment="1">
      <alignment horizontal="center"/>
    </xf>
    <xf numFmtId="0" fontId="5" fillId="3" borderId="0" xfId="1" applyFont="1" applyFill="1" applyAlignment="1">
      <alignment horizontal="center"/>
    </xf>
    <xf numFmtId="0" fontId="6" fillId="5" borderId="0" xfId="0" applyFont="1" applyFill="1" applyAlignment="1">
      <alignment horizontal="center"/>
    </xf>
    <xf numFmtId="0" fontId="0" fillId="5" borderId="0" xfId="0" applyFill="1" applyAlignment="1">
      <alignment horizontal="center"/>
    </xf>
    <xf numFmtId="0" fontId="0" fillId="2" borderId="0" xfId="0" applyFill="1" applyAlignment="1">
      <alignment horizontal="center"/>
    </xf>
    <xf numFmtId="0" fontId="4" fillId="3" borderId="0" xfId="1" applyFill="1" applyAlignment="1">
      <alignment horizontal="center"/>
    </xf>
    <xf numFmtId="0" fontId="0" fillId="6" borderId="0" xfId="0" applyFill="1"/>
    <xf numFmtId="0" fontId="4" fillId="6" borderId="0" xfId="1" applyFill="1" applyAlignment="1">
      <alignment horizontal="center"/>
    </xf>
    <xf numFmtId="0" fontId="0" fillId="7" borderId="0" xfId="0" applyFont="1" applyFill="1" applyAlignment="1">
      <alignment horizontal="center"/>
    </xf>
    <xf numFmtId="0" fontId="4" fillId="7" borderId="0" xfId="1" applyFont="1" applyFill="1" applyAlignment="1">
      <alignment horizontal="center"/>
    </xf>
    <xf numFmtId="0" fontId="6" fillId="6" borderId="0" xfId="0" applyFont="1" applyFill="1" applyAlignment="1">
      <alignment horizontal="center"/>
    </xf>
    <xf numFmtId="0" fontId="4" fillId="6" borderId="0" xfId="1" applyFont="1" applyFill="1" applyAlignment="1">
      <alignment horizontal="center"/>
    </xf>
    <xf numFmtId="0" fontId="0" fillId="6" borderId="0" xfId="0" applyFill="1" applyAlignment="1">
      <alignment horizontal="center"/>
    </xf>
    <xf numFmtId="1" fontId="0" fillId="7" borderId="0" xfId="0" applyNumberFormat="1" applyFill="1" applyAlignment="1">
      <alignment horizontal="center"/>
    </xf>
    <xf numFmtId="166" fontId="0" fillId="7" borderId="0" xfId="0" applyNumberFormat="1" applyFill="1" applyAlignment="1">
      <alignment horizontal="center"/>
    </xf>
    <xf numFmtId="0" fontId="6" fillId="8" borderId="0" xfId="0" applyFont="1" applyFill="1" applyAlignment="1">
      <alignment horizontal="center"/>
    </xf>
    <xf numFmtId="0" fontId="0" fillId="8" borderId="0" xfId="0" applyFill="1"/>
    <xf numFmtId="0" fontId="0" fillId="8" borderId="0" xfId="0" applyFill="1" applyAlignment="1">
      <alignment horizontal="center"/>
    </xf>
    <xf numFmtId="2" fontId="0" fillId="8" borderId="0" xfId="0" applyNumberFormat="1" applyFill="1" applyAlignment="1">
      <alignment horizontal="center"/>
    </xf>
    <xf numFmtId="164" fontId="0" fillId="8" borderId="0" xfId="0" applyNumberFormat="1" applyFill="1" applyAlignment="1">
      <alignment horizontal="center"/>
    </xf>
    <xf numFmtId="1" fontId="0" fillId="8" borderId="0" xfId="0" applyNumberFormat="1" applyFill="1" applyAlignment="1">
      <alignment horizontal="center"/>
    </xf>
    <xf numFmtId="166" fontId="0" fillId="8" borderId="0" xfId="0" applyNumberFormat="1" applyFill="1" applyAlignment="1">
      <alignment horizontal="center"/>
    </xf>
    <xf numFmtId="2" fontId="6" fillId="8" borderId="0" xfId="0" applyNumberFormat="1" applyFont="1" applyFill="1" applyAlignment="1">
      <alignment horizontal="center"/>
    </xf>
    <xf numFmtId="164" fontId="6" fillId="8" borderId="0" xfId="0" applyNumberFormat="1" applyFont="1" applyFill="1" applyAlignment="1">
      <alignment horizontal="center"/>
    </xf>
    <xf numFmtId="0" fontId="4" fillId="0" borderId="0" xfId="1" applyFont="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0" fillId="0" borderId="0" xfId="0" applyFill="1" applyAlignment="1">
      <alignment horizontal="center"/>
    </xf>
    <xf numFmtId="2" fontId="0" fillId="9" borderId="0" xfId="0" applyNumberFormat="1" applyFill="1" applyAlignment="1">
      <alignment horizontal="center"/>
    </xf>
    <xf numFmtId="165" fontId="0" fillId="9" borderId="0" xfId="0" applyNumberFormat="1" applyFill="1" applyAlignment="1">
      <alignment horizontal="center"/>
    </xf>
    <xf numFmtId="2" fontId="0" fillId="10" borderId="0" xfId="0" applyNumberFormat="1" applyFill="1" applyAlignment="1">
      <alignment horizontal="center"/>
    </xf>
    <xf numFmtId="164" fontId="0" fillId="10" borderId="0" xfId="0" applyNumberFormat="1" applyFill="1" applyAlignment="1">
      <alignment horizontal="center"/>
    </xf>
    <xf numFmtId="166" fontId="0" fillId="9" borderId="0" xfId="0" applyNumberFormat="1" applyFill="1" applyAlignment="1">
      <alignment horizontal="center"/>
    </xf>
    <xf numFmtId="0" fontId="0" fillId="9" borderId="0" xfId="0" applyFill="1"/>
    <xf numFmtId="164" fontId="0" fillId="10" borderId="0" xfId="0" applyNumberFormat="1" applyFill="1"/>
    <xf numFmtId="164" fontId="0" fillId="9" borderId="0" xfId="0" applyNumberFormat="1" applyFill="1" applyAlignment="1">
      <alignment horizontal="center"/>
    </xf>
    <xf numFmtId="164" fontId="0" fillId="9" borderId="0" xfId="0" applyNumberFormat="1" applyFill="1"/>
    <xf numFmtId="0" fontId="0" fillId="10" borderId="0" xfId="0" applyFill="1" applyAlignment="1">
      <alignment horizontal="center"/>
    </xf>
    <xf numFmtId="0" fontId="0" fillId="9" borderId="0" xfId="0" applyFill="1" applyAlignment="1">
      <alignment horizontal="center"/>
    </xf>
    <xf numFmtId="164" fontId="0" fillId="0" borderId="0" xfId="0" applyNumberFormat="1" applyAlignment="1">
      <alignment horizontal="center"/>
    </xf>
    <xf numFmtId="2" fontId="0" fillId="6" borderId="0" xfId="0" applyNumberFormat="1" applyFill="1" applyAlignment="1">
      <alignment horizontal="center"/>
    </xf>
    <xf numFmtId="0" fontId="6" fillId="11" borderId="0" xfId="0" applyFont="1" applyFill="1" applyAlignment="1">
      <alignment horizontal="center"/>
    </xf>
    <xf numFmtId="0" fontId="0" fillId="11" borderId="0" xfId="0" applyFill="1"/>
    <xf numFmtId="0" fontId="0" fillId="11" borderId="0" xfId="0" applyFill="1" applyAlignment="1">
      <alignment horizontal="center"/>
    </xf>
    <xf numFmtId="164" fontId="0" fillId="11" borderId="0" xfId="0" applyNumberFormat="1" applyFill="1" applyAlignment="1">
      <alignment horizontal="center"/>
    </xf>
    <xf numFmtId="1" fontId="0" fillId="11" borderId="0" xfId="0" applyNumberFormat="1" applyFill="1" applyAlignment="1">
      <alignment horizontal="center"/>
    </xf>
    <xf numFmtId="166" fontId="0" fillId="11" borderId="0" xfId="0" applyNumberFormat="1" applyFill="1" applyAlignment="1">
      <alignment horizontal="center"/>
    </xf>
    <xf numFmtId="2" fontId="0" fillId="11" borderId="0" xfId="0" applyNumberFormat="1" applyFill="1" applyAlignment="1">
      <alignment horizontal="center"/>
    </xf>
    <xf numFmtId="164" fontId="6" fillId="11" borderId="0" xfId="0" applyNumberFormat="1" applyFont="1" applyFill="1" applyAlignment="1">
      <alignment horizontal="center"/>
    </xf>
    <xf numFmtId="0" fontId="4" fillId="11" borderId="0" xfId="1" applyFill="1" applyAlignment="1">
      <alignment horizontal="center"/>
    </xf>
    <xf numFmtId="0" fontId="6" fillId="5" borderId="0" xfId="0" applyFont="1" applyFill="1" applyAlignment="1">
      <alignment horizontal="center" vertical="center" wrapText="1"/>
    </xf>
    <xf numFmtId="0" fontId="6" fillId="0" borderId="0" xfId="0" applyFont="1" applyAlignment="1">
      <alignment horizontal="center" vertical="center" wrapText="1"/>
    </xf>
    <xf numFmtId="0" fontId="6" fillId="12" borderId="0" xfId="0" applyFont="1" applyFill="1" applyAlignment="1">
      <alignment horizontal="center" vertical="center" wrapText="1"/>
    </xf>
    <xf numFmtId="0" fontId="6" fillId="0" borderId="0" xfId="0" applyFont="1" applyFill="1" applyAlignment="1">
      <alignment horizontal="center" vertical="center" wrapText="1"/>
    </xf>
    <xf numFmtId="0" fontId="6" fillId="13" borderId="0" xfId="0" applyFont="1" applyFill="1" applyAlignment="1">
      <alignment horizontal="center" vertical="center" wrapText="1"/>
    </xf>
    <xf numFmtId="0" fontId="0" fillId="12" borderId="0" xfId="0" applyFill="1" applyAlignment="1">
      <alignment horizontal="center"/>
    </xf>
    <xf numFmtId="1" fontId="0" fillId="12" borderId="0" xfId="0" applyNumberFormat="1" applyFill="1" applyAlignment="1">
      <alignment horizontal="center"/>
    </xf>
    <xf numFmtId="166" fontId="0" fillId="12" borderId="0" xfId="0" applyNumberFormat="1" applyFill="1" applyAlignment="1">
      <alignment horizontal="center"/>
    </xf>
    <xf numFmtId="1" fontId="0" fillId="0" borderId="0" xfId="0" applyNumberFormat="1" applyFill="1" applyAlignment="1">
      <alignment horizontal="center"/>
    </xf>
    <xf numFmtId="166" fontId="0" fillId="0" borderId="0" xfId="0" applyNumberFormat="1" applyFill="1" applyAlignment="1">
      <alignment horizontal="center"/>
    </xf>
    <xf numFmtId="164" fontId="0" fillId="12" borderId="0" xfId="0" applyNumberFormat="1" applyFill="1" applyAlignment="1">
      <alignment horizontal="center"/>
    </xf>
    <xf numFmtId="164" fontId="0" fillId="0" borderId="0" xfId="0" applyNumberFormat="1" applyFill="1" applyAlignment="1">
      <alignment horizontal="center"/>
    </xf>
    <xf numFmtId="0" fontId="0" fillId="12" borderId="0" xfId="0" applyFill="1"/>
    <xf numFmtId="1" fontId="0" fillId="13" borderId="0" xfId="0" applyNumberFormat="1" applyFill="1" applyAlignment="1">
      <alignment horizontal="center"/>
    </xf>
    <xf numFmtId="166" fontId="0" fillId="13" borderId="0" xfId="0" applyNumberFormat="1" applyFill="1" applyAlignment="1">
      <alignment horizontal="center"/>
    </xf>
    <xf numFmtId="1" fontId="0" fillId="0" borderId="0" xfId="0" applyNumberFormat="1" applyAlignment="1">
      <alignment horizontal="center"/>
    </xf>
    <xf numFmtId="0" fontId="0" fillId="13" borderId="0" xfId="0" applyFill="1" applyAlignment="1">
      <alignment horizontal="center"/>
    </xf>
    <xf numFmtId="0" fontId="0" fillId="15" borderId="0" xfId="0" applyFont="1" applyFill="1" applyAlignment="1">
      <alignment horizontal="center"/>
    </xf>
    <xf numFmtId="2" fontId="0" fillId="0" borderId="0" xfId="0" applyNumberFormat="1" applyAlignment="1">
      <alignment horizontal="center"/>
    </xf>
    <xf numFmtId="0" fontId="0" fillId="16" borderId="0" xfId="0" applyFont="1" applyFill="1" applyAlignment="1">
      <alignment horizontal="center"/>
    </xf>
    <xf numFmtId="0" fontId="6" fillId="0" borderId="0" xfId="0" applyFont="1" applyFill="1" applyAlignment="1">
      <alignment horizontal="center"/>
    </xf>
    <xf numFmtId="0" fontId="0" fillId="0" borderId="0" xfId="0" applyFill="1"/>
    <xf numFmtId="0" fontId="4" fillId="0" borderId="0" xfId="1" applyFill="1" applyAlignment="1">
      <alignment horizontal="center"/>
    </xf>
    <xf numFmtId="2" fontId="0" fillId="0" borderId="0" xfId="0" applyNumberFormat="1" applyFill="1" applyAlignment="1">
      <alignment horizontal="center"/>
    </xf>
    <xf numFmtId="0" fontId="10" fillId="4" borderId="0" xfId="0" applyFont="1" applyFill="1" applyAlignment="1">
      <alignment horizontal="center"/>
    </xf>
    <xf numFmtId="1" fontId="10" fillId="4" borderId="0" xfId="0" applyNumberFormat="1" applyFont="1" applyFill="1" applyAlignment="1">
      <alignment horizontal="center"/>
    </xf>
    <xf numFmtId="0" fontId="0" fillId="0" borderId="0" xfId="0"/>
    <xf numFmtId="0" fontId="0" fillId="0" borderId="0" xfId="0" applyAlignment="1">
      <alignment horizontal="center"/>
    </xf>
    <xf numFmtId="0" fontId="2" fillId="0" borderId="1" xfId="0" applyFont="1" applyBorder="1" applyAlignment="1">
      <alignment horizontal="center" vertical="center" wrapText="1"/>
    </xf>
    <xf numFmtId="0" fontId="0" fillId="0" borderId="0" xfId="0" applyAlignment="1">
      <alignment horizontal="center" wrapText="1"/>
    </xf>
    <xf numFmtId="0" fontId="6" fillId="0" borderId="0" xfId="0" applyFont="1" applyAlignment="1">
      <alignment horizontal="center"/>
    </xf>
    <xf numFmtId="0" fontId="6" fillId="3" borderId="0" xfId="0" applyFont="1" applyFill="1" applyAlignment="1">
      <alignment horizontal="center"/>
    </xf>
    <xf numFmtId="0" fontId="6" fillId="8" borderId="0" xfId="0" applyFont="1" applyFill="1" applyAlignment="1">
      <alignment horizontal="center"/>
    </xf>
    <xf numFmtId="0" fontId="4" fillId="0" borderId="0" xfId="1" applyFont="1" applyAlignment="1">
      <alignment horizontal="center" vertical="center" wrapText="1"/>
    </xf>
    <xf numFmtId="0" fontId="5" fillId="6" borderId="0" xfId="1" applyFont="1" applyFill="1" applyAlignment="1">
      <alignment horizontal="center"/>
    </xf>
    <xf numFmtId="0" fontId="0" fillId="0" borderId="0" xfId="0" applyFont="1" applyAlignment="1">
      <alignment horizontal="left" vertical="center" wrapText="1"/>
    </xf>
    <xf numFmtId="0" fontId="5" fillId="9" borderId="0" xfId="1" applyFont="1" applyFill="1" applyAlignment="1">
      <alignment horizontal="center"/>
    </xf>
    <xf numFmtId="0" fontId="5" fillId="10" borderId="0" xfId="1" applyFont="1" applyFill="1" applyAlignment="1">
      <alignment horizontal="center"/>
    </xf>
    <xf numFmtId="0" fontId="6" fillId="9" borderId="0" xfId="0" applyFont="1" applyFill="1" applyAlignment="1">
      <alignment horizontal="center"/>
    </xf>
    <xf numFmtId="0" fontId="6" fillId="11" borderId="0" xfId="0" applyFont="1" applyFill="1" applyAlignment="1">
      <alignment horizontal="center"/>
    </xf>
    <xf numFmtId="0" fontId="0" fillId="0" borderId="0" xfId="0" applyFont="1" applyAlignment="1">
      <alignment horizontal="center"/>
    </xf>
    <xf numFmtId="0" fontId="0" fillId="14" borderId="0" xfId="0" applyFont="1" applyFill="1" applyAlignment="1">
      <alignment horizontal="center" vertical="center" wrapText="1"/>
    </xf>
    <xf numFmtId="0" fontId="0" fillId="0" borderId="0" xfId="0" applyFont="1" applyAlignment="1">
      <alignment horizontal="center" vertical="center" wrapText="1"/>
    </xf>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5000B"/>
      <rgbColor rgb="0023FF23"/>
      <rgbColor rgb="000000FF"/>
      <rgbColor rgb="00FFFF00"/>
      <rgbColor rgb="00FF00FF"/>
      <rgbColor rgb="0000FFFF"/>
      <rgbColor rgb="007E0021"/>
      <rgbColor rgb="00008000"/>
      <rgbColor rgb="00000080"/>
      <rgbColor rgb="00669933"/>
      <rgbColor rgb="00800080"/>
      <rgbColor rgb="00008080"/>
      <rgbColor rgb="00CCCCCC"/>
      <rgbColor rgb="00808080"/>
      <rgbColor rgb="00B2B2B2"/>
      <rgbColor rgb="00993366"/>
      <rgbColor rgb="00FFFFCC"/>
      <rgbColor rgb="00CCFFFF"/>
      <rgbColor rgb="00660066"/>
      <rgbColor rgb="00FF8080"/>
      <rgbColor rgb="000084D1"/>
      <rgbColor rgb="00B3B3B3"/>
      <rgbColor rgb="00000080"/>
      <rgbColor rgb="00FF00FF"/>
      <rgbColor rgb="00FFFF00"/>
      <rgbColor rgb="0000FFFF"/>
      <rgbColor rgb="00800080"/>
      <rgbColor rgb="00800000"/>
      <rgbColor rgb="00008080"/>
      <rgbColor rgb="000000FF"/>
      <rgbColor rgb="0000CCFF"/>
      <rgbColor rgb="00CCFFFF"/>
      <rgbColor rgb="0099CC99"/>
      <rgbColor rgb="00FFFF99"/>
      <rgbColor rgb="0099CCFF"/>
      <rgbColor rgb="00FF99CC"/>
      <rgbColor rgb="00CC99FF"/>
      <rgbColor rgb="00FFCC99"/>
      <rgbColor rgb="003366FF"/>
      <rgbColor rgb="0083CAFF"/>
      <rgbColor rgb="0066FF00"/>
      <rgbColor rgb="00FFCC00"/>
      <rgbColor rgb="00FF9900"/>
      <rgbColor rgb="00FF6600"/>
      <rgbColor rgb="00666699"/>
      <rgbColor rgb="00999999"/>
      <rgbColor rgb="00004586"/>
      <rgbColor rgb="00579D1C"/>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0" i="0" u="none" strike="noStrike" baseline="0">
                <a:solidFill>
                  <a:srgbClr val="000000"/>
                </a:solidFill>
                <a:latin typeface="Arial"/>
                <a:ea typeface="Arial"/>
                <a:cs typeface="Arial"/>
              </a:defRPr>
            </a:pPr>
            <a:r>
              <a:rPr lang="en-GB"/>
              <a:t>Bounce Heights</a:t>
            </a:r>
          </a:p>
        </c:rich>
      </c:tx>
      <c:layout>
        <c:manualLayout>
          <c:xMode val="edge"/>
          <c:yMode val="edge"/>
          <c:x val="0.3804784577300736"/>
          <c:y val="3.5398332061013726E-2"/>
        </c:manualLayout>
      </c:layout>
      <c:overlay val="0"/>
      <c:spPr>
        <a:noFill/>
        <a:ln w="25400">
          <a:noFill/>
        </a:ln>
      </c:spPr>
    </c:title>
    <c:autoTitleDeleted val="0"/>
    <c:plotArea>
      <c:layout>
        <c:manualLayout>
          <c:layoutTarget val="inner"/>
          <c:xMode val="edge"/>
          <c:yMode val="edge"/>
          <c:x val="0.14741050194777719"/>
          <c:y val="0.27433707347285641"/>
          <c:w val="0.8227099635734052"/>
          <c:h val="0.54867414694571282"/>
        </c:manualLayout>
      </c:layout>
      <c:barChart>
        <c:barDir val="col"/>
        <c:grouping val="clustered"/>
        <c:varyColors val="0"/>
        <c:ser>
          <c:idx val="0"/>
          <c:order val="0"/>
          <c:tx>
            <c:strRef>
              <c:f>Simulation!$C$2</c:f>
              <c:strCache>
                <c:ptCount val="1"/>
                <c:pt idx="0">
                  <c:v>Simulation CR = 0.900</c:v>
                </c:pt>
              </c:strCache>
            </c:strRef>
          </c:tx>
          <c:spPr>
            <a:solidFill>
              <a:srgbClr val="000000"/>
            </a:solidFill>
            <a:ln w="25400">
              <a:noFill/>
            </a:ln>
          </c:spPr>
          <c:invertIfNegative val="0"/>
          <c:val>
            <c:numRef>
              <c:f>Simulation!$C$4:$C$13</c:f>
              <c:numCache>
                <c:formatCode>0</c:formatCode>
                <c:ptCount val="10"/>
                <c:pt idx="0" formatCode="General">
                  <c:v>200</c:v>
                </c:pt>
                <c:pt idx="1">
                  <c:v>162</c:v>
                </c:pt>
                <c:pt idx="2">
                  <c:v>131.22</c:v>
                </c:pt>
                <c:pt idx="3">
                  <c:v>106.2882</c:v>
                </c:pt>
                <c:pt idx="4">
                  <c:v>86.09344200000001</c:v>
                </c:pt>
                <c:pt idx="5">
                  <c:v>69.735688020000012</c:v>
                </c:pt>
                <c:pt idx="6">
                  <c:v>56.485907296200011</c:v>
                </c:pt>
                <c:pt idx="7">
                  <c:v>45.753584909922012</c:v>
                </c:pt>
                <c:pt idx="8">
                  <c:v>37.060403777036832</c:v>
                </c:pt>
                <c:pt idx="9">
                  <c:v>30.018927059399836</c:v>
                </c:pt>
              </c:numCache>
            </c:numRef>
          </c:val>
        </c:ser>
        <c:ser>
          <c:idx val="1"/>
          <c:order val="1"/>
          <c:tx>
            <c:strRef>
              <c:f>Audio!$B$27</c:f>
              <c:strCache>
                <c:ptCount val="1"/>
                <c:pt idx="0">
                  <c:v>Height Derived from Time </c:v>
                </c:pt>
              </c:strCache>
            </c:strRef>
          </c:tx>
          <c:spPr>
            <a:solidFill>
              <a:srgbClr val="579D1C"/>
            </a:solidFill>
            <a:ln w="25400">
              <a:noFill/>
            </a:ln>
          </c:spPr>
          <c:invertIfNegative val="0"/>
          <c:errBars>
            <c:errBarType val="both"/>
            <c:errValType val="cust"/>
            <c:noEndCap val="0"/>
            <c:plus>
              <c:numRef>
                <c:f>Audio!$C$29:$C$38</c:f>
                <c:numCache>
                  <c:formatCode>General</c:formatCode>
                  <c:ptCount val="10"/>
                  <c:pt idx="0">
                    <c:v>3</c:v>
                  </c:pt>
                  <c:pt idx="1">
                    <c:v>0.28811833799520636</c:v>
                  </c:pt>
                  <c:pt idx="2">
                    <c:v>0.2567756661966823</c:v>
                  </c:pt>
                  <c:pt idx="3">
                    <c:v>0.23047430147866813</c:v>
                  </c:pt>
                  <c:pt idx="4">
                    <c:v>0.20773749732263097</c:v>
                  </c:pt>
                  <c:pt idx="5">
                    <c:v>0.18782688046930354</c:v>
                  </c:pt>
                  <c:pt idx="6">
                    <c:v>0.26896107889186271</c:v>
                  </c:pt>
                  <c:pt idx="7">
                    <c:v>0.30874186696092915</c:v>
                  </c:pt>
                  <c:pt idx="8">
                    <c:v>0.28160028439616414</c:v>
                  </c:pt>
                  <c:pt idx="9">
                    <c:v>0.25736127257472036</c:v>
                  </c:pt>
                </c:numCache>
              </c:numRef>
            </c:plus>
            <c:minus>
              <c:numRef>
                <c:f>Audio!$C$29:$C$38</c:f>
                <c:numCache>
                  <c:formatCode>General</c:formatCode>
                  <c:ptCount val="10"/>
                  <c:pt idx="0">
                    <c:v>3</c:v>
                  </c:pt>
                  <c:pt idx="1">
                    <c:v>0.28811833799520636</c:v>
                  </c:pt>
                  <c:pt idx="2">
                    <c:v>0.2567756661966823</c:v>
                  </c:pt>
                  <c:pt idx="3">
                    <c:v>0.23047430147866813</c:v>
                  </c:pt>
                  <c:pt idx="4">
                    <c:v>0.20773749732263097</c:v>
                  </c:pt>
                  <c:pt idx="5">
                    <c:v>0.18782688046930354</c:v>
                  </c:pt>
                  <c:pt idx="6">
                    <c:v>0.26896107889186271</c:v>
                  </c:pt>
                  <c:pt idx="7">
                    <c:v>0.30874186696092915</c:v>
                  </c:pt>
                  <c:pt idx="8">
                    <c:v>0.28160028439616414</c:v>
                  </c:pt>
                  <c:pt idx="9">
                    <c:v>0.25736127257472036</c:v>
                  </c:pt>
                </c:numCache>
              </c:numRef>
            </c:minus>
            <c:spPr>
              <a:ln w="25400">
                <a:solidFill>
                  <a:srgbClr val="000000"/>
                </a:solidFill>
                <a:prstDash val="solid"/>
              </a:ln>
            </c:spPr>
          </c:errBars>
          <c:val>
            <c:numRef>
              <c:f>Audio!$B$29:$B$38</c:f>
              <c:numCache>
                <c:formatCode>0</c:formatCode>
                <c:ptCount val="10"/>
                <c:pt idx="0" formatCode="General">
                  <c:v>200</c:v>
                </c:pt>
                <c:pt idx="1">
                  <c:v>156.86352359999992</c:v>
                </c:pt>
                <c:pt idx="2">
                  <c:v>124.59135062500002</c:v>
                </c:pt>
                <c:pt idx="3">
                  <c:v>100.37491239999996</c:v>
                </c:pt>
                <c:pt idx="4">
                  <c:v>81.547369225000196</c:v>
                </c:pt>
                <c:pt idx="5">
                  <c:v>66.664658025000051</c:v>
                </c:pt>
                <c:pt idx="6">
                  <c:v>54.678807224999851</c:v>
                </c:pt>
                <c:pt idx="7">
                  <c:v>45.030962025000015</c:v>
                </c:pt>
                <c:pt idx="8">
                  <c:v>37.461602500000232</c:v>
                </c:pt>
                <c:pt idx="9">
                  <c:v>31.290072099999762</c:v>
                </c:pt>
              </c:numCache>
            </c:numRef>
          </c:val>
        </c:ser>
        <c:ser>
          <c:idx val="2"/>
          <c:order val="2"/>
          <c:tx>
            <c:strRef>
              <c:f>Heights!$I$31</c:f>
              <c:strCache>
                <c:ptCount val="1"/>
                <c:pt idx="0">
                  <c:v> Height Close Raw</c:v>
                </c:pt>
              </c:strCache>
            </c:strRef>
          </c:tx>
          <c:spPr>
            <a:solidFill>
              <a:srgbClr val="7E0021"/>
            </a:solidFill>
            <a:ln w="25400">
              <a:noFill/>
            </a:ln>
          </c:spPr>
          <c:invertIfNegative val="0"/>
          <c:errBars>
            <c:errBarType val="both"/>
            <c:errValType val="cust"/>
            <c:noEndCap val="0"/>
            <c:plus>
              <c:numRef>
                <c:f>Heights!$J$33:$J$38</c:f>
                <c:numCache>
                  <c:formatCode>General</c:formatCode>
                  <c:ptCount val="6"/>
                  <c:pt idx="0">
                    <c:v>3</c:v>
                  </c:pt>
                  <c:pt idx="1">
                    <c:v>0.90861087818102682</c:v>
                  </c:pt>
                  <c:pt idx="2">
                    <c:v>2.5547706665246674</c:v>
                  </c:pt>
                  <c:pt idx="3">
                    <c:v>2.4238593778082054</c:v>
                  </c:pt>
                  <c:pt idx="4">
                    <c:v>6.6510720976761064</c:v>
                  </c:pt>
                  <c:pt idx="5">
                    <c:v>4.1631680543286578</c:v>
                  </c:pt>
                </c:numCache>
              </c:numRef>
            </c:plus>
            <c:minus>
              <c:numRef>
                <c:f>Heights!$J$33:$J$38</c:f>
                <c:numCache>
                  <c:formatCode>General</c:formatCode>
                  <c:ptCount val="6"/>
                  <c:pt idx="0">
                    <c:v>3</c:v>
                  </c:pt>
                  <c:pt idx="1">
                    <c:v>0.90861087818102682</c:v>
                  </c:pt>
                  <c:pt idx="2">
                    <c:v>2.5547706665246674</c:v>
                  </c:pt>
                  <c:pt idx="3">
                    <c:v>2.4238593778082054</c:v>
                  </c:pt>
                  <c:pt idx="4">
                    <c:v>6.6510720976761064</c:v>
                  </c:pt>
                  <c:pt idx="5">
                    <c:v>4.1631680543286578</c:v>
                  </c:pt>
                </c:numCache>
              </c:numRef>
            </c:minus>
            <c:spPr>
              <a:ln w="25400">
                <a:solidFill>
                  <a:srgbClr val="000000"/>
                </a:solidFill>
                <a:prstDash val="solid"/>
              </a:ln>
            </c:spPr>
          </c:errBars>
          <c:val>
            <c:numRef>
              <c:f>Heights!$I$33:$I$38</c:f>
              <c:numCache>
                <c:formatCode>0</c:formatCode>
                <c:ptCount val="6"/>
                <c:pt idx="0" formatCode="General">
                  <c:v>200</c:v>
                </c:pt>
                <c:pt idx="1">
                  <c:v>155.66666666666666</c:v>
                </c:pt>
                <c:pt idx="2">
                  <c:v>131</c:v>
                </c:pt>
                <c:pt idx="3">
                  <c:v>106.5</c:v>
                </c:pt>
                <c:pt idx="4">
                  <c:v>82.8</c:v>
                </c:pt>
                <c:pt idx="5">
                  <c:v>69.833333333333329</c:v>
                </c:pt>
              </c:numCache>
            </c:numRef>
          </c:val>
        </c:ser>
        <c:ser>
          <c:idx val="3"/>
          <c:order val="3"/>
          <c:tx>
            <c:strRef>
              <c:f>Heights!$C$31</c:f>
              <c:strCache>
                <c:ptCount val="1"/>
                <c:pt idx="0">
                  <c:v> Height Far Raw</c:v>
                </c:pt>
              </c:strCache>
            </c:strRef>
          </c:tx>
          <c:spPr>
            <a:solidFill>
              <a:srgbClr val="C5000B"/>
            </a:solidFill>
            <a:ln w="25400">
              <a:noFill/>
            </a:ln>
          </c:spPr>
          <c:invertIfNegative val="0"/>
          <c:errBars>
            <c:errBarType val="both"/>
            <c:errValType val="cust"/>
            <c:noEndCap val="0"/>
            <c:plus>
              <c:numRef>
                <c:f>Heights!$D$33:$D$38</c:f>
                <c:numCache>
                  <c:formatCode>General</c:formatCode>
                  <c:ptCount val="6"/>
                  <c:pt idx="0">
                    <c:v>3</c:v>
                  </c:pt>
                  <c:pt idx="1">
                    <c:v>3.0155195749284345</c:v>
                  </c:pt>
                  <c:pt idx="2">
                    <c:v>1.9572713179231553</c:v>
                  </c:pt>
                  <c:pt idx="3">
                    <c:v>2.5021212308457343</c:v>
                  </c:pt>
                  <c:pt idx="4">
                    <c:v>5.7172968676689138</c:v>
                  </c:pt>
                  <c:pt idx="5">
                    <c:v>9.1197592419130302</c:v>
                  </c:pt>
                </c:numCache>
              </c:numRef>
            </c:plus>
            <c:minus>
              <c:numRef>
                <c:f>Heights!$D$33:$D$38</c:f>
                <c:numCache>
                  <c:formatCode>General</c:formatCode>
                  <c:ptCount val="6"/>
                  <c:pt idx="0">
                    <c:v>3</c:v>
                  </c:pt>
                  <c:pt idx="1">
                    <c:v>3.0155195749284345</c:v>
                  </c:pt>
                  <c:pt idx="2">
                    <c:v>1.9572713179231553</c:v>
                  </c:pt>
                  <c:pt idx="3">
                    <c:v>2.5021212308457343</c:v>
                  </c:pt>
                  <c:pt idx="4">
                    <c:v>5.7172968676689138</c:v>
                  </c:pt>
                  <c:pt idx="5">
                    <c:v>9.1197592419130302</c:v>
                  </c:pt>
                </c:numCache>
              </c:numRef>
            </c:minus>
            <c:spPr>
              <a:ln w="25400">
                <a:solidFill>
                  <a:srgbClr val="000000"/>
                </a:solidFill>
                <a:prstDash val="solid"/>
              </a:ln>
            </c:spPr>
          </c:errBars>
          <c:val>
            <c:numRef>
              <c:f>Heights!$C$33:$C$38</c:f>
              <c:numCache>
                <c:formatCode>0</c:formatCode>
                <c:ptCount val="6"/>
                <c:pt idx="0" formatCode="General">
                  <c:v>200</c:v>
                </c:pt>
                <c:pt idx="1">
                  <c:v>163.80000000000001</c:v>
                </c:pt>
                <c:pt idx="2">
                  <c:v>132.19999999999999</c:v>
                </c:pt>
                <c:pt idx="3">
                  <c:v>105.11111111111111</c:v>
                </c:pt>
                <c:pt idx="4">
                  <c:v>80.125</c:v>
                </c:pt>
                <c:pt idx="5">
                  <c:v>63</c:v>
                </c:pt>
              </c:numCache>
            </c:numRef>
          </c:val>
        </c:ser>
        <c:ser>
          <c:idx val="4"/>
          <c:order val="4"/>
          <c:tx>
            <c:strRef>
              <c:f>'Parallax Error'!$B$26</c:f>
              <c:strCache>
                <c:ptCount val="1"/>
                <c:pt idx="0">
                  <c:v> Height Far Corrected</c:v>
                </c:pt>
              </c:strCache>
            </c:strRef>
          </c:tx>
          <c:spPr>
            <a:solidFill>
              <a:srgbClr val="0084D1"/>
            </a:solidFill>
            <a:ln w="25400">
              <a:noFill/>
            </a:ln>
          </c:spPr>
          <c:invertIfNegative val="0"/>
          <c:errBars>
            <c:errBarType val="both"/>
            <c:errValType val="cust"/>
            <c:noEndCap val="0"/>
            <c:plus>
              <c:numRef>
                <c:f>'Parallax Error'!$C$28:$C$33</c:f>
                <c:numCache>
                  <c:formatCode>General</c:formatCode>
                  <c:ptCount val="6"/>
                  <c:pt idx="0">
                    <c:v>3</c:v>
                  </c:pt>
                  <c:pt idx="1">
                    <c:v>1.0024420182733764</c:v>
                  </c:pt>
                  <c:pt idx="2">
                    <c:v>1.0024420182733764</c:v>
                  </c:pt>
                  <c:pt idx="3">
                    <c:v>1.0566666666666666</c:v>
                  </c:pt>
                  <c:pt idx="4">
                    <c:v>1.1207642481806779</c:v>
                  </c:pt>
                  <c:pt idx="5">
                    <c:v>1.1207642481806779</c:v>
                  </c:pt>
                </c:numCache>
              </c:numRef>
            </c:plus>
            <c:minus>
              <c:numRef>
                <c:f>'Parallax Error'!$C$28:$C$33</c:f>
                <c:numCache>
                  <c:formatCode>General</c:formatCode>
                  <c:ptCount val="6"/>
                  <c:pt idx="0">
                    <c:v>3</c:v>
                  </c:pt>
                  <c:pt idx="1">
                    <c:v>1.0024420182733764</c:v>
                  </c:pt>
                  <c:pt idx="2">
                    <c:v>1.0024420182733764</c:v>
                  </c:pt>
                  <c:pt idx="3">
                    <c:v>1.0566666666666666</c:v>
                  </c:pt>
                  <c:pt idx="4">
                    <c:v>1.1207642481806779</c:v>
                  </c:pt>
                  <c:pt idx="5">
                    <c:v>1.1207642481806779</c:v>
                  </c:pt>
                </c:numCache>
              </c:numRef>
            </c:minus>
            <c:spPr>
              <a:ln w="25400">
                <a:solidFill>
                  <a:srgbClr val="000000"/>
                </a:solidFill>
                <a:prstDash val="solid"/>
              </a:ln>
            </c:spPr>
          </c:errBars>
          <c:val>
            <c:numRef>
              <c:f>'Parallax Error'!$B$28:$B$33</c:f>
              <c:numCache>
                <c:formatCode>0</c:formatCode>
                <c:ptCount val="6"/>
                <c:pt idx="0" formatCode="General">
                  <c:v>200</c:v>
                </c:pt>
                <c:pt idx="1">
                  <c:v>161.78692244334496</c:v>
                </c:pt>
                <c:pt idx="2">
                  <c:v>131.2993953487435</c:v>
                </c:pt>
                <c:pt idx="3">
                  <c:v>106.61079032368347</c:v>
                </c:pt>
                <c:pt idx="4">
                  <c:v>84.721532619488229</c:v>
                </c:pt>
                <c:pt idx="5">
                  <c:v>70.998994993732353</c:v>
                </c:pt>
              </c:numCache>
            </c:numRef>
          </c:val>
        </c:ser>
        <c:ser>
          <c:idx val="5"/>
          <c:order val="5"/>
          <c:tx>
            <c:strRef>
              <c:f>'Parallax Error'!$H$26</c:f>
              <c:strCache>
                <c:ptCount val="1"/>
                <c:pt idx="0">
                  <c:v>Height Close Corrected</c:v>
                </c:pt>
              </c:strCache>
            </c:strRef>
          </c:tx>
          <c:spPr>
            <a:solidFill>
              <a:srgbClr val="004586"/>
            </a:solidFill>
            <a:ln w="25400">
              <a:noFill/>
            </a:ln>
          </c:spPr>
          <c:invertIfNegative val="0"/>
          <c:errBars>
            <c:errBarType val="both"/>
            <c:errValType val="cust"/>
            <c:noEndCap val="0"/>
            <c:plus>
              <c:numRef>
                <c:f>'Parallax Error'!$I$28:$I$33</c:f>
                <c:numCache>
                  <c:formatCode>General</c:formatCode>
                  <c:ptCount val="6"/>
                  <c:pt idx="0">
                    <c:v>3</c:v>
                  </c:pt>
                  <c:pt idx="1">
                    <c:v>0.67549981495186207</c:v>
                  </c:pt>
                  <c:pt idx="2">
                    <c:v>0.8273149339882605</c:v>
                  </c:pt>
                  <c:pt idx="3">
                    <c:v>0.26427606159978595</c:v>
                  </c:pt>
                  <c:pt idx="4">
                    <c:v>0.28460498941515411</c:v>
                  </c:pt>
                  <c:pt idx="5">
                    <c:v>0.8858987903065827</c:v>
                  </c:pt>
                </c:numCache>
              </c:numRef>
            </c:plus>
            <c:minus>
              <c:numRef>
                <c:f>'Parallax Error'!$I$28:$I$33</c:f>
                <c:numCache>
                  <c:formatCode>General</c:formatCode>
                  <c:ptCount val="6"/>
                  <c:pt idx="0">
                    <c:v>3</c:v>
                  </c:pt>
                  <c:pt idx="1">
                    <c:v>0.67549981495186207</c:v>
                  </c:pt>
                  <c:pt idx="2">
                    <c:v>0.8273149339882605</c:v>
                  </c:pt>
                  <c:pt idx="3">
                    <c:v>0.26427606159978595</c:v>
                  </c:pt>
                  <c:pt idx="4">
                    <c:v>0.28460498941515411</c:v>
                  </c:pt>
                  <c:pt idx="5">
                    <c:v>0.8858987903065827</c:v>
                  </c:pt>
                </c:numCache>
              </c:numRef>
            </c:minus>
            <c:spPr>
              <a:ln w="25400">
                <a:solidFill>
                  <a:srgbClr val="000000"/>
                </a:solidFill>
                <a:prstDash val="solid"/>
              </a:ln>
            </c:spPr>
          </c:errBars>
          <c:val>
            <c:numRef>
              <c:f>'Parallax Error'!$H$28:$H$33</c:f>
              <c:numCache>
                <c:formatCode>0</c:formatCode>
                <c:ptCount val="6"/>
                <c:pt idx="0" formatCode="General">
                  <c:v>200</c:v>
                </c:pt>
                <c:pt idx="1">
                  <c:v>155.89977772989582</c:v>
                </c:pt>
                <c:pt idx="2">
                  <c:v>133.29049460492487</c:v>
                </c:pt>
                <c:pt idx="3">
                  <c:v>108.09654444381995</c:v>
                </c:pt>
                <c:pt idx="4">
                  <c:v>89.166467108260946</c:v>
                </c:pt>
                <c:pt idx="5">
                  <c:v>73.11060259735541</c:v>
                </c:pt>
              </c:numCache>
            </c:numRef>
          </c:val>
        </c:ser>
        <c:dLbls>
          <c:showLegendKey val="0"/>
          <c:showVal val="0"/>
          <c:showCatName val="0"/>
          <c:showSerName val="0"/>
          <c:showPercent val="0"/>
          <c:showBubbleSize val="0"/>
        </c:dLbls>
        <c:gapWidth val="100"/>
        <c:axId val="41757312"/>
        <c:axId val="41759488"/>
      </c:barChart>
      <c:catAx>
        <c:axId val="41757312"/>
        <c:scaling>
          <c:orientation val="minMax"/>
        </c:scaling>
        <c:delete val="0"/>
        <c:axPos val="b"/>
        <c:title>
          <c:tx>
            <c:rich>
              <a:bodyPr/>
              <a:lstStyle/>
              <a:p>
                <a:pPr>
                  <a:defRPr sz="900" b="0" i="0" u="none" strike="noStrike" baseline="0">
                    <a:solidFill>
                      <a:srgbClr val="000000"/>
                    </a:solidFill>
                    <a:latin typeface="Arial"/>
                    <a:ea typeface="Arial"/>
                    <a:cs typeface="Arial"/>
                  </a:defRPr>
                </a:pPr>
                <a:r>
                  <a:rPr lang="en-GB"/>
                  <a:t>Bounce #</a:t>
                </a:r>
              </a:p>
            </c:rich>
          </c:tx>
          <c:layout>
            <c:manualLayout>
              <c:xMode val="edge"/>
              <c:yMode val="edge"/>
              <c:x val="0.50199252014648454"/>
              <c:y val="0.91445691157618791"/>
            </c:manualLayout>
          </c:layout>
          <c:overlay val="0"/>
          <c:spPr>
            <a:noFill/>
            <a:ln w="25400">
              <a:noFill/>
            </a:ln>
          </c:spPr>
        </c:title>
        <c:numFmt formatCode="General" sourceLinked="1"/>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759488"/>
        <c:crossesAt val="0"/>
        <c:auto val="1"/>
        <c:lblAlgn val="ctr"/>
        <c:lblOffset val="100"/>
        <c:tickLblSkip val="1"/>
        <c:tickMarkSkip val="1"/>
        <c:noMultiLvlLbl val="0"/>
      </c:catAx>
      <c:valAx>
        <c:axId val="41759488"/>
        <c:scaling>
          <c:orientation val="minMax"/>
        </c:scaling>
        <c:delete val="0"/>
        <c:axPos val="l"/>
        <c:majorGridlines>
          <c:spPr>
            <a:ln w="3175">
              <a:solidFill>
                <a:srgbClr val="B3B3B3"/>
              </a:solidFill>
              <a:prstDash val="solid"/>
            </a:ln>
          </c:spPr>
        </c:majorGridlines>
        <c:title>
          <c:tx>
            <c:rich>
              <a:bodyPr/>
              <a:lstStyle/>
              <a:p>
                <a:pPr>
                  <a:defRPr sz="900" b="0" i="0" u="none" strike="noStrike" baseline="0">
                    <a:solidFill>
                      <a:srgbClr val="000000"/>
                    </a:solidFill>
                    <a:latin typeface="Arial"/>
                    <a:ea typeface="Arial"/>
                    <a:cs typeface="Arial"/>
                  </a:defRPr>
                </a:pPr>
                <a:r>
                  <a:rPr lang="en-GB"/>
                  <a:t>Height (cm)</a:t>
                </a:r>
              </a:p>
            </c:rich>
          </c:tx>
          <c:layout>
            <c:manualLayout>
              <c:xMode val="edge"/>
              <c:yMode val="edge"/>
              <c:x val="3.7848642391996846E-2"/>
              <c:y val="0.44837887277284055"/>
            </c:manualLayout>
          </c:layout>
          <c:overlay val="0"/>
          <c:spPr>
            <a:noFill/>
            <a:ln w="25400">
              <a:noFill/>
            </a:ln>
          </c:spPr>
        </c:title>
        <c:numFmt formatCode="General" sourceLinked="1"/>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757312"/>
        <c:crosses val="autoZero"/>
        <c:crossBetween val="between"/>
      </c:valAx>
      <c:spPr>
        <a:noFill/>
        <a:ln w="3175">
          <a:solidFill>
            <a:srgbClr val="B3B3B3"/>
          </a:solidFill>
          <a:prstDash val="solid"/>
        </a:ln>
      </c:spPr>
    </c:plotArea>
    <c:legend>
      <c:legendPos val="r"/>
      <c:layout>
        <c:manualLayout>
          <c:xMode val="edge"/>
          <c:yMode val="edge"/>
          <c:x val="0.49601641871616925"/>
          <c:y val="0.14454318924913939"/>
          <c:w val="0.33466168009765634"/>
          <c:h val="0.37463234764572861"/>
        </c:manualLayout>
      </c:layout>
      <c:overlay val="0"/>
      <c:spPr>
        <a:solidFill>
          <a:srgbClr val="CCCCCC"/>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1180555555555551" footer="0.51180555555555551"/>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0" i="0" u="none" strike="noStrike" baseline="0">
                <a:solidFill>
                  <a:srgbClr val="000000"/>
                </a:solidFill>
                <a:latin typeface="Arial"/>
                <a:ea typeface="Arial"/>
                <a:cs typeface="Arial"/>
              </a:defRPr>
            </a:pPr>
            <a:r>
              <a:rPr lang="en-GB"/>
              <a:t>Transformed Bounce Data</a:t>
            </a:r>
          </a:p>
        </c:rich>
      </c:tx>
      <c:layout>
        <c:manualLayout>
          <c:xMode val="edge"/>
          <c:yMode val="edge"/>
          <c:x val="0.30888030888030887"/>
          <c:y val="3.5398332061013726E-2"/>
        </c:manualLayout>
      </c:layout>
      <c:overlay val="0"/>
      <c:spPr>
        <a:noFill/>
        <a:ln w="25400">
          <a:noFill/>
        </a:ln>
      </c:spPr>
    </c:title>
    <c:autoTitleDeleted val="0"/>
    <c:plotArea>
      <c:layout>
        <c:manualLayout>
          <c:layoutTarget val="inner"/>
          <c:xMode val="edge"/>
          <c:yMode val="edge"/>
          <c:x val="0.12934362934362933"/>
          <c:y val="0.20719449687645614"/>
          <c:w val="0.81467181467181471"/>
          <c:h val="0.73818084173781184"/>
        </c:manualLayout>
      </c:layout>
      <c:scatterChart>
        <c:scatterStyle val="lineMarker"/>
        <c:varyColors val="0"/>
        <c:ser>
          <c:idx val="0"/>
          <c:order val="0"/>
          <c:tx>
            <c:strRef>
              <c:f>Audio!$B$27</c:f>
              <c:strCache>
                <c:ptCount val="1"/>
                <c:pt idx="0">
                  <c:v>Height Derived from Time </c:v>
                </c:pt>
              </c:strCache>
            </c:strRef>
          </c:tx>
          <c:spPr>
            <a:ln w="28575">
              <a:noFill/>
            </a:ln>
          </c:spPr>
          <c:marker>
            <c:symbol val="diamond"/>
            <c:size val="7"/>
            <c:spPr>
              <a:solidFill>
                <a:srgbClr val="579D1C"/>
              </a:solidFill>
              <a:ln>
                <a:solidFill>
                  <a:srgbClr val="579D1C"/>
                </a:solidFill>
                <a:prstDash val="solid"/>
              </a:ln>
            </c:spPr>
          </c:marker>
          <c:xVal>
            <c:numRef>
              <c:f>Audio!$A$29:$A$38</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Audio!$D$29:$D$38</c:f>
              <c:numCache>
                <c:formatCode>0.00</c:formatCode>
                <c:ptCount val="10"/>
                <c:pt idx="1">
                  <c:v>-0.2429412156727053</c:v>
                </c:pt>
                <c:pt idx="2">
                  <c:v>-0.47327817973899605</c:v>
                </c:pt>
                <c:pt idx="3">
                  <c:v>-0.68940506700876492</c:v>
                </c:pt>
                <c:pt idx="4">
                  <c:v>-0.89713329765801764</c:v>
                </c:pt>
                <c:pt idx="5">
                  <c:v>-1.0986424187470152</c:v>
                </c:pt>
                <c:pt idx="6">
                  <c:v>-1.2968411686646686</c:v>
                </c:pt>
                <c:pt idx="7">
                  <c:v>-1.4909670683721588</c:v>
                </c:pt>
                <c:pt idx="8">
                  <c:v>-1.6750008914828531</c:v>
                </c:pt>
                <c:pt idx="9">
                  <c:v>-1.855016504619349</c:v>
                </c:pt>
              </c:numCache>
            </c:numRef>
          </c:yVal>
          <c:smooth val="0"/>
        </c:ser>
        <c:ser>
          <c:idx val="1"/>
          <c:order val="1"/>
          <c:tx>
            <c:strRef>
              <c:f>Heights!$I$31</c:f>
              <c:strCache>
                <c:ptCount val="1"/>
                <c:pt idx="0">
                  <c:v> Height Close Raw</c:v>
                </c:pt>
              </c:strCache>
            </c:strRef>
          </c:tx>
          <c:spPr>
            <a:ln w="28575">
              <a:noFill/>
            </a:ln>
          </c:spPr>
          <c:marker>
            <c:symbol val="dash"/>
            <c:size val="7"/>
            <c:spPr>
              <a:noFill/>
              <a:ln>
                <a:solidFill>
                  <a:srgbClr val="7E0021"/>
                </a:solidFill>
                <a:prstDash val="solid"/>
              </a:ln>
            </c:spPr>
          </c:marker>
          <c:xVal>
            <c:numRef>
              <c:f>Heights!$B$33:$B$38</c:f>
              <c:numCache>
                <c:formatCode>General</c:formatCode>
                <c:ptCount val="6"/>
                <c:pt idx="0">
                  <c:v>1</c:v>
                </c:pt>
                <c:pt idx="1">
                  <c:v>2</c:v>
                </c:pt>
                <c:pt idx="2">
                  <c:v>3</c:v>
                </c:pt>
                <c:pt idx="3">
                  <c:v>4</c:v>
                </c:pt>
                <c:pt idx="4">
                  <c:v>5</c:v>
                </c:pt>
                <c:pt idx="5">
                  <c:v>6</c:v>
                </c:pt>
              </c:numCache>
            </c:numRef>
          </c:xVal>
          <c:yVal>
            <c:numRef>
              <c:f>Heights!$K$33:$K$38</c:f>
              <c:numCache>
                <c:formatCode>0.00</c:formatCode>
                <c:ptCount val="6"/>
                <c:pt idx="0">
                  <c:v>0</c:v>
                </c:pt>
                <c:pt idx="1">
                  <c:v>-0.25060039754724905</c:v>
                </c:pt>
                <c:pt idx="2">
                  <c:v>-0.42312004334688508</c:v>
                </c:pt>
                <c:pt idx="3">
                  <c:v>-0.63017238139855691</c:v>
                </c:pt>
                <c:pt idx="4">
                  <c:v>-0.88188930515682273</c:v>
                </c:pt>
                <c:pt idx="5">
                  <c:v>-1.0522059158539541</c:v>
                </c:pt>
              </c:numCache>
            </c:numRef>
          </c:yVal>
          <c:smooth val="0"/>
        </c:ser>
        <c:ser>
          <c:idx val="2"/>
          <c:order val="2"/>
          <c:tx>
            <c:strRef>
              <c:f>Heights!$C$31</c:f>
              <c:strCache>
                <c:ptCount val="1"/>
                <c:pt idx="0">
                  <c:v> Height Far Raw</c:v>
                </c:pt>
              </c:strCache>
            </c:strRef>
          </c:tx>
          <c:spPr>
            <a:ln w="28575">
              <a:noFill/>
            </a:ln>
          </c:spPr>
          <c:marker>
            <c:symbol val="square"/>
            <c:size val="7"/>
            <c:spPr>
              <a:solidFill>
                <a:srgbClr val="C5000B"/>
              </a:solidFill>
              <a:ln>
                <a:solidFill>
                  <a:srgbClr val="C5000B"/>
                </a:solidFill>
                <a:prstDash val="solid"/>
              </a:ln>
            </c:spPr>
          </c:marker>
          <c:xVal>
            <c:numRef>
              <c:f>Heights!$B$33:$B$38</c:f>
              <c:numCache>
                <c:formatCode>General</c:formatCode>
                <c:ptCount val="6"/>
                <c:pt idx="0">
                  <c:v>1</c:v>
                </c:pt>
                <c:pt idx="1">
                  <c:v>2</c:v>
                </c:pt>
                <c:pt idx="2">
                  <c:v>3</c:v>
                </c:pt>
                <c:pt idx="3">
                  <c:v>4</c:v>
                </c:pt>
                <c:pt idx="4">
                  <c:v>5</c:v>
                </c:pt>
                <c:pt idx="5">
                  <c:v>6</c:v>
                </c:pt>
              </c:numCache>
            </c:numRef>
          </c:xVal>
          <c:yVal>
            <c:numRef>
              <c:f>Heights!$E$33:$E$38</c:f>
              <c:numCache>
                <c:formatCode>0.00</c:formatCode>
                <c:ptCount val="6"/>
                <c:pt idx="0">
                  <c:v>0</c:v>
                </c:pt>
                <c:pt idx="1">
                  <c:v>-0.19967119512906756</c:v>
                </c:pt>
                <c:pt idx="2">
                  <c:v>-0.4140014391304509</c:v>
                </c:pt>
                <c:pt idx="3">
                  <c:v>-0.64329937483237776</c:v>
                </c:pt>
                <c:pt idx="4">
                  <c:v>-0.91472945130720251</c:v>
                </c:pt>
                <c:pt idx="5">
                  <c:v>-1.155182640156504</c:v>
                </c:pt>
              </c:numCache>
            </c:numRef>
          </c:yVal>
          <c:smooth val="0"/>
        </c:ser>
        <c:ser>
          <c:idx val="3"/>
          <c:order val="3"/>
          <c:tx>
            <c:strRef>
              <c:f>'Parallax Error'!$B$26</c:f>
              <c:strCache>
                <c:ptCount val="1"/>
                <c:pt idx="0">
                  <c:v> Height Far Corrected</c:v>
                </c:pt>
              </c:strCache>
            </c:strRef>
          </c:tx>
          <c:spPr>
            <a:ln w="28575">
              <a:noFill/>
            </a:ln>
          </c:spPr>
          <c:marker>
            <c:symbol val="triangle"/>
            <c:size val="7"/>
            <c:spPr>
              <a:solidFill>
                <a:srgbClr val="0084D1"/>
              </a:solidFill>
              <a:ln>
                <a:solidFill>
                  <a:srgbClr val="0084D1"/>
                </a:solidFill>
                <a:prstDash val="solid"/>
              </a:ln>
            </c:spPr>
          </c:marker>
          <c:xVal>
            <c:numRef>
              <c:f>Heights!$B$33:$B$38</c:f>
              <c:numCache>
                <c:formatCode>General</c:formatCode>
                <c:ptCount val="6"/>
                <c:pt idx="0">
                  <c:v>1</c:v>
                </c:pt>
                <c:pt idx="1">
                  <c:v>2</c:v>
                </c:pt>
                <c:pt idx="2">
                  <c:v>3</c:v>
                </c:pt>
                <c:pt idx="3">
                  <c:v>4</c:v>
                </c:pt>
                <c:pt idx="4">
                  <c:v>5</c:v>
                </c:pt>
                <c:pt idx="5">
                  <c:v>6</c:v>
                </c:pt>
              </c:numCache>
            </c:numRef>
          </c:xVal>
          <c:yVal>
            <c:numRef>
              <c:f>'Parallax Error'!$D$28:$D$33</c:f>
              <c:numCache>
                <c:formatCode>0.00</c:formatCode>
                <c:ptCount val="6"/>
                <c:pt idx="0">
                  <c:v>0</c:v>
                </c:pt>
                <c:pt idx="1">
                  <c:v>-0.21203719063305929</c:v>
                </c:pt>
                <c:pt idx="2">
                  <c:v>-0.42083719036227735</c:v>
                </c:pt>
                <c:pt idx="3">
                  <c:v>-0.62913263739032355</c:v>
                </c:pt>
                <c:pt idx="4">
                  <c:v>-0.8589475750090696</c:v>
                </c:pt>
                <c:pt idx="5">
                  <c:v>-1.0356516446247586</c:v>
                </c:pt>
              </c:numCache>
            </c:numRef>
          </c:yVal>
          <c:smooth val="0"/>
        </c:ser>
        <c:ser>
          <c:idx val="4"/>
          <c:order val="4"/>
          <c:tx>
            <c:strRef>
              <c:f>'Parallax Error'!$H$26</c:f>
              <c:strCache>
                <c:ptCount val="1"/>
                <c:pt idx="0">
                  <c:v>Height Close Corrected</c:v>
                </c:pt>
              </c:strCache>
            </c:strRef>
          </c:tx>
          <c:spPr>
            <a:ln w="28575">
              <a:noFill/>
            </a:ln>
          </c:spPr>
          <c:marker>
            <c:symbol val="circle"/>
            <c:size val="7"/>
            <c:spPr>
              <a:solidFill>
                <a:srgbClr val="004586"/>
              </a:solidFill>
              <a:ln>
                <a:solidFill>
                  <a:srgbClr val="004586"/>
                </a:solidFill>
                <a:prstDash val="solid"/>
              </a:ln>
            </c:spPr>
          </c:marker>
          <c:xVal>
            <c:numRef>
              <c:f>Heights!$B$33:$B$38</c:f>
              <c:numCache>
                <c:formatCode>General</c:formatCode>
                <c:ptCount val="6"/>
                <c:pt idx="0">
                  <c:v>1</c:v>
                </c:pt>
                <c:pt idx="1">
                  <c:v>2</c:v>
                </c:pt>
                <c:pt idx="2">
                  <c:v>3</c:v>
                </c:pt>
                <c:pt idx="3">
                  <c:v>4</c:v>
                </c:pt>
                <c:pt idx="4">
                  <c:v>5</c:v>
                </c:pt>
                <c:pt idx="5">
                  <c:v>6</c:v>
                </c:pt>
              </c:numCache>
            </c:numRef>
          </c:xVal>
          <c:yVal>
            <c:numRef>
              <c:f>'Parallax Error'!$J$28:$J$33</c:f>
              <c:numCache>
                <c:formatCode>0.00</c:formatCode>
                <c:ptCount val="6"/>
                <c:pt idx="0">
                  <c:v>0</c:v>
                </c:pt>
                <c:pt idx="1">
                  <c:v>-0.2491040162076068</c:v>
                </c:pt>
                <c:pt idx="2">
                  <c:v>-0.40578645019606663</c:v>
                </c:pt>
                <c:pt idx="3">
                  <c:v>-0.61529260870594427</c:v>
                </c:pt>
                <c:pt idx="4">
                  <c:v>-0.80781232692078453</c:v>
                </c:pt>
                <c:pt idx="5">
                  <c:v>-1.0063439679384485</c:v>
                </c:pt>
              </c:numCache>
            </c:numRef>
          </c:yVal>
          <c:smooth val="0"/>
        </c:ser>
        <c:dLbls>
          <c:showLegendKey val="0"/>
          <c:showVal val="0"/>
          <c:showCatName val="0"/>
          <c:showSerName val="0"/>
          <c:showPercent val="0"/>
          <c:showBubbleSize val="0"/>
        </c:dLbls>
        <c:axId val="41885696"/>
        <c:axId val="41888000"/>
      </c:scatterChart>
      <c:valAx>
        <c:axId val="41885696"/>
        <c:scaling>
          <c:orientation val="minMax"/>
          <c:max val="10.5"/>
          <c:min val="0"/>
        </c:scaling>
        <c:delete val="0"/>
        <c:axPos val="b"/>
        <c:title>
          <c:tx>
            <c:rich>
              <a:bodyPr/>
              <a:lstStyle/>
              <a:p>
                <a:pPr>
                  <a:defRPr sz="900" b="0" i="0" u="none" strike="noStrike" baseline="0">
                    <a:solidFill>
                      <a:srgbClr val="000000"/>
                    </a:solidFill>
                    <a:latin typeface="Arial"/>
                    <a:ea typeface="Arial"/>
                    <a:cs typeface="Arial"/>
                  </a:defRPr>
                </a:pPr>
                <a:r>
                  <a:rPr lang="en-GB"/>
                  <a:t>Bounce #</a:t>
                </a:r>
              </a:p>
            </c:rich>
          </c:tx>
          <c:layout>
            <c:manualLayout>
              <c:xMode val="edge"/>
              <c:yMode val="edge"/>
              <c:x val="0.44407326892728677"/>
              <c:y val="0.12326017422345778"/>
            </c:manualLayout>
          </c:layout>
          <c:overlay val="0"/>
          <c:spPr>
            <a:noFill/>
            <a:ln w="25400">
              <a:noFill/>
            </a:ln>
          </c:spPr>
        </c:title>
        <c:numFmt formatCode="General" sourceLinked="1"/>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888000"/>
        <c:crosses val="autoZero"/>
        <c:crossBetween val="midCat"/>
        <c:majorUnit val="1"/>
      </c:valAx>
      <c:valAx>
        <c:axId val="41888000"/>
        <c:scaling>
          <c:orientation val="minMax"/>
        </c:scaling>
        <c:delete val="0"/>
        <c:axPos val="l"/>
        <c:majorGridlines>
          <c:spPr>
            <a:ln w="3175">
              <a:solidFill>
                <a:srgbClr val="B3B3B3"/>
              </a:solidFill>
              <a:prstDash val="solid"/>
            </a:ln>
          </c:spPr>
        </c:majorGridlines>
        <c:title>
          <c:tx>
            <c:rich>
              <a:bodyPr/>
              <a:lstStyle/>
              <a:p>
                <a:pPr>
                  <a:defRPr sz="900" b="0" i="0" u="none" strike="noStrike" baseline="0">
                    <a:solidFill>
                      <a:srgbClr val="000000"/>
                    </a:solidFill>
                    <a:latin typeface="Arial"/>
                    <a:ea typeface="Arial"/>
                    <a:cs typeface="Arial"/>
                  </a:defRPr>
                </a:pPr>
                <a:r>
                  <a:rPr lang="en-GB"/>
                  <a:t>LN(h/H0)</a:t>
                </a:r>
              </a:p>
            </c:rich>
          </c:tx>
          <c:layout>
            <c:manualLayout>
              <c:xMode val="edge"/>
              <c:yMode val="edge"/>
              <c:x val="2.1235521235521235E-2"/>
              <c:y val="0.49262678784910768"/>
            </c:manualLayout>
          </c:layout>
          <c:overlay val="0"/>
          <c:spPr>
            <a:noFill/>
            <a:ln w="25400">
              <a:noFill/>
            </a:ln>
          </c:spPr>
        </c:title>
        <c:numFmt formatCode="General" sourceLinked="1"/>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885696"/>
        <c:crossesAt val="0"/>
        <c:crossBetween val="midCat"/>
      </c:valAx>
      <c:spPr>
        <a:noFill/>
        <a:ln w="3175">
          <a:solidFill>
            <a:srgbClr val="B3B3B3"/>
          </a:solidFill>
          <a:prstDash val="solid"/>
        </a:ln>
      </c:spPr>
    </c:plotArea>
    <c:legend>
      <c:legendPos val="r"/>
      <c:layout>
        <c:manualLayout>
          <c:xMode val="edge"/>
          <c:yMode val="edge"/>
          <c:x val="0.14335492388934376"/>
          <c:y val="0.54090934219982778"/>
          <c:w val="0.32432432432432434"/>
          <c:h val="0.31268526653895456"/>
        </c:manualLayout>
      </c:layout>
      <c:overlay val="0"/>
      <c:spPr>
        <a:solidFill>
          <a:srgbClr val="CCCCCC"/>
        </a:solidFill>
        <a:ln w="3175">
          <a:solidFill>
            <a:srgbClr val="333333"/>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1180555555555551" footer="0.51180555555555551"/>
    <c:pageSetup firstPageNumber="0"/>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47625</xdr:colOff>
      <xdr:row>21</xdr:row>
      <xdr:rowOff>142875</xdr:rowOff>
    </xdr:from>
    <xdr:to>
      <xdr:col>6</xdr:col>
      <xdr:colOff>590550</xdr:colOff>
      <xdr:row>41</xdr:row>
      <xdr:rowOff>133350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110067</xdr:colOff>
      <xdr:row>4</xdr:row>
      <xdr:rowOff>16933</xdr:rowOff>
    </xdr:from>
    <xdr:to>
      <xdr:col>12</xdr:col>
      <xdr:colOff>415925</xdr:colOff>
      <xdr:row>23</xdr:row>
      <xdr:rowOff>7408</xdr:rowOff>
    </xdr:to>
    <xdr:graphicFrame macro="">
      <xdr:nvGraphicFramePr>
        <xdr:cNvPr id="10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abSelected="1" zoomScale="90" zoomScaleNormal="90" workbookViewId="0">
      <selection activeCell="A3" sqref="A3"/>
    </sheetView>
  </sheetViews>
  <sheetFormatPr defaultColWidth="11.5703125" defaultRowHeight="12.75" x14ac:dyDescent="0.2"/>
  <cols>
    <col min="1" max="3" width="11.85546875" customWidth="1"/>
    <col min="4" max="4" width="5.7109375" customWidth="1"/>
    <col min="5" max="5" width="10.7109375" customWidth="1"/>
    <col min="15" max="15" width="4.42578125" customWidth="1"/>
    <col min="16" max="16" width="4.85546875" customWidth="1"/>
    <col min="17" max="19" width="5.7109375" customWidth="1"/>
    <col min="20" max="20" width="4.85546875" customWidth="1"/>
    <col min="21" max="25" width="5.7109375" customWidth="1"/>
  </cols>
  <sheetData>
    <row r="1" spans="1:25" x14ac:dyDescent="0.2">
      <c r="A1" s="90" t="s">
        <v>81</v>
      </c>
      <c r="B1" s="90"/>
      <c r="C1" s="90"/>
      <c r="D1" s="90"/>
      <c r="E1" s="90"/>
    </row>
    <row r="2" spans="1:25" ht="12.75" customHeight="1" x14ac:dyDescent="0.2">
      <c r="A2" s="90"/>
      <c r="B2" s="90"/>
      <c r="C2" s="90"/>
      <c r="D2" s="90"/>
      <c r="E2" s="90"/>
      <c r="G2" s="92" t="s">
        <v>80</v>
      </c>
      <c r="H2" s="92"/>
      <c r="I2" s="92"/>
      <c r="J2" s="92"/>
      <c r="K2" s="92"/>
      <c r="L2" s="92"/>
    </row>
    <row r="3" spans="1:25" x14ac:dyDescent="0.2">
      <c r="G3" s="92"/>
      <c r="H3" s="92"/>
      <c r="I3" s="92"/>
      <c r="J3" s="92"/>
      <c r="K3" s="92"/>
      <c r="L3" s="92"/>
    </row>
    <row r="4" spans="1:25" ht="15" x14ac:dyDescent="0.2">
      <c r="A4" s="1"/>
      <c r="B4" s="1"/>
      <c r="C4" s="1"/>
      <c r="D4" s="2" t="s">
        <v>0</v>
      </c>
      <c r="E4" s="2" t="s">
        <v>1</v>
      </c>
    </row>
    <row r="5" spans="1:25" ht="12.75" customHeight="1" x14ac:dyDescent="0.2">
      <c r="A5" s="91" t="s">
        <v>2</v>
      </c>
      <c r="B5" s="91" t="s">
        <v>3</v>
      </c>
      <c r="C5" s="3" t="s">
        <v>4</v>
      </c>
      <c r="D5" s="4">
        <f>Heights!L38</f>
        <v>0.90026936466942442</v>
      </c>
      <c r="E5" s="4">
        <f>Heights!M38</f>
        <v>1.2304208615330122E-2</v>
      </c>
      <c r="P5" s="89"/>
      <c r="Q5" s="89"/>
      <c r="R5" s="89"/>
      <c r="S5" s="89"/>
      <c r="T5" s="89"/>
      <c r="U5" s="89"/>
      <c r="V5" s="89"/>
      <c r="W5" s="89"/>
      <c r="X5" s="89"/>
      <c r="Y5" s="89"/>
    </row>
    <row r="6" spans="1:25" ht="15" x14ac:dyDescent="0.2">
      <c r="A6" s="91"/>
      <c r="B6" s="91"/>
      <c r="C6" s="3" t="s">
        <v>5</v>
      </c>
      <c r="D6" s="5">
        <f>Heights!I42</f>
        <v>0.90017085493408144</v>
      </c>
      <c r="E6" s="5">
        <f>Heights!J42</f>
        <v>2.4800722764269359E-3</v>
      </c>
      <c r="P6" s="89"/>
      <c r="Q6" s="89"/>
      <c r="R6" s="89"/>
      <c r="S6" s="89"/>
      <c r="T6" s="89"/>
      <c r="U6" s="89"/>
      <c r="V6" s="89"/>
      <c r="W6" s="89"/>
      <c r="X6" s="89"/>
      <c r="Y6" s="89"/>
    </row>
    <row r="7" spans="1:25" ht="12.75" customHeight="1" x14ac:dyDescent="0.2">
      <c r="A7" s="91"/>
      <c r="B7" s="91" t="s">
        <v>6</v>
      </c>
      <c r="C7" s="3" t="s">
        <v>4</v>
      </c>
      <c r="D7" s="5">
        <f>'Parallax Error'!K33</f>
        <v>0.90436360347574474</v>
      </c>
      <c r="E7" s="5">
        <f>'Parallax Error'!L33</f>
        <v>2.0424934801946304E-3</v>
      </c>
    </row>
    <row r="8" spans="1:25" ht="15" x14ac:dyDescent="0.2">
      <c r="A8" s="91"/>
      <c r="B8" s="91"/>
      <c r="C8" s="3" t="s">
        <v>5</v>
      </c>
      <c r="D8" s="5">
        <f>'Parallax Error'!H37</f>
        <v>0.90590639142064133</v>
      </c>
      <c r="E8" s="5">
        <f>'Parallax Error'!I37</f>
        <v>2.0944751420319701E-3</v>
      </c>
    </row>
    <row r="9" spans="1:25" ht="12.75" customHeight="1" x14ac:dyDescent="0.2">
      <c r="A9" s="91" t="s">
        <v>7</v>
      </c>
      <c r="B9" s="91" t="s">
        <v>3</v>
      </c>
      <c r="C9" s="3" t="s">
        <v>4</v>
      </c>
      <c r="D9" s="4">
        <f>Heights!F38</f>
        <v>0.89097069731835232</v>
      </c>
      <c r="E9" s="4">
        <f>Heights!G38</f>
        <v>1.6226462529922565E-2</v>
      </c>
    </row>
    <row r="10" spans="1:25" ht="15" x14ac:dyDescent="0.2">
      <c r="A10" s="91"/>
      <c r="B10" s="91"/>
      <c r="C10" s="3" t="s">
        <v>5</v>
      </c>
      <c r="D10" s="5">
        <f>Heights!C42</f>
        <v>0.89008876581601815</v>
      </c>
      <c r="E10" s="5">
        <f>Heights!D42</f>
        <v>2.7128809158567264E-3</v>
      </c>
    </row>
    <row r="11" spans="1:25" ht="12.75" customHeight="1" x14ac:dyDescent="0.2">
      <c r="A11" s="91"/>
      <c r="B11" s="91" t="s">
        <v>6</v>
      </c>
      <c r="C11" s="3" t="s">
        <v>4</v>
      </c>
      <c r="D11" s="5">
        <f>'Parallax Error'!E33</f>
        <v>0.90165043167891368</v>
      </c>
      <c r="E11" s="5">
        <f>'Parallax Error'!F33</f>
        <v>2.9322287416332052E-3</v>
      </c>
    </row>
    <row r="12" spans="1:25" ht="15" x14ac:dyDescent="0.2">
      <c r="A12" s="91"/>
      <c r="B12" s="91"/>
      <c r="C12" s="3" t="s">
        <v>5</v>
      </c>
      <c r="D12" s="5">
        <f>'Parallax Error'!B37</f>
        <v>0.90061672757484423</v>
      </c>
      <c r="E12" s="5">
        <f>'Parallax Error'!C37</f>
        <v>1.2689298292662041E-3</v>
      </c>
    </row>
    <row r="13" spans="1:25" ht="12.75" customHeight="1" x14ac:dyDescent="0.2">
      <c r="A13" s="91" t="s">
        <v>8</v>
      </c>
      <c r="B13" s="91"/>
      <c r="C13" s="3" t="s">
        <v>4</v>
      </c>
      <c r="D13" s="5">
        <f>Audio!E38</f>
        <v>0.90418183415104714</v>
      </c>
      <c r="E13" s="5">
        <f>Audio!F38</f>
        <v>1.1002232581300969E-3</v>
      </c>
    </row>
    <row r="14" spans="1:25" ht="15" x14ac:dyDescent="0.2">
      <c r="A14" s="91"/>
      <c r="B14" s="91"/>
      <c r="C14" s="3" t="s">
        <v>5</v>
      </c>
      <c r="D14" s="5">
        <f>Audio!B41</f>
        <v>0.904412989271834</v>
      </c>
      <c r="E14" s="5">
        <f>Audio!C41</f>
        <v>1.2380748376844173E-3</v>
      </c>
    </row>
    <row r="16" spans="1:25" x14ac:dyDescent="0.2">
      <c r="D16" s="6"/>
    </row>
    <row r="21" spans="2:5" x14ac:dyDescent="0.2">
      <c r="B21" s="90" t="s">
        <v>79</v>
      </c>
      <c r="C21" s="90"/>
      <c r="D21" s="90"/>
      <c r="E21" s="90"/>
    </row>
  </sheetData>
  <sheetProtection selectLockedCells="1" selectUnlockedCells="1"/>
  <mergeCells count="17">
    <mergeCell ref="G2:L3"/>
    <mergeCell ref="A9:A12"/>
    <mergeCell ref="B9:B10"/>
    <mergeCell ref="B11:B12"/>
    <mergeCell ref="A13:B14"/>
    <mergeCell ref="A1:E2"/>
    <mergeCell ref="B21:E21"/>
    <mergeCell ref="A5:A8"/>
    <mergeCell ref="B5:B6"/>
    <mergeCell ref="P5:S5"/>
    <mergeCell ref="T5:W5"/>
    <mergeCell ref="B7:B8"/>
    <mergeCell ref="X5:Y6"/>
    <mergeCell ref="P6:Q6"/>
    <mergeCell ref="R6:S6"/>
    <mergeCell ref="T6:U6"/>
    <mergeCell ref="V6:W6"/>
  </mergeCell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
  <sheetViews>
    <sheetView zoomScale="90" zoomScaleNormal="90" workbookViewId="0">
      <selection activeCell="C34" sqref="C34"/>
    </sheetView>
  </sheetViews>
  <sheetFormatPr defaultColWidth="11.85546875" defaultRowHeight="15" x14ac:dyDescent="0.25"/>
  <cols>
    <col min="1" max="1" width="11.85546875" style="7"/>
    <col min="2" max="2" width="13.85546875" style="7" customWidth="1"/>
    <col min="3" max="3" width="13.28515625" style="7" customWidth="1"/>
    <col min="4" max="4" width="11" style="7" customWidth="1"/>
    <col min="5" max="5" width="9.85546875" style="7" customWidth="1"/>
    <col min="6" max="6" width="7" style="7" customWidth="1"/>
    <col min="7" max="7" width="6" style="7" customWidth="1"/>
    <col min="8" max="8" width="13.85546875" style="7" customWidth="1"/>
    <col min="9" max="9" width="13.28515625" style="7" customWidth="1"/>
    <col min="10" max="10" width="11.7109375" style="7" customWidth="1"/>
    <col min="11" max="11" width="9" style="7" customWidth="1"/>
    <col min="12" max="12" width="13.42578125" style="7" customWidth="1"/>
    <col min="13" max="13" width="6.28515625" style="7" customWidth="1"/>
    <col min="14" max="14" width="4.85546875" style="7" customWidth="1"/>
    <col min="15" max="15" width="10.5703125" style="7" customWidth="1"/>
    <col min="16" max="16" width="12.85546875" style="7" customWidth="1"/>
    <col min="17" max="17" width="11.85546875" style="7"/>
    <col min="18" max="18" width="7.42578125" style="7" customWidth="1"/>
    <col min="19" max="19" width="10.28515625" style="7" customWidth="1"/>
    <col min="20" max="20" width="17.140625" style="7" customWidth="1"/>
    <col min="21" max="28" width="4.85546875" style="7" customWidth="1"/>
    <col min="29" max="16384" width="11.85546875" style="7"/>
  </cols>
  <sheetData>
    <row r="1" spans="1:39" x14ac:dyDescent="0.25">
      <c r="B1" s="8"/>
    </row>
    <row r="2" spans="1:39" x14ac:dyDescent="0.25">
      <c r="A2" s="9"/>
      <c r="B2" s="10"/>
      <c r="C2" s="9"/>
      <c r="D2" s="9"/>
      <c r="E2" s="9"/>
      <c r="F2" s="9"/>
      <c r="G2" s="9"/>
      <c r="H2" s="9"/>
      <c r="I2" s="9"/>
      <c r="J2" s="9"/>
      <c r="K2" s="9"/>
      <c r="L2" s="9"/>
    </row>
    <row r="3" spans="1:39" x14ac:dyDescent="0.25">
      <c r="A3" s="9"/>
      <c r="B3" s="10"/>
      <c r="C3" s="10"/>
      <c r="D3" s="11"/>
      <c r="E3" s="94" t="s">
        <v>9</v>
      </c>
      <c r="F3" s="94"/>
      <c r="G3" s="13"/>
      <c r="H3" s="13"/>
      <c r="I3" s="13"/>
      <c r="J3" s="13"/>
      <c r="K3" s="12"/>
      <c r="L3" s="12"/>
      <c r="M3" s="14"/>
      <c r="N3" s="14"/>
      <c r="O3" s="87" t="s">
        <v>10</v>
      </c>
      <c r="P3" s="87" t="s">
        <v>11</v>
      </c>
      <c r="Q3"/>
      <c r="R3"/>
      <c r="S3"/>
      <c r="T3"/>
      <c r="U3"/>
      <c r="V3"/>
      <c r="W3"/>
      <c r="X3"/>
      <c r="Y3"/>
      <c r="Z3"/>
      <c r="AA3"/>
      <c r="AB3"/>
      <c r="AC3"/>
      <c r="AD3"/>
      <c r="AE3"/>
      <c r="AF3"/>
      <c r="AG3"/>
    </row>
    <row r="4" spans="1:39" x14ac:dyDescent="0.25">
      <c r="A4" s="9"/>
      <c r="B4" s="10"/>
      <c r="C4" s="15" t="s">
        <v>12</v>
      </c>
      <c r="D4" s="11" t="s">
        <v>13</v>
      </c>
      <c r="E4" s="13"/>
      <c r="F4" s="13"/>
      <c r="G4" s="13"/>
      <c r="H4" s="13"/>
      <c r="I4" s="13"/>
      <c r="J4" s="13"/>
      <c r="K4" s="13"/>
      <c r="L4" s="13"/>
      <c r="M4" s="13"/>
      <c r="N4" s="13"/>
      <c r="O4" s="87"/>
      <c r="P4" s="87"/>
      <c r="Q4"/>
      <c r="R4"/>
      <c r="S4"/>
      <c r="T4"/>
      <c r="U4"/>
      <c r="V4"/>
      <c r="W4"/>
      <c r="X4"/>
      <c r="Y4"/>
      <c r="Z4"/>
      <c r="AA4"/>
      <c r="AB4"/>
      <c r="AC4"/>
      <c r="AD4"/>
      <c r="AE4"/>
      <c r="AF4"/>
      <c r="AG4"/>
      <c r="AH4" s="9"/>
      <c r="AI4" s="9"/>
      <c r="AJ4" s="9"/>
      <c r="AK4" s="9"/>
      <c r="AL4" s="9"/>
      <c r="AM4" s="9"/>
    </row>
    <row r="5" spans="1:39" x14ac:dyDescent="0.25">
      <c r="A5" s="9"/>
      <c r="B5" s="10" t="s">
        <v>14</v>
      </c>
      <c r="C5" s="16">
        <v>1</v>
      </c>
      <c r="D5" s="17">
        <v>10</v>
      </c>
      <c r="E5" s="13">
        <v>165</v>
      </c>
      <c r="F5" s="13">
        <v>165</v>
      </c>
      <c r="G5" s="13">
        <v>165</v>
      </c>
      <c r="H5" s="13">
        <v>165</v>
      </c>
      <c r="I5" s="13">
        <v>160</v>
      </c>
      <c r="J5" s="13">
        <v>165</v>
      </c>
      <c r="K5" s="13">
        <v>160</v>
      </c>
      <c r="L5" s="13">
        <v>165</v>
      </c>
      <c r="M5" s="13">
        <v>165</v>
      </c>
      <c r="N5" s="18">
        <v>163</v>
      </c>
      <c r="O5" s="88">
        <f>AVERAGE(E5:N5)</f>
        <v>163.80000000000001</v>
      </c>
      <c r="P5" s="88">
        <f>SQRT((1/D5^2)*SUMSQ(E6:N6))</f>
        <v>1.0024420182733764</v>
      </c>
      <c r="Q5"/>
      <c r="R5"/>
      <c r="S5"/>
      <c r="T5"/>
      <c r="U5"/>
      <c r="V5"/>
      <c r="W5"/>
      <c r="X5"/>
      <c r="Y5"/>
      <c r="Z5"/>
      <c r="AA5"/>
      <c r="AB5"/>
      <c r="AC5"/>
      <c r="AD5"/>
      <c r="AE5"/>
      <c r="AF5"/>
      <c r="AG5"/>
      <c r="AH5" s="9"/>
      <c r="AI5" s="9"/>
      <c r="AJ5" s="9"/>
      <c r="AK5" s="9"/>
      <c r="AL5" s="9"/>
      <c r="AM5" s="9"/>
    </row>
    <row r="6" spans="1:39" x14ac:dyDescent="0.25">
      <c r="A6" s="9"/>
      <c r="B6" s="93" t="s">
        <v>15</v>
      </c>
      <c r="C6" s="93"/>
      <c r="D6" s="17"/>
      <c r="E6" s="13">
        <f t="shared" ref="E6:N6" si="0">3 + 0.17</f>
        <v>3.17</v>
      </c>
      <c r="F6" s="13">
        <f t="shared" si="0"/>
        <v>3.17</v>
      </c>
      <c r="G6" s="13">
        <f t="shared" si="0"/>
        <v>3.17</v>
      </c>
      <c r="H6" s="13">
        <f t="shared" si="0"/>
        <v>3.17</v>
      </c>
      <c r="I6" s="13">
        <f t="shared" si="0"/>
        <v>3.17</v>
      </c>
      <c r="J6" s="13">
        <f t="shared" si="0"/>
        <v>3.17</v>
      </c>
      <c r="K6" s="13">
        <f t="shared" si="0"/>
        <v>3.17</v>
      </c>
      <c r="L6" s="13">
        <f t="shared" si="0"/>
        <v>3.17</v>
      </c>
      <c r="M6" s="13">
        <f t="shared" si="0"/>
        <v>3.17</v>
      </c>
      <c r="N6" s="13">
        <f t="shared" si="0"/>
        <v>3.17</v>
      </c>
      <c r="O6" s="88"/>
      <c r="P6" s="88"/>
      <c r="Q6"/>
      <c r="R6"/>
      <c r="S6"/>
      <c r="T6"/>
      <c r="U6"/>
      <c r="V6"/>
      <c r="W6"/>
      <c r="X6"/>
      <c r="Y6"/>
      <c r="Z6"/>
      <c r="AA6"/>
      <c r="AB6"/>
      <c r="AC6"/>
      <c r="AD6"/>
      <c r="AE6"/>
      <c r="AF6"/>
      <c r="AG6"/>
      <c r="AH6" s="9"/>
      <c r="AI6" s="9"/>
      <c r="AJ6" s="9"/>
      <c r="AK6" s="9"/>
      <c r="AL6" s="9"/>
      <c r="AM6" s="9"/>
    </row>
    <row r="7" spans="1:39" x14ac:dyDescent="0.25">
      <c r="A7" s="9"/>
      <c r="B7" s="10" t="s">
        <v>14</v>
      </c>
      <c r="C7" s="16">
        <v>2</v>
      </c>
      <c r="D7" s="17">
        <v>10</v>
      </c>
      <c r="E7" s="13">
        <v>130</v>
      </c>
      <c r="F7" s="13">
        <v>140</v>
      </c>
      <c r="G7" s="13">
        <v>135</v>
      </c>
      <c r="H7" s="13">
        <v>130</v>
      </c>
      <c r="I7" s="13">
        <v>125</v>
      </c>
      <c r="J7" s="13">
        <v>135</v>
      </c>
      <c r="K7" s="13">
        <v>130</v>
      </c>
      <c r="L7" s="13">
        <v>130</v>
      </c>
      <c r="M7" s="13">
        <v>140</v>
      </c>
      <c r="N7" s="18">
        <v>127</v>
      </c>
      <c r="O7" s="88">
        <f>AVERAGE(E7:N7)</f>
        <v>132.19999999999999</v>
      </c>
      <c r="P7" s="88">
        <f>SQRT((1/D7^2)*SUMSQ(E8:N8))</f>
        <v>1.0024420182733764</v>
      </c>
      <c r="Q7"/>
      <c r="R7"/>
      <c r="S7"/>
      <c r="T7"/>
      <c r="U7"/>
      <c r="V7"/>
      <c r="W7"/>
      <c r="X7"/>
      <c r="Y7"/>
      <c r="Z7"/>
      <c r="AA7"/>
      <c r="AB7"/>
      <c r="AC7"/>
      <c r="AD7"/>
      <c r="AE7"/>
      <c r="AF7"/>
      <c r="AG7"/>
      <c r="AH7" s="9"/>
      <c r="AI7" s="9"/>
      <c r="AJ7" s="9"/>
      <c r="AK7" s="9"/>
      <c r="AL7" s="9"/>
      <c r="AM7" s="9"/>
    </row>
    <row r="8" spans="1:39" x14ac:dyDescent="0.25">
      <c r="A8" s="9"/>
      <c r="B8" s="93" t="s">
        <v>15</v>
      </c>
      <c r="C8" s="93"/>
      <c r="D8" s="17"/>
      <c r="E8" s="13">
        <f t="shared" ref="E8:N8" si="1">3 + 0.17</f>
        <v>3.17</v>
      </c>
      <c r="F8" s="13">
        <f t="shared" si="1"/>
        <v>3.17</v>
      </c>
      <c r="G8" s="13">
        <f t="shared" si="1"/>
        <v>3.17</v>
      </c>
      <c r="H8" s="13">
        <f t="shared" si="1"/>
        <v>3.17</v>
      </c>
      <c r="I8" s="13">
        <f t="shared" si="1"/>
        <v>3.17</v>
      </c>
      <c r="J8" s="13">
        <f t="shared" si="1"/>
        <v>3.17</v>
      </c>
      <c r="K8" s="13">
        <f t="shared" si="1"/>
        <v>3.17</v>
      </c>
      <c r="L8" s="13">
        <f t="shared" si="1"/>
        <v>3.17</v>
      </c>
      <c r="M8" s="13">
        <f t="shared" si="1"/>
        <v>3.17</v>
      </c>
      <c r="N8" s="13">
        <f t="shared" si="1"/>
        <v>3.17</v>
      </c>
      <c r="O8" s="88"/>
      <c r="P8" s="88"/>
      <c r="Q8"/>
      <c r="R8"/>
      <c r="S8"/>
      <c r="T8"/>
      <c r="U8"/>
      <c r="V8"/>
      <c r="W8"/>
      <c r="X8"/>
      <c r="Y8"/>
      <c r="Z8"/>
      <c r="AA8"/>
      <c r="AB8"/>
      <c r="AC8"/>
      <c r="AD8"/>
      <c r="AE8"/>
      <c r="AF8"/>
      <c r="AG8"/>
      <c r="AH8" s="9"/>
      <c r="AI8" s="9"/>
      <c r="AJ8" s="9"/>
      <c r="AK8" s="9"/>
      <c r="AL8" s="9"/>
      <c r="AM8" s="9"/>
    </row>
    <row r="9" spans="1:39" x14ac:dyDescent="0.25">
      <c r="A9" s="9"/>
      <c r="B9" s="10" t="s">
        <v>14</v>
      </c>
      <c r="C9" s="16">
        <v>3</v>
      </c>
      <c r="D9" s="17">
        <v>9</v>
      </c>
      <c r="E9" s="13"/>
      <c r="F9" s="13">
        <v>105</v>
      </c>
      <c r="G9" s="13">
        <v>102</v>
      </c>
      <c r="H9" s="13">
        <v>104</v>
      </c>
      <c r="I9" s="13">
        <v>95</v>
      </c>
      <c r="J9" s="13">
        <v>105</v>
      </c>
      <c r="K9" s="13">
        <v>110</v>
      </c>
      <c r="L9" s="13">
        <v>110</v>
      </c>
      <c r="M9" s="13">
        <v>110</v>
      </c>
      <c r="N9" s="18">
        <v>105</v>
      </c>
      <c r="O9" s="88">
        <f>AVERAGE(E9:N9)</f>
        <v>105.11111111111111</v>
      </c>
      <c r="P9" s="88">
        <f>SQRT((1/D9^2)*SUMSQ(E10:N10))</f>
        <v>1.0566666666666666</v>
      </c>
      <c r="Q9"/>
      <c r="R9"/>
      <c r="S9"/>
      <c r="T9"/>
      <c r="U9"/>
      <c r="V9"/>
      <c r="W9"/>
      <c r="X9"/>
      <c r="Y9"/>
      <c r="Z9"/>
      <c r="AA9"/>
      <c r="AB9"/>
      <c r="AC9"/>
      <c r="AD9"/>
      <c r="AE9"/>
      <c r="AF9"/>
      <c r="AG9"/>
      <c r="AH9" s="9"/>
      <c r="AI9" s="9"/>
      <c r="AJ9" s="9"/>
      <c r="AK9" s="9"/>
      <c r="AL9" s="9"/>
      <c r="AM9" s="9"/>
    </row>
    <row r="10" spans="1:39" x14ac:dyDescent="0.25">
      <c r="A10" s="9"/>
      <c r="B10" s="93" t="s">
        <v>15</v>
      </c>
      <c r="C10" s="93"/>
      <c r="D10" s="17"/>
      <c r="E10" s="13"/>
      <c r="F10" s="13">
        <f t="shared" ref="F10:N10" si="2">3 + 0.17</f>
        <v>3.17</v>
      </c>
      <c r="G10" s="13">
        <f t="shared" si="2"/>
        <v>3.17</v>
      </c>
      <c r="H10" s="13">
        <f t="shared" si="2"/>
        <v>3.17</v>
      </c>
      <c r="I10" s="13">
        <f t="shared" si="2"/>
        <v>3.17</v>
      </c>
      <c r="J10" s="13">
        <f t="shared" si="2"/>
        <v>3.17</v>
      </c>
      <c r="K10" s="13">
        <f t="shared" si="2"/>
        <v>3.17</v>
      </c>
      <c r="L10" s="13">
        <f t="shared" si="2"/>
        <v>3.17</v>
      </c>
      <c r="M10" s="13">
        <f t="shared" si="2"/>
        <v>3.17</v>
      </c>
      <c r="N10" s="13">
        <f t="shared" si="2"/>
        <v>3.17</v>
      </c>
      <c r="O10" s="88"/>
      <c r="P10" s="88"/>
      <c r="Q10"/>
      <c r="R10"/>
      <c r="S10"/>
      <c r="T10"/>
      <c r="U10"/>
      <c r="V10"/>
      <c r="W10"/>
      <c r="X10"/>
      <c r="Y10"/>
      <c r="Z10"/>
      <c r="AA10"/>
      <c r="AB10"/>
      <c r="AC10"/>
      <c r="AD10"/>
      <c r="AE10"/>
      <c r="AF10"/>
      <c r="AG10"/>
      <c r="AH10" s="9"/>
      <c r="AI10" s="9"/>
      <c r="AJ10" s="9"/>
      <c r="AK10" s="9"/>
      <c r="AL10" s="9"/>
      <c r="AM10" s="9"/>
    </row>
    <row r="11" spans="1:39" x14ac:dyDescent="0.25">
      <c r="A11" s="9"/>
      <c r="B11" s="10" t="s">
        <v>14</v>
      </c>
      <c r="C11" s="16">
        <v>4</v>
      </c>
      <c r="D11" s="17">
        <v>8</v>
      </c>
      <c r="E11" s="13"/>
      <c r="F11" s="13"/>
      <c r="G11" s="13">
        <v>75</v>
      </c>
      <c r="H11" s="13">
        <v>78</v>
      </c>
      <c r="I11" s="13">
        <v>75</v>
      </c>
      <c r="J11" s="13">
        <v>80</v>
      </c>
      <c r="K11" s="13">
        <v>80</v>
      </c>
      <c r="L11" s="13">
        <v>90</v>
      </c>
      <c r="M11" s="13">
        <v>85</v>
      </c>
      <c r="N11" s="18">
        <v>78</v>
      </c>
      <c r="O11" s="88">
        <f>AVERAGE(E11:N11)</f>
        <v>80.125</v>
      </c>
      <c r="P11" s="88">
        <f>SQRT((1/D11^2)*SUMSQ(E12:N12))</f>
        <v>1.1207642481806779</v>
      </c>
      <c r="Q11"/>
      <c r="R11"/>
      <c r="S11"/>
      <c r="T11"/>
      <c r="U11"/>
      <c r="V11"/>
      <c r="W11"/>
      <c r="X11"/>
      <c r="Y11"/>
      <c r="Z11"/>
      <c r="AA11"/>
      <c r="AB11"/>
      <c r="AC11"/>
      <c r="AD11"/>
      <c r="AE11"/>
      <c r="AF11"/>
      <c r="AG11"/>
      <c r="AH11" s="9"/>
      <c r="AI11" s="9"/>
      <c r="AJ11" s="9"/>
      <c r="AK11" s="9"/>
      <c r="AL11" s="9"/>
      <c r="AM11" s="9"/>
    </row>
    <row r="12" spans="1:39" x14ac:dyDescent="0.25">
      <c r="A12" s="9"/>
      <c r="B12" s="93" t="s">
        <v>15</v>
      </c>
      <c r="C12" s="93"/>
      <c r="D12" s="17"/>
      <c r="E12" s="13"/>
      <c r="F12" s="13"/>
      <c r="G12" s="13">
        <f t="shared" ref="G12:N12" si="3">3 + 0.17</f>
        <v>3.17</v>
      </c>
      <c r="H12" s="13">
        <f t="shared" si="3"/>
        <v>3.17</v>
      </c>
      <c r="I12" s="13">
        <f t="shared" si="3"/>
        <v>3.17</v>
      </c>
      <c r="J12" s="13">
        <f t="shared" si="3"/>
        <v>3.17</v>
      </c>
      <c r="K12" s="13">
        <f t="shared" si="3"/>
        <v>3.17</v>
      </c>
      <c r="L12" s="13">
        <f t="shared" si="3"/>
        <v>3.17</v>
      </c>
      <c r="M12" s="13">
        <f t="shared" si="3"/>
        <v>3.17</v>
      </c>
      <c r="N12" s="13">
        <f t="shared" si="3"/>
        <v>3.17</v>
      </c>
      <c r="O12" s="88"/>
      <c r="P12" s="88"/>
      <c r="Q12"/>
      <c r="R12"/>
      <c r="S12"/>
      <c r="T12"/>
      <c r="U12"/>
      <c r="V12"/>
      <c r="W12"/>
      <c r="X12"/>
      <c r="Y12"/>
      <c r="Z12"/>
      <c r="AA12"/>
      <c r="AB12"/>
      <c r="AC12"/>
      <c r="AD12"/>
      <c r="AE12"/>
      <c r="AF12"/>
      <c r="AG12"/>
      <c r="AH12" s="9"/>
      <c r="AI12" s="9"/>
      <c r="AJ12" s="9"/>
      <c r="AK12" s="9"/>
      <c r="AL12" s="9"/>
      <c r="AM12" s="9"/>
    </row>
    <row r="13" spans="1:39" x14ac:dyDescent="0.25">
      <c r="A13" s="9"/>
      <c r="B13" s="10" t="s">
        <v>14</v>
      </c>
      <c r="C13" s="16">
        <v>5</v>
      </c>
      <c r="D13" s="17">
        <v>8</v>
      </c>
      <c r="E13" s="13"/>
      <c r="F13" s="13"/>
      <c r="G13" s="13">
        <v>55</v>
      </c>
      <c r="H13" s="13">
        <v>60</v>
      </c>
      <c r="I13" s="13">
        <v>54</v>
      </c>
      <c r="J13" s="13">
        <v>65</v>
      </c>
      <c r="K13" s="13">
        <v>70</v>
      </c>
      <c r="L13" s="13">
        <v>70</v>
      </c>
      <c r="M13" s="13">
        <v>70</v>
      </c>
      <c r="N13" s="18">
        <v>60</v>
      </c>
      <c r="O13" s="88">
        <f>AVERAGE(E13:N13)</f>
        <v>63</v>
      </c>
      <c r="P13" s="88">
        <f>SQRT((1/D13^2)*SUMSQ(E14:N14))</f>
        <v>1.1207642481806779</v>
      </c>
      <c r="Q13"/>
      <c r="R13"/>
      <c r="S13"/>
      <c r="T13"/>
      <c r="U13"/>
      <c r="V13"/>
      <c r="W13"/>
      <c r="X13"/>
      <c r="Y13"/>
      <c r="Z13"/>
      <c r="AA13"/>
      <c r="AB13"/>
      <c r="AC13"/>
      <c r="AD13"/>
      <c r="AE13"/>
      <c r="AF13"/>
      <c r="AG13"/>
      <c r="AH13" s="9"/>
      <c r="AI13" s="9"/>
      <c r="AJ13" s="9"/>
      <c r="AK13" s="9"/>
      <c r="AL13" s="9"/>
      <c r="AM13" s="9"/>
    </row>
    <row r="14" spans="1:39" x14ac:dyDescent="0.25">
      <c r="A14" s="9"/>
      <c r="B14" s="93" t="s">
        <v>15</v>
      </c>
      <c r="C14" s="93"/>
      <c r="D14" s="17"/>
      <c r="E14" s="13"/>
      <c r="F14" s="13"/>
      <c r="G14" s="13">
        <f t="shared" ref="G14:N14" si="4">3 + 0.17</f>
        <v>3.17</v>
      </c>
      <c r="H14" s="13">
        <f t="shared" si="4"/>
        <v>3.17</v>
      </c>
      <c r="I14" s="13">
        <f t="shared" si="4"/>
        <v>3.17</v>
      </c>
      <c r="J14" s="13">
        <f t="shared" si="4"/>
        <v>3.17</v>
      </c>
      <c r="K14" s="13">
        <f t="shared" si="4"/>
        <v>3.17</v>
      </c>
      <c r="L14" s="13">
        <f t="shared" si="4"/>
        <v>3.17</v>
      </c>
      <c r="M14" s="13">
        <f t="shared" si="4"/>
        <v>3.17</v>
      </c>
      <c r="N14" s="13">
        <f t="shared" si="4"/>
        <v>3.17</v>
      </c>
      <c r="O14" s="87"/>
      <c r="P14" s="87"/>
      <c r="Q14"/>
      <c r="R14"/>
      <c r="S14"/>
      <c r="T14"/>
      <c r="U14"/>
      <c r="V14"/>
      <c r="W14"/>
      <c r="X14"/>
      <c r="Y14"/>
      <c r="Z14"/>
      <c r="AA14"/>
      <c r="AB14"/>
      <c r="AC14"/>
      <c r="AD14"/>
      <c r="AE14"/>
      <c r="AF14"/>
      <c r="AG14"/>
      <c r="AH14" s="9"/>
      <c r="AI14" s="9"/>
      <c r="AJ14" s="9"/>
      <c r="AK14" s="9"/>
      <c r="AL14" s="9"/>
      <c r="AM14" s="9"/>
    </row>
    <row r="15" spans="1:39" x14ac:dyDescent="0.25">
      <c r="A15" s="9"/>
      <c r="B15" s="9"/>
      <c r="C15" s="9"/>
      <c r="D15" s="9"/>
      <c r="E15" s="9"/>
      <c r="F15" s="9"/>
      <c r="G15" s="9"/>
      <c r="H15"/>
      <c r="I15"/>
      <c r="J15"/>
      <c r="K15"/>
      <c r="L15"/>
    </row>
    <row r="16" spans="1:39" x14ac:dyDescent="0.25">
      <c r="A16"/>
      <c r="B16"/>
      <c r="C16"/>
      <c r="D16" s="19"/>
      <c r="E16" s="97" t="s">
        <v>16</v>
      </c>
      <c r="F16" s="97"/>
      <c r="G16" s="20"/>
      <c r="H16" s="20"/>
      <c r="I16" s="20"/>
      <c r="J16" s="20"/>
      <c r="K16" s="20"/>
      <c r="L16" s="20"/>
      <c r="M16" s="20"/>
      <c r="N16" s="20"/>
      <c r="O16" s="20"/>
      <c r="P16" s="20"/>
      <c r="Q16" s="20"/>
      <c r="R16" s="20"/>
      <c r="S16" s="21" t="s">
        <v>10</v>
      </c>
      <c r="T16" s="22" t="s">
        <v>11</v>
      </c>
    </row>
    <row r="17" spans="1:20" x14ac:dyDescent="0.25">
      <c r="A17"/>
      <c r="B17" s="10"/>
      <c r="C17" s="15" t="s">
        <v>12</v>
      </c>
      <c r="D17" s="23" t="s">
        <v>13</v>
      </c>
      <c r="E17" s="24"/>
      <c r="F17" s="24"/>
      <c r="G17" s="24"/>
      <c r="H17" s="24"/>
      <c r="I17" s="24"/>
      <c r="J17" s="24"/>
      <c r="K17" s="24"/>
      <c r="L17" s="24"/>
      <c r="M17" s="24"/>
      <c r="N17" s="24"/>
      <c r="O17" s="24"/>
      <c r="P17" s="24"/>
      <c r="Q17" s="24"/>
      <c r="R17" s="24"/>
      <c r="S17" s="21"/>
      <c r="T17" s="21"/>
    </row>
    <row r="18" spans="1:20" x14ac:dyDescent="0.25">
      <c r="A18"/>
      <c r="B18" s="10" t="s">
        <v>14</v>
      </c>
      <c r="C18" s="16">
        <v>1</v>
      </c>
      <c r="D18" s="25">
        <v>3</v>
      </c>
      <c r="E18" s="24">
        <v>156</v>
      </c>
      <c r="F18" s="24">
        <v>155</v>
      </c>
      <c r="G18" s="24">
        <v>156</v>
      </c>
      <c r="H18" s="24"/>
      <c r="I18" s="24"/>
      <c r="J18" s="24"/>
      <c r="K18" s="24"/>
      <c r="L18" s="24"/>
      <c r="M18" s="24"/>
      <c r="N18" s="24"/>
      <c r="O18" s="24"/>
      <c r="P18" s="24"/>
      <c r="Q18" s="24"/>
      <c r="R18" s="24"/>
      <c r="S18" s="26">
        <f>AVERAGE(E18:R18)</f>
        <v>155.66666666666666</v>
      </c>
      <c r="T18" s="26">
        <f>SQRT((1/D18^2)*SUMSQ(E19:N19))</f>
        <v>0.67549981495186207</v>
      </c>
    </row>
    <row r="19" spans="1:20" x14ac:dyDescent="0.25">
      <c r="A19"/>
      <c r="B19" s="93" t="s">
        <v>15</v>
      </c>
      <c r="C19" s="93"/>
      <c r="D19" s="25"/>
      <c r="E19" s="24">
        <f>1 + 0.17</f>
        <v>1.17</v>
      </c>
      <c r="F19" s="24">
        <f>1 + 0.17</f>
        <v>1.17</v>
      </c>
      <c r="G19" s="24">
        <f>1 + 0.17</f>
        <v>1.17</v>
      </c>
      <c r="H19" s="24"/>
      <c r="I19" s="24"/>
      <c r="J19" s="24"/>
      <c r="K19" s="24"/>
      <c r="L19" s="24"/>
      <c r="M19" s="24"/>
      <c r="N19" s="24"/>
      <c r="O19" s="24"/>
      <c r="P19" s="24"/>
      <c r="Q19" s="24"/>
      <c r="R19" s="24"/>
      <c r="S19" s="26"/>
      <c r="T19" s="26"/>
    </row>
    <row r="20" spans="1:20" x14ac:dyDescent="0.25">
      <c r="A20"/>
      <c r="B20" s="10" t="s">
        <v>14</v>
      </c>
      <c r="C20" s="16">
        <v>2</v>
      </c>
      <c r="D20" s="25">
        <v>2</v>
      </c>
      <c r="E20" s="24">
        <v>136</v>
      </c>
      <c r="F20" s="24">
        <v>126</v>
      </c>
      <c r="G20" s="24"/>
      <c r="H20" s="24"/>
      <c r="I20" s="24"/>
      <c r="J20" s="24"/>
      <c r="K20" s="24"/>
      <c r="L20" s="24"/>
      <c r="M20" s="24"/>
      <c r="N20" s="24"/>
      <c r="O20" s="24"/>
      <c r="P20" s="24"/>
      <c r="Q20" s="24"/>
      <c r="R20" s="24"/>
      <c r="S20" s="26">
        <f>AVERAGE(E20:R20)</f>
        <v>131</v>
      </c>
      <c r="T20" s="26">
        <f>SQRT((1/D20^2)*SUMSQ(E21:N21))</f>
        <v>0.8273149339882605</v>
      </c>
    </row>
    <row r="21" spans="1:20" x14ac:dyDescent="0.25">
      <c r="A21"/>
      <c r="B21" s="93" t="s">
        <v>15</v>
      </c>
      <c r="C21" s="93"/>
      <c r="D21" s="25"/>
      <c r="E21" s="24">
        <f>1 + 0.17</f>
        <v>1.17</v>
      </c>
      <c r="F21" s="24">
        <f>1 + 0.17</f>
        <v>1.17</v>
      </c>
      <c r="G21" s="24"/>
      <c r="H21" s="24"/>
      <c r="I21" s="24"/>
      <c r="J21" s="24"/>
      <c r="K21" s="24"/>
      <c r="L21" s="24"/>
      <c r="M21" s="24"/>
      <c r="N21" s="24"/>
      <c r="O21" s="24"/>
      <c r="P21" s="24"/>
      <c r="Q21" s="24"/>
      <c r="R21" s="24"/>
      <c r="S21" s="26"/>
      <c r="T21" s="26"/>
    </row>
    <row r="22" spans="1:20" x14ac:dyDescent="0.25">
      <c r="A22"/>
      <c r="B22" s="10" t="s">
        <v>14</v>
      </c>
      <c r="C22" s="16">
        <v>3</v>
      </c>
      <c r="D22" s="25">
        <v>14</v>
      </c>
      <c r="E22" s="24">
        <v>99</v>
      </c>
      <c r="F22" s="24">
        <v>103</v>
      </c>
      <c r="G22" s="24">
        <v>103</v>
      </c>
      <c r="H22" s="24">
        <v>110</v>
      </c>
      <c r="I22" s="24">
        <v>110</v>
      </c>
      <c r="J22" s="24">
        <v>106</v>
      </c>
      <c r="K22" s="24">
        <v>109</v>
      </c>
      <c r="L22" s="24">
        <v>110</v>
      </c>
      <c r="M22" s="24">
        <v>111</v>
      </c>
      <c r="N22" s="24">
        <v>104</v>
      </c>
      <c r="O22" s="24">
        <v>107</v>
      </c>
      <c r="P22" s="24">
        <v>110</v>
      </c>
      <c r="Q22" s="24">
        <v>107</v>
      </c>
      <c r="R22" s="24">
        <v>108</v>
      </c>
      <c r="S22" s="26">
        <f>AVERAGE(E22:R22)</f>
        <v>106.92857142857143</v>
      </c>
      <c r="T22" s="27">
        <f>SQRT((1/D22^2)*SUMSQ(E23:N23))</f>
        <v>0.26427606159978595</v>
      </c>
    </row>
    <row r="23" spans="1:20" x14ac:dyDescent="0.25">
      <c r="A23"/>
      <c r="B23" s="93" t="s">
        <v>15</v>
      </c>
      <c r="C23" s="93"/>
      <c r="D23" s="25"/>
      <c r="E23" s="24">
        <f t="shared" ref="E23:R23" si="5">1 + 0.17</f>
        <v>1.17</v>
      </c>
      <c r="F23" s="24">
        <f t="shared" si="5"/>
        <v>1.17</v>
      </c>
      <c r="G23" s="24">
        <f t="shared" si="5"/>
        <v>1.17</v>
      </c>
      <c r="H23" s="24">
        <f t="shared" si="5"/>
        <v>1.17</v>
      </c>
      <c r="I23" s="24">
        <f t="shared" si="5"/>
        <v>1.17</v>
      </c>
      <c r="J23" s="24">
        <f t="shared" si="5"/>
        <v>1.17</v>
      </c>
      <c r="K23" s="24">
        <f t="shared" si="5"/>
        <v>1.17</v>
      </c>
      <c r="L23" s="24">
        <f t="shared" si="5"/>
        <v>1.17</v>
      </c>
      <c r="M23" s="24">
        <f t="shared" si="5"/>
        <v>1.17</v>
      </c>
      <c r="N23" s="24">
        <f t="shared" si="5"/>
        <v>1.17</v>
      </c>
      <c r="O23" s="24">
        <f t="shared" si="5"/>
        <v>1.17</v>
      </c>
      <c r="P23" s="24">
        <f t="shared" si="5"/>
        <v>1.17</v>
      </c>
      <c r="Q23" s="24">
        <f t="shared" si="5"/>
        <v>1.17</v>
      </c>
      <c r="R23" s="24">
        <f t="shared" si="5"/>
        <v>1.17</v>
      </c>
      <c r="S23" s="26"/>
      <c r="T23" s="27"/>
    </row>
    <row r="24" spans="1:20" x14ac:dyDescent="0.25">
      <c r="A24"/>
      <c r="B24" s="10" t="s">
        <v>14</v>
      </c>
      <c r="C24" s="16">
        <v>4</v>
      </c>
      <c r="D24" s="25">
        <v>13</v>
      </c>
      <c r="E24" s="24">
        <v>83</v>
      </c>
      <c r="F24" s="24">
        <v>81</v>
      </c>
      <c r="G24" s="24">
        <v>82</v>
      </c>
      <c r="H24" s="24">
        <v>81</v>
      </c>
      <c r="I24" s="24">
        <v>83</v>
      </c>
      <c r="J24" s="24">
        <v>80</v>
      </c>
      <c r="K24" s="24">
        <v>80</v>
      </c>
      <c r="L24" s="24">
        <v>90</v>
      </c>
      <c r="M24" s="24">
        <v>84</v>
      </c>
      <c r="N24" s="24">
        <v>84</v>
      </c>
      <c r="O24" s="24">
        <v>89</v>
      </c>
      <c r="P24" s="24">
        <v>86</v>
      </c>
      <c r="Q24" s="24">
        <v>88</v>
      </c>
      <c r="R24" s="24"/>
      <c r="S24" s="26">
        <f>AVERAGE(E24:R24)</f>
        <v>83.92307692307692</v>
      </c>
      <c r="T24" s="27">
        <f>SQRT((1/D24^2)*SUMSQ(E25:N25))</f>
        <v>0.28460498941515411</v>
      </c>
    </row>
    <row r="25" spans="1:20" x14ac:dyDescent="0.25">
      <c r="A25"/>
      <c r="B25" s="93" t="s">
        <v>15</v>
      </c>
      <c r="C25" s="93"/>
      <c r="D25" s="25"/>
      <c r="E25" s="24">
        <f t="shared" ref="E25:Q25" si="6">1 + 0.17</f>
        <v>1.17</v>
      </c>
      <c r="F25" s="24">
        <f t="shared" si="6"/>
        <v>1.17</v>
      </c>
      <c r="G25" s="24">
        <f t="shared" si="6"/>
        <v>1.17</v>
      </c>
      <c r="H25" s="24">
        <f t="shared" si="6"/>
        <v>1.17</v>
      </c>
      <c r="I25" s="24">
        <f t="shared" si="6"/>
        <v>1.17</v>
      </c>
      <c r="J25" s="24">
        <f t="shared" si="6"/>
        <v>1.17</v>
      </c>
      <c r="K25" s="24">
        <f t="shared" si="6"/>
        <v>1.17</v>
      </c>
      <c r="L25" s="24">
        <f t="shared" si="6"/>
        <v>1.17</v>
      </c>
      <c r="M25" s="24">
        <f t="shared" si="6"/>
        <v>1.17</v>
      </c>
      <c r="N25" s="24">
        <f t="shared" si="6"/>
        <v>1.17</v>
      </c>
      <c r="O25" s="24">
        <f t="shared" si="6"/>
        <v>1.17</v>
      </c>
      <c r="P25" s="24">
        <f t="shared" si="6"/>
        <v>1.17</v>
      </c>
      <c r="Q25" s="24">
        <f t="shared" si="6"/>
        <v>1.17</v>
      </c>
      <c r="R25" s="24"/>
      <c r="S25" s="26"/>
      <c r="T25" s="26"/>
    </row>
    <row r="26" spans="1:20" x14ac:dyDescent="0.25">
      <c r="A26"/>
      <c r="B26" s="10" t="s">
        <v>14</v>
      </c>
      <c r="C26" s="16">
        <v>5</v>
      </c>
      <c r="D26" s="25">
        <v>6</v>
      </c>
      <c r="E26" s="24">
        <v>72</v>
      </c>
      <c r="F26" s="24">
        <v>69</v>
      </c>
      <c r="G26" s="24">
        <v>68</v>
      </c>
      <c r="H26" s="24">
        <v>69</v>
      </c>
      <c r="I26" s="24">
        <v>70</v>
      </c>
      <c r="J26" s="24">
        <v>71</v>
      </c>
      <c r="K26" s="24"/>
      <c r="L26" s="24"/>
      <c r="M26" s="24"/>
      <c r="N26" s="24"/>
      <c r="O26" s="24"/>
      <c r="P26" s="24"/>
      <c r="Q26" s="24"/>
      <c r="R26" s="24"/>
      <c r="S26" s="26">
        <f>AVERAGE(E26:R26)</f>
        <v>69.833333333333329</v>
      </c>
      <c r="T26" s="26">
        <f>SQRT((1/D26^2)*SUMSQ(E27:N27))</f>
        <v>0.8858987903065827</v>
      </c>
    </row>
    <row r="27" spans="1:20" x14ac:dyDescent="0.25">
      <c r="A27"/>
      <c r="B27" s="93" t="s">
        <v>15</v>
      </c>
      <c r="C27" s="93"/>
      <c r="D27" s="19"/>
      <c r="E27" s="24">
        <f t="shared" ref="E27:J27" si="7">2 + 0.17</f>
        <v>2.17</v>
      </c>
      <c r="F27" s="24">
        <f t="shared" si="7"/>
        <v>2.17</v>
      </c>
      <c r="G27" s="24">
        <f t="shared" si="7"/>
        <v>2.17</v>
      </c>
      <c r="H27" s="24">
        <f t="shared" si="7"/>
        <v>2.17</v>
      </c>
      <c r="I27" s="24">
        <f t="shared" si="7"/>
        <v>2.17</v>
      </c>
      <c r="J27" s="24">
        <f t="shared" si="7"/>
        <v>2.17</v>
      </c>
      <c r="K27" s="24"/>
      <c r="L27" s="24"/>
      <c r="M27" s="24"/>
      <c r="N27" s="24"/>
      <c r="O27" s="24"/>
      <c r="P27" s="24"/>
      <c r="Q27" s="24"/>
      <c r="R27" s="24"/>
      <c r="S27" s="21"/>
      <c r="T27" s="21"/>
    </row>
    <row r="28" spans="1:20" x14ac:dyDescent="0.25">
      <c r="A28"/>
      <c r="B28"/>
      <c r="C28"/>
      <c r="D28"/>
      <c r="E28"/>
      <c r="F28"/>
      <c r="G28"/>
      <c r="H28"/>
      <c r="I28"/>
      <c r="J28"/>
      <c r="K28"/>
      <c r="L28"/>
      <c r="M28"/>
      <c r="N28"/>
      <c r="O28"/>
      <c r="P28"/>
      <c r="Q28"/>
      <c r="R28"/>
      <c r="S28"/>
    </row>
    <row r="29" spans="1:20" x14ac:dyDescent="0.25">
      <c r="A29"/>
      <c r="B29"/>
      <c r="C29"/>
      <c r="D29"/>
      <c r="E29"/>
      <c r="F29"/>
      <c r="G29"/>
      <c r="H29"/>
      <c r="I29"/>
      <c r="J29"/>
      <c r="K29"/>
      <c r="L29"/>
      <c r="O29"/>
      <c r="P29"/>
      <c r="Q29"/>
      <c r="R29"/>
      <c r="S29"/>
    </row>
    <row r="30" spans="1:20" x14ac:dyDescent="0.25">
      <c r="A30"/>
      <c r="B30"/>
      <c r="C30"/>
      <c r="D30"/>
      <c r="E30"/>
      <c r="F30"/>
      <c r="G30"/>
      <c r="H30"/>
      <c r="I30"/>
      <c r="J30"/>
      <c r="K30"/>
      <c r="L30"/>
      <c r="O30"/>
      <c r="P30"/>
      <c r="Q30"/>
      <c r="R30"/>
      <c r="S30"/>
    </row>
    <row r="31" spans="1:20" ht="12.75" customHeight="1" x14ac:dyDescent="0.25">
      <c r="A31" s="9"/>
      <c r="B31" s="10"/>
      <c r="C31" s="95" t="s">
        <v>17</v>
      </c>
      <c r="D31" s="95"/>
      <c r="E31" s="29"/>
      <c r="F31" s="29"/>
      <c r="G31" s="29"/>
      <c r="H31" s="9"/>
      <c r="I31" s="95" t="s">
        <v>18</v>
      </c>
      <c r="J31" s="95"/>
      <c r="K31" s="29"/>
      <c r="L31" s="29"/>
      <c r="M31" s="29"/>
      <c r="N31"/>
      <c r="O31" s="96" t="s">
        <v>19</v>
      </c>
      <c r="P31" s="96"/>
      <c r="Q31" s="96"/>
      <c r="R31" s="96"/>
      <c r="S31" s="96"/>
    </row>
    <row r="32" spans="1:20" x14ac:dyDescent="0.25">
      <c r="A32" s="9"/>
      <c r="B32" s="15" t="s">
        <v>12</v>
      </c>
      <c r="C32" s="28" t="s">
        <v>20</v>
      </c>
      <c r="D32" s="28" t="s">
        <v>11</v>
      </c>
      <c r="E32" s="28" t="s">
        <v>21</v>
      </c>
      <c r="F32" s="28" t="s">
        <v>22</v>
      </c>
      <c r="G32" s="28" t="s">
        <v>11</v>
      </c>
      <c r="H32" s="15" t="s">
        <v>12</v>
      </c>
      <c r="I32" s="28" t="s">
        <v>20</v>
      </c>
      <c r="J32" s="28" t="s">
        <v>11</v>
      </c>
      <c r="K32" s="28" t="s">
        <v>21</v>
      </c>
      <c r="L32" s="28" t="s">
        <v>22</v>
      </c>
      <c r="M32" s="28" t="s">
        <v>11</v>
      </c>
      <c r="N32"/>
      <c r="O32" s="96"/>
      <c r="P32" s="96"/>
      <c r="Q32" s="96"/>
      <c r="R32" s="96"/>
      <c r="S32" s="96"/>
    </row>
    <row r="33" spans="1:19" x14ac:dyDescent="0.25">
      <c r="A33" s="9"/>
      <c r="B33" s="16">
        <v>1</v>
      </c>
      <c r="C33" s="30">
        <v>200</v>
      </c>
      <c r="D33" s="30">
        <v>3</v>
      </c>
      <c r="E33" s="31">
        <f t="shared" ref="E33:E38" si="8">LN(C33/200)</f>
        <v>0</v>
      </c>
      <c r="F33" s="32">
        <f>SQRT(C34/C33)</f>
        <v>0.90498618773990136</v>
      </c>
      <c r="G33" s="32">
        <f>SQRT(((C33^-0.5 * C34^-0.5) / 2)^2 *D34^2 + ((C34^0.5 * C33^-1.5) / 2)^2 *D33^2)</f>
        <v>1.0745348294603984E-2</v>
      </c>
      <c r="H33" s="16">
        <v>1</v>
      </c>
      <c r="I33" s="30">
        <v>200</v>
      </c>
      <c r="J33" s="30">
        <v>3</v>
      </c>
      <c r="K33" s="31">
        <f t="shared" ref="K33:K38" si="9">LN(I33/200)</f>
        <v>0</v>
      </c>
      <c r="L33" s="32">
        <f>SQRT(I34/I33)</f>
        <v>0.88223201785773642</v>
      </c>
      <c r="M33" s="32">
        <f>SQRT(((I33^-0.5 * I34^-0.5) / 2)^2 *J34^2 + ((I34^0.5 * I33^-1.5) / 2)^2 *J33^2)</f>
        <v>7.1000415039062575E-3</v>
      </c>
      <c r="N33"/>
      <c r="O33" s="96"/>
      <c r="P33" s="96"/>
      <c r="Q33" s="96"/>
      <c r="R33" s="96"/>
      <c r="S33" s="96"/>
    </row>
    <row r="34" spans="1:19" x14ac:dyDescent="0.25">
      <c r="A34" s="9"/>
      <c r="B34" s="16">
        <v>2</v>
      </c>
      <c r="C34" s="33">
        <f>AVERAGE(E5:N5)</f>
        <v>163.80000000000001</v>
      </c>
      <c r="D34" s="33">
        <f>SQRT((1/D5^2)*SUMSQ(E6:N6))+ABS('Parallax Error'!I17)</f>
        <v>3.0155195749284345</v>
      </c>
      <c r="E34" s="31">
        <f t="shared" si="8"/>
        <v>-0.19967119512906756</v>
      </c>
      <c r="F34" s="32">
        <f>SQRT(C35/C34)</f>
        <v>0.89837731888210925</v>
      </c>
      <c r="G34" s="32">
        <f>SQRT(((C34^-0.5 * C35^-0.5) / 2)^2 *D35^2 + ((C35^0.5 * C34^-1.5) / 2)^2 *D34^2)</f>
        <v>1.0611874194822804E-2</v>
      </c>
      <c r="H34" s="16">
        <v>2</v>
      </c>
      <c r="I34" s="33">
        <f>AVERAGE(E18:N18)</f>
        <v>155.66666666666666</v>
      </c>
      <c r="J34" s="33">
        <f>SQRT((1/D18^2)*SUMSQ(E19:N19))+ABS('Parallax Error'!J5)</f>
        <v>0.90861087818102682</v>
      </c>
      <c r="K34" s="31">
        <f t="shared" si="9"/>
        <v>-0.25060039754724905</v>
      </c>
      <c r="L34" s="32">
        <f>SQRT(I35/I34)</f>
        <v>0.9173558501959046</v>
      </c>
      <c r="M34" s="32">
        <f>SQRT(((I34^-0.5 * I35^-0.5) / 2)^2 *J35^2 + ((I35^0.5 * I34^-1.5) / 2)^2 *J34^2)</f>
        <v>9.3372225378766799E-3</v>
      </c>
      <c r="N34"/>
      <c r="O34" s="96"/>
      <c r="P34" s="96"/>
      <c r="Q34" s="96"/>
      <c r="R34" s="96"/>
      <c r="S34" s="96"/>
    </row>
    <row r="35" spans="1:19" x14ac:dyDescent="0.25">
      <c r="A35" s="9"/>
      <c r="B35" s="16">
        <v>3</v>
      </c>
      <c r="C35" s="33">
        <f>AVERAGE(E7:N7)</f>
        <v>132.19999999999999</v>
      </c>
      <c r="D35" s="33">
        <f>SQRT((1/D9^2)*SUMSQ(E10:N10))+ABS('Parallax Error'!I18)</f>
        <v>1.9572713179231553</v>
      </c>
      <c r="E35" s="31">
        <f t="shared" si="8"/>
        <v>-0.4140014391304509</v>
      </c>
      <c r="F35" s="32">
        <f>SQRT(C36/C35)</f>
        <v>0.89167909700499115</v>
      </c>
      <c r="G35" s="32">
        <f>SQRT(((C35^-0.5 * C36^-0.5) / 2)^2 *D36^2 + ((C36^0.5 * C35^-1.5) / 2)^2 *D35^2)</f>
        <v>1.2498268901032759E-2</v>
      </c>
      <c r="H35" s="16">
        <v>3</v>
      </c>
      <c r="I35" s="33">
        <f>AVERAGE(E20:N20)</f>
        <v>131</v>
      </c>
      <c r="J35" s="34">
        <f>SQRT((1/D22^2)*SUMSQ(E23:N23))+ABS('Parallax Error'!J6)</f>
        <v>2.5547706665246674</v>
      </c>
      <c r="K35" s="31">
        <f t="shared" si="9"/>
        <v>-0.42312004334688508</v>
      </c>
      <c r="L35" s="32">
        <f>SQRT(I36/I35)</f>
        <v>0.90165242706745996</v>
      </c>
      <c r="M35" s="32">
        <f>SQRT(((I35^-0.5 * I36^-0.5) / 2)^2 *J36^2 + ((I36^0.5 * I35^-1.5) / 2)^2 *J35^2)</f>
        <v>1.3512110187107219E-2</v>
      </c>
      <c r="N35"/>
      <c r="O35" s="96"/>
      <c r="P35" s="96"/>
      <c r="Q35" s="96"/>
      <c r="R35" s="96"/>
      <c r="S35" s="96"/>
    </row>
    <row r="36" spans="1:19" x14ac:dyDescent="0.25">
      <c r="A36" s="9"/>
      <c r="B36" s="16">
        <v>4</v>
      </c>
      <c r="C36" s="33">
        <f>AVERAGE(E9:N9)</f>
        <v>105.11111111111111</v>
      </c>
      <c r="D36" s="33">
        <f>SQRT((1/D7^2)*SUMSQ(E8:N8))+ABS('Parallax Error'!I19)</f>
        <v>2.5021212308457343</v>
      </c>
      <c r="E36" s="31">
        <f t="shared" si="8"/>
        <v>-0.64329937483237776</v>
      </c>
      <c r="F36" s="32">
        <f>SQRT(C37/C36)</f>
        <v>0.87309139470591146</v>
      </c>
      <c r="G36" s="32">
        <f>SQRT(((C36^-0.5 * C37^-0.5) / 2)^2 *D37^2 + ((C37^0.5 * C36^-1.5) / 2)^2 *D36^2)</f>
        <v>3.2837267609883793E-2</v>
      </c>
      <c r="H36" s="16">
        <v>4</v>
      </c>
      <c r="I36" s="33">
        <f>AVERAGE(E22:N22)</f>
        <v>106.5</v>
      </c>
      <c r="J36" s="33">
        <f>SQRT((1/D20^2)*SUMSQ(E21:N21))+ABS('Parallax Error'!J7)</f>
        <v>2.4238593778082054</v>
      </c>
      <c r="K36" s="31">
        <f t="shared" si="9"/>
        <v>-0.63017238139855691</v>
      </c>
      <c r="L36" s="32">
        <f>SQRT(I37/I36)</f>
        <v>0.88173963772328756</v>
      </c>
      <c r="M36" s="32">
        <f>SQRT(((I36^-0.5 * I37^-0.5) / 2)^2 *J37^2 + ((I37^0.5 * I36^-1.5) / 2)^2 *J36^2)</f>
        <v>3.6807754310066415E-2</v>
      </c>
      <c r="N36"/>
      <c r="O36" s="96"/>
      <c r="P36" s="96"/>
      <c r="Q36" s="96"/>
      <c r="R36" s="96"/>
      <c r="S36" s="96"/>
    </row>
    <row r="37" spans="1:19" x14ac:dyDescent="0.25">
      <c r="A37" s="9"/>
      <c r="B37" s="16">
        <v>5</v>
      </c>
      <c r="C37" s="33">
        <f>AVERAGE(E11:N11)</f>
        <v>80.125</v>
      </c>
      <c r="D37" s="33">
        <f>SQRT((1/D11^2)*SUMSQ(E12:N12))+ABS('Parallax Error'!I20)</f>
        <v>5.7172968676689138</v>
      </c>
      <c r="E37" s="31">
        <f t="shared" si="8"/>
        <v>-0.91472945130720251</v>
      </c>
      <c r="F37" s="32">
        <f>SQRT(C38/C37)</f>
        <v>0.88671948825884861</v>
      </c>
      <c r="G37" s="32">
        <f>SQRT(((C37^-0.5 * C38^-0.5) / 2)^2 *D38^2 + ((C38^0.5 * C37^-1.5) / 2)^2 *D37^2)</f>
        <v>7.1553371006331939E-2</v>
      </c>
      <c r="H37" s="16">
        <v>5</v>
      </c>
      <c r="I37" s="33">
        <f>AVERAGE(E24:N24)</f>
        <v>82.8</v>
      </c>
      <c r="J37" s="34">
        <f>SQRT((1/D24^2)*SUMSQ(E25:N25))+ABS('Parallax Error'!J8)</f>
        <v>6.6510720976761064</v>
      </c>
      <c r="K37" s="31">
        <f t="shared" si="9"/>
        <v>-0.88188930515682273</v>
      </c>
      <c r="L37" s="32">
        <f>SQRT(I38/I37)</f>
        <v>0.9183668905027329</v>
      </c>
      <c r="M37" s="32">
        <f>SQRT(((I37^-0.5 * I38^-0.5) / 2)^2 *J38^2 + ((I38^0.5 * I37^-1.5) / 2)^2 *J37^2)</f>
        <v>4.5933174592023764E-2</v>
      </c>
      <c r="N37"/>
      <c r="O37" s="96"/>
      <c r="P37" s="96"/>
      <c r="Q37" s="96"/>
      <c r="R37" s="96"/>
      <c r="S37" s="96"/>
    </row>
    <row r="38" spans="1:19" x14ac:dyDescent="0.25">
      <c r="A38" s="9"/>
      <c r="B38" s="16">
        <v>6</v>
      </c>
      <c r="C38" s="33">
        <f>AVERAGE(E13:N13)</f>
        <v>63</v>
      </c>
      <c r="D38" s="33">
        <f>SQRT((1/D13^2)*SUMSQ(E14:N14))+ABS('Parallax Error'!I21)</f>
        <v>9.1197592419130302</v>
      </c>
      <c r="E38" s="31">
        <f t="shared" si="8"/>
        <v>-1.155182640156504</v>
      </c>
      <c r="F38" s="35">
        <f>AVERAGE(F33:F37)</f>
        <v>0.89097069731835232</v>
      </c>
      <c r="G38" s="35">
        <f>SQRT((1/5^2)*(SUMSQ(G33:G37)))</f>
        <v>1.6226462529922565E-2</v>
      </c>
      <c r="H38" s="16">
        <v>6</v>
      </c>
      <c r="I38" s="33">
        <f>AVERAGE(E26:N26)</f>
        <v>69.833333333333329</v>
      </c>
      <c r="J38" s="33">
        <f>SQRT((1/D26^2)*SUMSQ(E27:N27))+ABS('Parallax Error'!J9)</f>
        <v>4.1631680543286578</v>
      </c>
      <c r="K38" s="31">
        <f t="shared" si="9"/>
        <v>-1.0522059158539541</v>
      </c>
      <c r="L38" s="35">
        <f>AVERAGE(L33:L37)</f>
        <v>0.90026936466942442</v>
      </c>
      <c r="M38" s="35">
        <f>SQRT((1/5^2)*(SUMSQ(M33:M37)))</f>
        <v>1.2304208615330122E-2</v>
      </c>
      <c r="N38"/>
      <c r="O38" s="96"/>
      <c r="P38" s="96"/>
      <c r="Q38" s="96"/>
      <c r="R38" s="96"/>
      <c r="S38" s="96"/>
    </row>
    <row r="39" spans="1:19" x14ac:dyDescent="0.25">
      <c r="A39" s="9"/>
      <c r="B39"/>
      <c r="C39" s="29"/>
      <c r="D39" s="29"/>
      <c r="E39" s="29"/>
      <c r="F39" s="29"/>
      <c r="G39" s="29"/>
      <c r="H39"/>
      <c r="I39" s="29"/>
      <c r="J39" s="29"/>
      <c r="K39" s="29"/>
      <c r="L39" s="29"/>
      <c r="M39" s="29"/>
      <c r="N39"/>
      <c r="O39" s="96"/>
      <c r="P39" s="96"/>
      <c r="Q39" s="96"/>
      <c r="R39" s="96"/>
      <c r="S39" s="96"/>
    </row>
    <row r="40" spans="1:19" x14ac:dyDescent="0.25">
      <c r="A40"/>
      <c r="B40"/>
      <c r="C40" s="29"/>
      <c r="D40" s="29"/>
      <c r="E40" s="30"/>
      <c r="F40" s="30"/>
      <c r="G40" s="31"/>
      <c r="H40"/>
      <c r="I40" s="29"/>
      <c r="J40" s="29"/>
      <c r="K40" s="30"/>
      <c r="L40" s="30"/>
      <c r="M40" s="31"/>
      <c r="N40"/>
      <c r="O40" s="96"/>
      <c r="P40" s="96"/>
      <c r="Q40" s="96"/>
      <c r="R40" s="96"/>
      <c r="S40" s="96"/>
    </row>
    <row r="41" spans="1:19" x14ac:dyDescent="0.25">
      <c r="A41"/>
      <c r="B41"/>
      <c r="C41" s="28" t="s">
        <v>23</v>
      </c>
      <c r="D41" s="28" t="s">
        <v>24</v>
      </c>
      <c r="E41" s="30"/>
      <c r="F41" s="30"/>
      <c r="G41" s="31"/>
      <c r="H41"/>
      <c r="I41" s="28" t="s">
        <v>23</v>
      </c>
      <c r="J41" s="28" t="s">
        <v>24</v>
      </c>
      <c r="K41" s="30"/>
      <c r="L41" s="30"/>
      <c r="M41" s="31"/>
      <c r="N41"/>
      <c r="O41" s="96"/>
      <c r="P41" s="96"/>
      <c r="Q41" s="96"/>
      <c r="R41" s="96"/>
      <c r="S41" s="96"/>
    </row>
    <row r="42" spans="1:19" x14ac:dyDescent="0.25">
      <c r="A42"/>
      <c r="B42"/>
      <c r="C42" s="32">
        <f>EXP(C44/2)</f>
        <v>0.89008876581601815</v>
      </c>
      <c r="D42" s="32">
        <f>C42/2 *C45</f>
        <v>2.7128809158567264E-3</v>
      </c>
      <c r="E42" s="30"/>
      <c r="F42" s="30"/>
      <c r="G42" s="31"/>
      <c r="H42"/>
      <c r="I42" s="32">
        <f>EXP(I44/2)</f>
        <v>0.90017085493408144</v>
      </c>
      <c r="J42" s="32">
        <f>I42/2 *I45</f>
        <v>2.4800722764269359E-3</v>
      </c>
      <c r="K42" s="30"/>
      <c r="L42" s="30"/>
      <c r="M42" s="31"/>
      <c r="N42"/>
      <c r="O42" s="96"/>
      <c r="P42" s="96"/>
      <c r="Q42" s="96"/>
      <c r="R42" s="96"/>
      <c r="S42" s="96"/>
    </row>
    <row r="43" spans="1:19" x14ac:dyDescent="0.25">
      <c r="A43"/>
      <c r="B43" s="9"/>
      <c r="C43" s="36" t="s">
        <v>25</v>
      </c>
      <c r="D43" s="36" t="s">
        <v>26</v>
      </c>
      <c r="E43" s="31"/>
      <c r="F43" s="33"/>
      <c r="G43" s="30"/>
      <c r="H43" s="9"/>
      <c r="I43" s="36" t="s">
        <v>25</v>
      </c>
      <c r="J43" s="36" t="s">
        <v>26</v>
      </c>
      <c r="K43" s="31"/>
      <c r="L43" s="33"/>
      <c r="M43" s="30"/>
      <c r="N43"/>
      <c r="O43" s="96"/>
      <c r="P43" s="96"/>
      <c r="Q43" s="96"/>
      <c r="R43" s="96"/>
      <c r="S43" s="96"/>
    </row>
    <row r="44" spans="1:19" x14ac:dyDescent="0.25">
      <c r="A44"/>
      <c r="B44" s="9" t="s">
        <v>27</v>
      </c>
      <c r="C44" s="32">
        <f t="array" ref="C44:D45">LINEST(E33:E38,B33:B38,1,1)</f>
        <v>-0.23286816871482435</v>
      </c>
      <c r="D44" s="31">
        <v>0.26055790707595139</v>
      </c>
      <c r="E44" s="30"/>
      <c r="F44" s="30"/>
      <c r="G44" s="30"/>
      <c r="H44" s="9" t="s">
        <v>27</v>
      </c>
      <c r="I44" s="32">
        <f t="array" ref="I44:J45">LINEST(K33:K38,B33:B38,1,1)</f>
        <v>-0.21034138971857616</v>
      </c>
      <c r="J44" s="31">
        <v>0.19653019013110518</v>
      </c>
      <c r="K44" s="30"/>
      <c r="L44" s="30"/>
      <c r="M44" s="30"/>
      <c r="N44"/>
    </row>
    <row r="45" spans="1:19" x14ac:dyDescent="0.25">
      <c r="A45"/>
      <c r="B45" s="9" t="s">
        <v>11</v>
      </c>
      <c r="C45" s="32">
        <v>6.0957536372669612E-3</v>
      </c>
      <c r="D45" s="31">
        <v>2.3739549732352615E-2</v>
      </c>
      <c r="E45" s="28"/>
      <c r="F45" s="28"/>
      <c r="G45" s="28"/>
      <c r="H45" s="9" t="s">
        <v>11</v>
      </c>
      <c r="I45" s="32">
        <v>5.5102256706779269E-3</v>
      </c>
      <c r="J45" s="31">
        <v>2.1459245916013371E-2</v>
      </c>
      <c r="K45" s="28"/>
      <c r="L45" s="28"/>
      <c r="M45" s="28"/>
      <c r="N45"/>
    </row>
    <row r="46" spans="1:19" x14ac:dyDescent="0.25">
      <c r="A46"/>
      <c r="B46"/>
      <c r="C46"/>
      <c r="D46"/>
      <c r="E46"/>
      <c r="F46"/>
      <c r="G46"/>
      <c r="H46"/>
      <c r="I46"/>
      <c r="J46"/>
      <c r="K46"/>
      <c r="L46"/>
    </row>
    <row r="47" spans="1:19" x14ac:dyDescent="0.25">
      <c r="A47"/>
      <c r="B47"/>
      <c r="C47"/>
      <c r="D47"/>
      <c r="E47"/>
      <c r="F47"/>
      <c r="G47"/>
      <c r="H47"/>
      <c r="I47"/>
      <c r="J47"/>
      <c r="K47"/>
      <c r="L47"/>
    </row>
    <row r="48" spans="1:19"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sheetData>
  <sheetProtection selectLockedCells="1" selectUnlockedCells="1"/>
  <mergeCells count="15">
    <mergeCell ref="C31:D31"/>
    <mergeCell ref="I31:J31"/>
    <mergeCell ref="O31:S43"/>
    <mergeCell ref="E16:F16"/>
    <mergeCell ref="B19:C19"/>
    <mergeCell ref="B21:C21"/>
    <mergeCell ref="B23:C23"/>
    <mergeCell ref="B25:C25"/>
    <mergeCell ref="B27:C27"/>
    <mergeCell ref="B14:C14"/>
    <mergeCell ref="E3:F3"/>
    <mergeCell ref="B6:C6"/>
    <mergeCell ref="B8:C8"/>
    <mergeCell ref="B10:C10"/>
    <mergeCell ref="B12:C12"/>
  </mergeCells>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zoomScale="90" zoomScaleNormal="90" workbookViewId="0">
      <selection activeCell="G26" sqref="G26"/>
    </sheetView>
  </sheetViews>
  <sheetFormatPr defaultColWidth="11.5703125" defaultRowHeight="12.75" x14ac:dyDescent="0.2"/>
  <cols>
    <col min="1" max="16384" width="11.5703125" style="9"/>
  </cols>
  <sheetData>
    <row r="1" spans="1:18" ht="15" x14ac:dyDescent="0.25">
      <c r="A1" s="8" t="s">
        <v>28</v>
      </c>
      <c r="B1" s="37">
        <v>10</v>
      </c>
      <c r="C1" s="8"/>
      <c r="D1" s="8"/>
      <c r="E1" s="8"/>
      <c r="F1" s="8">
        <v>102140</v>
      </c>
      <c r="G1" s="8"/>
      <c r="H1" s="8"/>
      <c r="I1" s="10" t="s">
        <v>29</v>
      </c>
      <c r="J1" s="10" t="s">
        <v>30</v>
      </c>
      <c r="K1" s="10">
        <v>102110</v>
      </c>
      <c r="L1" s="10">
        <v>102126</v>
      </c>
      <c r="M1" s="99" t="s">
        <v>31</v>
      </c>
      <c r="N1" s="99"/>
      <c r="O1" s="100" t="s">
        <v>32</v>
      </c>
      <c r="P1" s="100"/>
      <c r="Q1" s="101" t="s">
        <v>14</v>
      </c>
      <c r="R1" s="101"/>
    </row>
    <row r="2" spans="1:18" x14ac:dyDescent="0.2">
      <c r="A2" s="10"/>
      <c r="B2" s="15" t="s">
        <v>12</v>
      </c>
      <c r="C2" s="10" t="s">
        <v>33</v>
      </c>
      <c r="D2" s="10" t="s">
        <v>34</v>
      </c>
      <c r="E2" s="10" t="s">
        <v>35</v>
      </c>
      <c r="F2" s="10" t="s">
        <v>36</v>
      </c>
      <c r="G2" s="10" t="s">
        <v>37</v>
      </c>
      <c r="H2" s="10" t="s">
        <v>38</v>
      </c>
      <c r="I2" s="10" t="s">
        <v>39</v>
      </c>
      <c r="J2" s="10" t="s">
        <v>40</v>
      </c>
      <c r="K2" s="10" t="s">
        <v>41</v>
      </c>
      <c r="L2" s="10" t="s">
        <v>42</v>
      </c>
      <c r="M2" s="38" t="s">
        <v>20</v>
      </c>
      <c r="N2" s="38" t="s">
        <v>43</v>
      </c>
      <c r="O2" s="39" t="s">
        <v>20</v>
      </c>
      <c r="P2" s="39" t="s">
        <v>43</v>
      </c>
      <c r="Q2" s="38" t="s">
        <v>20</v>
      </c>
      <c r="R2" s="38" t="s">
        <v>43</v>
      </c>
    </row>
    <row r="3" spans="1:18" x14ac:dyDescent="0.2">
      <c r="A3" s="10" t="s">
        <v>44</v>
      </c>
      <c r="B3" s="16">
        <v>1</v>
      </c>
      <c r="C3" s="30">
        <v>0.56600000000000006</v>
      </c>
      <c r="D3" s="40">
        <v>0.52900000000000003</v>
      </c>
      <c r="E3" s="30">
        <v>0.59099999999999997</v>
      </c>
      <c r="F3" s="40">
        <v>0.60399999999999998</v>
      </c>
      <c r="G3" s="30">
        <v>0.56900000000000006</v>
      </c>
      <c r="H3" s="40">
        <v>0.57699999999999996</v>
      </c>
      <c r="I3" s="32">
        <v>0.49</v>
      </c>
      <c r="J3" s="40">
        <v>0.47200000000000003</v>
      </c>
      <c r="K3" s="30">
        <v>0.44</v>
      </c>
      <c r="L3" s="40">
        <v>0.61</v>
      </c>
      <c r="M3" s="41">
        <f>AVERAGE(C3:L3)</f>
        <v>0.54480000000000017</v>
      </c>
      <c r="N3" s="42">
        <f>SQRT((1/$B$1^2)*(SUMSQ(C4:H4)))</f>
        <v>7.3484692283495346E-4</v>
      </c>
      <c r="O3" s="43">
        <f>M3</f>
        <v>0.54480000000000017</v>
      </c>
      <c r="P3" s="44">
        <f>N3</f>
        <v>7.3484692283495346E-4</v>
      </c>
      <c r="Q3" s="45"/>
      <c r="R3" s="45"/>
    </row>
    <row r="4" spans="1:18" x14ac:dyDescent="0.2">
      <c r="A4" s="10" t="s">
        <v>45</v>
      </c>
      <c r="B4" s="16"/>
      <c r="C4" s="30">
        <v>3.0000000000000001E-3</v>
      </c>
      <c r="D4" s="40">
        <v>3.0000000000000001E-3</v>
      </c>
      <c r="E4" s="30">
        <v>3.0000000000000001E-3</v>
      </c>
      <c r="F4" s="40">
        <v>3.0000000000000001E-3</v>
      </c>
      <c r="G4" s="30">
        <v>3.0000000000000001E-3</v>
      </c>
      <c r="H4" s="40">
        <v>3.0000000000000001E-3</v>
      </c>
      <c r="I4" s="30">
        <v>3.0000000000000001E-3</v>
      </c>
      <c r="J4" s="40">
        <v>3.0000000000000001E-3</v>
      </c>
      <c r="K4" s="30">
        <v>3.0000000000000001E-3</v>
      </c>
      <c r="L4" s="40">
        <v>3.0000000000000001E-3</v>
      </c>
      <c r="M4" s="46"/>
      <c r="N4" s="46"/>
      <c r="O4" s="43"/>
      <c r="P4" s="47"/>
      <c r="Q4" s="45"/>
      <c r="R4" s="45"/>
    </row>
    <row r="5" spans="1:18" x14ac:dyDescent="0.2">
      <c r="A5" s="10" t="s">
        <v>44</v>
      </c>
      <c r="B5" s="16">
        <v>2</v>
      </c>
      <c r="C5" s="30">
        <v>1.7010000000000001</v>
      </c>
      <c r="D5" s="40">
        <v>1.66</v>
      </c>
      <c r="E5" s="30">
        <v>1.722</v>
      </c>
      <c r="F5" s="40">
        <v>1.7370000000000001</v>
      </c>
      <c r="G5" s="30">
        <v>1.7000000000000002</v>
      </c>
      <c r="H5" s="40">
        <v>1.7050000000000001</v>
      </c>
      <c r="I5" s="30">
        <v>1.625</v>
      </c>
      <c r="J5" s="40">
        <v>1.605</v>
      </c>
      <c r="K5" s="30">
        <v>1.5680000000000001</v>
      </c>
      <c r="L5" s="40">
        <v>1.7410000000000001</v>
      </c>
      <c r="M5" s="41">
        <f>AVERAGE(C5:L5)</f>
        <v>1.6763999999999999</v>
      </c>
      <c r="N5" s="42">
        <f>SQRT((1/$B$1^2)*(SUMSQ(C6:H6)))</f>
        <v>7.3484692283495346E-4</v>
      </c>
      <c r="O5" s="43">
        <f>M5-M3</f>
        <v>1.1315999999999997</v>
      </c>
      <c r="P5" s="44">
        <f>SQRT(N5^2 +N3^2)</f>
        <v>1.0392304845413265E-3</v>
      </c>
      <c r="Q5" s="41">
        <f>(1/8)*9.8*O5^2</f>
        <v>1.5686352359999993</v>
      </c>
      <c r="R5" s="48">
        <f>(1/4)*9.8*O5*P5</f>
        <v>2.8811833799520636E-3</v>
      </c>
    </row>
    <row r="6" spans="1:18" x14ac:dyDescent="0.2">
      <c r="A6" s="10" t="s">
        <v>45</v>
      </c>
      <c r="B6" s="16"/>
      <c r="C6" s="30">
        <v>3.0000000000000001E-3</v>
      </c>
      <c r="D6" s="40">
        <v>3.0000000000000001E-3</v>
      </c>
      <c r="E6" s="30">
        <v>3.0000000000000001E-3</v>
      </c>
      <c r="F6" s="40">
        <v>3.0000000000000001E-3</v>
      </c>
      <c r="G6" s="30">
        <v>3.0000000000000001E-3</v>
      </c>
      <c r="H6" s="40">
        <v>3.0000000000000001E-3</v>
      </c>
      <c r="I6" s="30">
        <v>3.0000000000000001E-3</v>
      </c>
      <c r="J6" s="40">
        <v>3.0000000000000001E-3</v>
      </c>
      <c r="K6" s="30">
        <v>3.0000000000000001E-3</v>
      </c>
      <c r="L6" s="40">
        <v>3.0000000000000001E-3</v>
      </c>
      <c r="M6" s="46"/>
      <c r="N6" s="46"/>
      <c r="O6" s="43"/>
      <c r="P6" s="47"/>
      <c r="Q6" s="45"/>
      <c r="R6" s="49"/>
    </row>
    <row r="7" spans="1:18" x14ac:dyDescent="0.2">
      <c r="A7" s="10" t="s">
        <v>44</v>
      </c>
      <c r="B7" s="16">
        <v>3</v>
      </c>
      <c r="C7" s="30">
        <v>2.7160000000000002</v>
      </c>
      <c r="D7" s="40">
        <v>2.6640000000000001</v>
      </c>
      <c r="E7" s="30">
        <v>2.734</v>
      </c>
      <c r="F7" s="40">
        <v>2.7480000000000002</v>
      </c>
      <c r="G7" s="30">
        <v>2.7080000000000002</v>
      </c>
      <c r="H7" s="40">
        <v>2.7109999999999999</v>
      </c>
      <c r="I7" s="30">
        <v>2.6360000000000001</v>
      </c>
      <c r="J7" s="40">
        <v>2.6070000000000002</v>
      </c>
      <c r="K7" s="30">
        <v>2.5720000000000001</v>
      </c>
      <c r="L7" s="40">
        <v>2.7530000000000001</v>
      </c>
      <c r="M7" s="41">
        <f>AVERAGE(C7:L7)</f>
        <v>2.6848999999999998</v>
      </c>
      <c r="N7" s="42">
        <f>SQRT((1/$B$1^2)*(SUMSQ(C8:H8)))</f>
        <v>7.3484692283495346E-4</v>
      </c>
      <c r="O7" s="43">
        <f>M7-M5</f>
        <v>1.0085</v>
      </c>
      <c r="P7" s="44">
        <f>SQRT(N7^2 +N5^2)</f>
        <v>1.0392304845413265E-3</v>
      </c>
      <c r="Q7" s="41">
        <f>(1/8)*9.8*O7^2</f>
        <v>1.2459135062500002</v>
      </c>
      <c r="R7" s="48">
        <f>(1/4)*9.8*O7*P7</f>
        <v>2.567756661966823E-3</v>
      </c>
    </row>
    <row r="8" spans="1:18" x14ac:dyDescent="0.2">
      <c r="A8" s="10" t="s">
        <v>45</v>
      </c>
      <c r="B8" s="16"/>
      <c r="C8" s="30">
        <v>3.0000000000000001E-3</v>
      </c>
      <c r="D8" s="40">
        <v>3.0000000000000001E-3</v>
      </c>
      <c r="E8" s="30">
        <v>3.0000000000000001E-3</v>
      </c>
      <c r="F8" s="40">
        <v>3.0000000000000001E-3</v>
      </c>
      <c r="G8" s="30">
        <v>3.0000000000000001E-3</v>
      </c>
      <c r="H8" s="40">
        <v>3.0000000000000001E-3</v>
      </c>
      <c r="I8" s="30">
        <v>3.0000000000000001E-3</v>
      </c>
      <c r="J8" s="40">
        <v>3.0000000000000001E-3</v>
      </c>
      <c r="K8" s="30">
        <v>3.0000000000000001E-3</v>
      </c>
      <c r="L8" s="40">
        <v>3.0000000000000001E-3</v>
      </c>
      <c r="M8" s="46"/>
      <c r="N8" s="46"/>
      <c r="O8" s="43"/>
      <c r="P8" s="47"/>
      <c r="Q8" s="45"/>
      <c r="R8" s="49"/>
    </row>
    <row r="9" spans="1:18" x14ac:dyDescent="0.2">
      <c r="A9" s="10" t="s">
        <v>44</v>
      </c>
      <c r="B9" s="16">
        <v>4</v>
      </c>
      <c r="C9" s="30">
        <v>3.63</v>
      </c>
      <c r="D9" s="40">
        <v>3.57</v>
      </c>
      <c r="E9" s="30">
        <v>3.6390000000000002</v>
      </c>
      <c r="F9" s="40">
        <v>3.6560000000000001</v>
      </c>
      <c r="G9" s="30">
        <v>3.6059999999999999</v>
      </c>
      <c r="H9" s="40">
        <v>3.61</v>
      </c>
      <c r="I9" s="30">
        <v>3.5460000000000003</v>
      </c>
      <c r="J9" s="40">
        <v>3.512</v>
      </c>
      <c r="K9" s="30">
        <v>3.4729999999999999</v>
      </c>
      <c r="L9" s="40">
        <v>3.6589999999999998</v>
      </c>
      <c r="M9" s="41">
        <f>AVERAGE(C9:L9)</f>
        <v>3.5900999999999996</v>
      </c>
      <c r="N9" s="42">
        <f>SQRT((1/$B$1^2)*(SUMSQ(C10:H10)))</f>
        <v>7.3484692283495346E-4</v>
      </c>
      <c r="O9" s="43">
        <f>M9-M7</f>
        <v>0.90519999999999978</v>
      </c>
      <c r="P9" s="44">
        <f>SQRT(N9^2 +N7^2)</f>
        <v>1.0392304845413265E-3</v>
      </c>
      <c r="Q9" s="41">
        <f>(1/8)*9.8*O9^2</f>
        <v>1.0037491239999996</v>
      </c>
      <c r="R9" s="48">
        <f>(1/4)*9.8*O9*P9</f>
        <v>2.3047430147866812E-3</v>
      </c>
    </row>
    <row r="10" spans="1:18" x14ac:dyDescent="0.2">
      <c r="A10" s="10" t="s">
        <v>45</v>
      </c>
      <c r="B10" s="16"/>
      <c r="C10" s="30">
        <v>3.0000000000000001E-3</v>
      </c>
      <c r="D10" s="40">
        <v>3.0000000000000001E-3</v>
      </c>
      <c r="E10" s="30">
        <v>3.0000000000000001E-3</v>
      </c>
      <c r="F10" s="40">
        <v>3.0000000000000001E-3</v>
      </c>
      <c r="G10" s="30">
        <v>3.0000000000000001E-3</v>
      </c>
      <c r="H10" s="40">
        <v>3.0000000000000001E-3</v>
      </c>
      <c r="I10" s="30">
        <v>3.0000000000000001E-3</v>
      </c>
      <c r="J10" s="40">
        <v>3.0000000000000001E-3</v>
      </c>
      <c r="K10" s="30">
        <v>3.0000000000000001E-3</v>
      </c>
      <c r="L10" s="40">
        <v>3.0000000000000001E-3</v>
      </c>
      <c r="M10" s="46"/>
      <c r="N10" s="46"/>
      <c r="O10" s="43"/>
      <c r="P10" s="47"/>
      <c r="Q10" s="41"/>
      <c r="R10" s="49"/>
    </row>
    <row r="11" spans="1:18" x14ac:dyDescent="0.2">
      <c r="A11" s="10" t="s">
        <v>44</v>
      </c>
      <c r="B11" s="16">
        <v>5</v>
      </c>
      <c r="C11" s="30">
        <v>4.4560000000000004</v>
      </c>
      <c r="D11" s="40">
        <v>4.3879999999999999</v>
      </c>
      <c r="E11" s="30">
        <v>4.4569999999999999</v>
      </c>
      <c r="F11" s="40">
        <v>4.4690000000000003</v>
      </c>
      <c r="G11" s="30">
        <v>4.4210000000000003</v>
      </c>
      <c r="H11" s="40">
        <v>4.4169999999999998</v>
      </c>
      <c r="I11" s="30">
        <v>4.3650000000000002</v>
      </c>
      <c r="J11" s="40">
        <v>4.3230000000000004</v>
      </c>
      <c r="K11" s="30">
        <v>4.2850000000000001</v>
      </c>
      <c r="L11" s="40">
        <v>4.4790000000000001</v>
      </c>
      <c r="M11" s="41">
        <f>AVERAGE(C11:L11)</f>
        <v>4.4060000000000006</v>
      </c>
      <c r="N11" s="42">
        <f>SQRT((1/$B$1^2)*(SUMSQ(C12:H12)))</f>
        <v>7.3484692283495346E-4</v>
      </c>
      <c r="O11" s="43">
        <f>M11-M9</f>
        <v>0.81590000000000096</v>
      </c>
      <c r="P11" s="44">
        <f>SQRT(N11^2 +N9^2)</f>
        <v>1.0392304845413265E-3</v>
      </c>
      <c r="Q11" s="41">
        <f>(1/8)*9.8*O11^2</f>
        <v>0.81547369225000199</v>
      </c>
      <c r="R11" s="48">
        <f>(1/4)*9.8*O11*P11</f>
        <v>2.0773749732263098E-3</v>
      </c>
    </row>
    <row r="12" spans="1:18" x14ac:dyDescent="0.2">
      <c r="A12" s="10" t="s">
        <v>45</v>
      </c>
      <c r="B12" s="16"/>
      <c r="C12" s="30">
        <v>3.0000000000000001E-3</v>
      </c>
      <c r="D12" s="40">
        <v>3.0000000000000001E-3</v>
      </c>
      <c r="E12" s="30">
        <v>3.0000000000000001E-3</v>
      </c>
      <c r="F12" s="40">
        <v>3.0000000000000001E-3</v>
      </c>
      <c r="G12" s="30">
        <v>3.0000000000000001E-3</v>
      </c>
      <c r="H12" s="40">
        <v>3.0000000000000001E-3</v>
      </c>
      <c r="I12" s="30">
        <v>3.0000000000000001E-3</v>
      </c>
      <c r="J12" s="40">
        <v>3.0000000000000001E-3</v>
      </c>
      <c r="K12" s="30">
        <v>3.0000000000000001E-3</v>
      </c>
      <c r="L12" s="40">
        <v>3.0000000000000001E-3</v>
      </c>
      <c r="M12" s="46"/>
      <c r="N12" s="46"/>
      <c r="O12" s="43"/>
      <c r="P12" s="47"/>
      <c r="Q12" s="41"/>
      <c r="R12" s="49"/>
    </row>
    <row r="13" spans="1:18" x14ac:dyDescent="0.2">
      <c r="A13" s="10" t="s">
        <v>44</v>
      </c>
      <c r="B13" s="16">
        <v>6</v>
      </c>
      <c r="C13" s="30">
        <v>5.2060000000000004</v>
      </c>
      <c r="D13" s="40">
        <v>5.1310000000000002</v>
      </c>
      <c r="E13" s="30">
        <v>5.1879999999999997</v>
      </c>
      <c r="F13" s="40">
        <v>5.2069999999999999</v>
      </c>
      <c r="G13" s="30">
        <v>5.1509999999999998</v>
      </c>
      <c r="H13" s="40">
        <v>5.1470000000000002</v>
      </c>
      <c r="I13" s="30">
        <v>5.1079999999999997</v>
      </c>
      <c r="J13" s="40">
        <v>5.0599999999999996</v>
      </c>
      <c r="K13" s="30">
        <v>5.0199999999999996</v>
      </c>
      <c r="L13" s="40">
        <v>5.2190000000000003</v>
      </c>
      <c r="M13" s="41">
        <f>AVERAGE(C13:L13)</f>
        <v>5.1437000000000008</v>
      </c>
      <c r="N13" s="42">
        <f>SQRT((1/$B$1^2)*(SUMSQ(C14:H14)))</f>
        <v>7.3484692283495346E-4</v>
      </c>
      <c r="O13" s="43">
        <f>M13-M11</f>
        <v>0.73770000000000024</v>
      </c>
      <c r="P13" s="44">
        <f>SQRT(N13^2 +N11^2)</f>
        <v>1.0392304845413265E-3</v>
      </c>
      <c r="Q13" s="41">
        <f>(1/8)*9.8*O13^2</f>
        <v>0.66664658025000056</v>
      </c>
      <c r="R13" s="48">
        <f>(1/4)*9.8*O13*P13</f>
        <v>1.8782688046930353E-3</v>
      </c>
    </row>
    <row r="14" spans="1:18" x14ac:dyDescent="0.2">
      <c r="A14" s="10" t="s">
        <v>45</v>
      </c>
      <c r="B14" s="16"/>
      <c r="C14" s="30">
        <v>3.0000000000000001E-3</v>
      </c>
      <c r="D14" s="40">
        <v>3.0000000000000001E-3</v>
      </c>
      <c r="E14" s="30">
        <v>3.0000000000000001E-3</v>
      </c>
      <c r="F14" s="40">
        <v>3.0000000000000001E-3</v>
      </c>
      <c r="G14" s="30">
        <v>3.0000000000000001E-3</v>
      </c>
      <c r="H14" s="40">
        <v>3.0000000000000001E-3</v>
      </c>
      <c r="I14" s="30">
        <v>3.0000000000000001E-3</v>
      </c>
      <c r="J14" s="40">
        <v>3.0000000000000001E-3</v>
      </c>
      <c r="K14" s="30">
        <v>3.0000000000000001E-3</v>
      </c>
      <c r="L14" s="40">
        <v>3.0000000000000001E-3</v>
      </c>
      <c r="M14" s="46"/>
      <c r="N14" s="46"/>
      <c r="O14" s="43"/>
      <c r="P14" s="47"/>
      <c r="Q14" s="41"/>
      <c r="R14" s="49"/>
    </row>
    <row r="15" spans="1:18" x14ac:dyDescent="0.2">
      <c r="A15" s="10" t="s">
        <v>44</v>
      </c>
      <c r="B15" s="16">
        <v>7</v>
      </c>
      <c r="C15" s="30">
        <v>5.8789999999999996</v>
      </c>
      <c r="D15" s="40">
        <v>5.8</v>
      </c>
      <c r="E15" s="30">
        <v>5.8540000000000001</v>
      </c>
      <c r="F15" s="40">
        <v>5.8760000000000003</v>
      </c>
      <c r="G15" s="30">
        <v>5.8109999999999999</v>
      </c>
      <c r="H15" s="40">
        <v>5.8150000000000004</v>
      </c>
      <c r="I15" s="30">
        <v>5.7830000000000004</v>
      </c>
      <c r="J15" s="40">
        <v>5.72</v>
      </c>
      <c r="K15" s="30">
        <v>5.6890000000000001</v>
      </c>
      <c r="L15" s="40">
        <v>5.891</v>
      </c>
      <c r="M15" s="41">
        <f>AVERAGE(C15:L15)</f>
        <v>5.8117999999999999</v>
      </c>
      <c r="N15" s="42">
        <f>SQRT((1/$B$1^2)*(SUMSQ(C16:H16)))</f>
        <v>1.4696938456699069E-3</v>
      </c>
      <c r="O15" s="43">
        <f>M15-M13</f>
        <v>0.66809999999999903</v>
      </c>
      <c r="P15" s="44">
        <f>SQRT(N15^2 +N13^2)</f>
        <v>1.6431676725154984E-3</v>
      </c>
      <c r="Q15" s="41">
        <f>(1/8)*9.8*O15^2</f>
        <v>0.54678807224999848</v>
      </c>
      <c r="R15" s="48">
        <f>(1/4)*9.8*O15*P15</f>
        <v>2.6896107889186273E-3</v>
      </c>
    </row>
    <row r="16" spans="1:18" x14ac:dyDescent="0.2">
      <c r="A16" s="10" t="s">
        <v>45</v>
      </c>
      <c r="B16" s="16"/>
      <c r="C16" s="30">
        <v>6.0000000000000001E-3</v>
      </c>
      <c r="D16" s="40">
        <v>6.0000000000000001E-3</v>
      </c>
      <c r="E16" s="30">
        <v>6.0000000000000001E-3</v>
      </c>
      <c r="F16" s="40">
        <v>6.0000000000000001E-3</v>
      </c>
      <c r="G16" s="30">
        <v>6.0000000000000001E-3</v>
      </c>
      <c r="H16" s="40">
        <v>6.0000000000000001E-3</v>
      </c>
      <c r="I16" s="30">
        <v>6.0000000000000001E-3</v>
      </c>
      <c r="J16" s="40">
        <v>6.0000000000000001E-3</v>
      </c>
      <c r="K16" s="30">
        <v>6.0000000000000001E-3</v>
      </c>
      <c r="L16" s="40">
        <v>6.0000000000000001E-3</v>
      </c>
      <c r="M16" s="46"/>
      <c r="N16" s="46"/>
      <c r="O16" s="43"/>
      <c r="P16" s="47"/>
      <c r="Q16" s="41"/>
      <c r="R16" s="49"/>
    </row>
    <row r="17" spans="1:18" x14ac:dyDescent="0.2">
      <c r="A17" s="10" t="s">
        <v>44</v>
      </c>
      <c r="B17" s="16">
        <v>8</v>
      </c>
      <c r="C17" s="30">
        <v>6.49</v>
      </c>
      <c r="D17" s="40">
        <v>6.4039999999999999</v>
      </c>
      <c r="E17" s="30">
        <v>6.4569999999999999</v>
      </c>
      <c r="F17" s="40">
        <v>6.4850000000000003</v>
      </c>
      <c r="G17" s="30">
        <v>6.41</v>
      </c>
      <c r="H17" s="40">
        <v>6.4119999999999999</v>
      </c>
      <c r="I17" s="30">
        <v>6.3979999999999997</v>
      </c>
      <c r="J17" s="40">
        <v>6.3239999999999998</v>
      </c>
      <c r="K17" s="30">
        <v>6.298</v>
      </c>
      <c r="L17" s="40">
        <v>6.5030000000000001</v>
      </c>
      <c r="M17" s="41">
        <f>AVERAGE(C17:L17)</f>
        <v>6.4180999999999999</v>
      </c>
      <c r="N17" s="42">
        <f>SQRT((1/$B$1^2)*(SUMSQ(C18:H18)))</f>
        <v>1.4696938456699069E-3</v>
      </c>
      <c r="O17" s="43">
        <f>M17-M15</f>
        <v>0.60630000000000006</v>
      </c>
      <c r="P17" s="44">
        <f>SQRT(N17^2 +N15^2)</f>
        <v>2.078460969082653E-3</v>
      </c>
      <c r="Q17" s="41">
        <f>(1/8)*9.8*O17^2</f>
        <v>0.45030962025000015</v>
      </c>
      <c r="R17" s="48">
        <f>(1/4)*9.8*O17*P17</f>
        <v>3.0874186696092914E-3</v>
      </c>
    </row>
    <row r="18" spans="1:18" x14ac:dyDescent="0.2">
      <c r="A18" s="10" t="s">
        <v>45</v>
      </c>
      <c r="B18" s="16"/>
      <c r="C18" s="30">
        <v>6.0000000000000001E-3</v>
      </c>
      <c r="D18" s="40">
        <v>6.0000000000000001E-3</v>
      </c>
      <c r="E18" s="30">
        <v>6.0000000000000001E-3</v>
      </c>
      <c r="F18" s="40">
        <v>6.0000000000000001E-3</v>
      </c>
      <c r="G18" s="30">
        <v>6.0000000000000001E-3</v>
      </c>
      <c r="H18" s="40">
        <v>6.0000000000000001E-3</v>
      </c>
      <c r="I18" s="30">
        <v>6.0000000000000001E-3</v>
      </c>
      <c r="J18" s="40">
        <v>6.0000000000000001E-3</v>
      </c>
      <c r="K18" s="30">
        <v>6.0000000000000001E-3</v>
      </c>
      <c r="L18" s="40">
        <v>6.0000000000000001E-3</v>
      </c>
      <c r="M18" s="46"/>
      <c r="N18" s="46"/>
      <c r="O18" s="43"/>
      <c r="P18" s="47"/>
      <c r="Q18" s="41"/>
      <c r="R18" s="49"/>
    </row>
    <row r="19" spans="1:18" x14ac:dyDescent="0.2">
      <c r="A19" s="10" t="s">
        <v>44</v>
      </c>
      <c r="B19" s="16">
        <v>9</v>
      </c>
      <c r="C19" s="30">
        <v>7.0490000000000004</v>
      </c>
      <c r="D19" s="40">
        <v>6.9580000000000002</v>
      </c>
      <c r="E19" s="30">
        <v>7.008</v>
      </c>
      <c r="F19" s="40">
        <v>7.0389999999999997</v>
      </c>
      <c r="G19" s="30">
        <v>6.9569999999999999</v>
      </c>
      <c r="H19" s="40">
        <v>6.96</v>
      </c>
      <c r="I19" s="30">
        <v>6.9530000000000003</v>
      </c>
      <c r="J19" s="40">
        <v>6.8739999999999997</v>
      </c>
      <c r="K19" s="30">
        <v>6.851</v>
      </c>
      <c r="L19" s="40">
        <v>7.0620000000000003</v>
      </c>
      <c r="M19" s="41">
        <f>AVERAGE(C19:L19)</f>
        <v>6.9711000000000016</v>
      </c>
      <c r="N19" s="42">
        <f>SQRT((1/$B$1^2)*(SUMSQ(C20:H20)))</f>
        <v>1.4696938456699069E-3</v>
      </c>
      <c r="O19" s="43">
        <f>M19-M17</f>
        <v>0.55300000000000171</v>
      </c>
      <c r="P19" s="44">
        <f>SQRT(N19^2 +N17^2)</f>
        <v>2.078460969082653E-3</v>
      </c>
      <c r="Q19" s="41">
        <f>(1/8)*9.8*O19^2</f>
        <v>0.37461602500000235</v>
      </c>
      <c r="R19" s="48">
        <f>(1/4)*9.8*O19*P19</f>
        <v>2.8160028439616412E-3</v>
      </c>
    </row>
    <row r="20" spans="1:18" x14ac:dyDescent="0.2">
      <c r="A20" s="10" t="s">
        <v>45</v>
      </c>
      <c r="B20" s="16"/>
      <c r="C20" s="30">
        <v>6.0000000000000001E-3</v>
      </c>
      <c r="D20" s="40">
        <v>6.0000000000000001E-3</v>
      </c>
      <c r="E20" s="30">
        <v>6.0000000000000001E-3</v>
      </c>
      <c r="F20" s="40">
        <v>6.0000000000000001E-3</v>
      </c>
      <c r="G20" s="30">
        <v>6.0000000000000001E-3</v>
      </c>
      <c r="H20" s="40">
        <v>6.0000000000000001E-3</v>
      </c>
      <c r="I20" s="30">
        <v>6.0000000000000001E-3</v>
      </c>
      <c r="J20" s="40">
        <v>6.0000000000000001E-3</v>
      </c>
      <c r="K20" s="30">
        <v>6.0000000000000001E-3</v>
      </c>
      <c r="L20" s="40">
        <v>6.0000000000000001E-3</v>
      </c>
      <c r="M20" s="46"/>
      <c r="N20" s="46"/>
      <c r="O20" s="43"/>
      <c r="P20" s="47"/>
      <c r="Q20" s="41"/>
      <c r="R20" s="49"/>
    </row>
    <row r="21" spans="1:18" x14ac:dyDescent="0.2">
      <c r="A21" s="10" t="s">
        <v>44</v>
      </c>
      <c r="B21" s="16">
        <v>10</v>
      </c>
      <c r="C21" s="30">
        <v>7.5570000000000004</v>
      </c>
      <c r="D21" s="40">
        <v>7.4610000000000003</v>
      </c>
      <c r="E21" s="30">
        <v>7.5140000000000002</v>
      </c>
      <c r="F21" s="40">
        <v>7.5449999999999999</v>
      </c>
      <c r="G21" s="30">
        <v>7.4569999999999999</v>
      </c>
      <c r="H21" s="40">
        <v>7.4619999999999997</v>
      </c>
      <c r="I21" s="30">
        <v>7.4630000000000001</v>
      </c>
      <c r="J21" s="40">
        <v>7.3780000000000001</v>
      </c>
      <c r="K21" s="30">
        <v>7.3570000000000002</v>
      </c>
      <c r="L21" s="40">
        <v>7.5709999999999997</v>
      </c>
      <c r="M21" s="41">
        <f>AVERAGE(C21:L21)</f>
        <v>7.4764999999999997</v>
      </c>
      <c r="N21" s="42">
        <f>SQRT((1/$B$1^2)*(SUMSQ(C22:H22)))</f>
        <v>1.4696938456699069E-3</v>
      </c>
      <c r="O21" s="43">
        <f>M21-M19</f>
        <v>0.50539999999999807</v>
      </c>
      <c r="P21" s="44">
        <f>SQRT(N21^2 +N19^2)</f>
        <v>2.078460969082653E-3</v>
      </c>
      <c r="Q21" s="41">
        <f>(1/8)*9.8*O21^2</f>
        <v>0.31290072099999761</v>
      </c>
      <c r="R21" s="48">
        <f>(1/4)*9.8*O21*P21</f>
        <v>2.5736127257472035E-3</v>
      </c>
    </row>
    <row r="22" spans="1:18" x14ac:dyDescent="0.2">
      <c r="A22" s="10" t="s">
        <v>45</v>
      </c>
      <c r="B22" s="16"/>
      <c r="C22" s="30">
        <v>6.0000000000000001E-3</v>
      </c>
      <c r="D22" s="40">
        <v>6.0000000000000001E-3</v>
      </c>
      <c r="E22" s="30">
        <v>6.0000000000000001E-3</v>
      </c>
      <c r="F22" s="40">
        <v>6.0000000000000001E-3</v>
      </c>
      <c r="G22" s="30">
        <v>6.0000000000000001E-3</v>
      </c>
      <c r="H22" s="40">
        <v>6.0000000000000001E-3</v>
      </c>
      <c r="I22" s="30">
        <v>6.0000000000000001E-3</v>
      </c>
      <c r="J22" s="40">
        <v>6.0000000000000001E-3</v>
      </c>
      <c r="K22" s="30">
        <v>6.0000000000000001E-3</v>
      </c>
      <c r="L22" s="40">
        <v>6.0000000000000001E-3</v>
      </c>
      <c r="M22" s="46"/>
      <c r="N22" s="46"/>
      <c r="O22" s="50"/>
      <c r="P22" s="47"/>
      <c r="Q22" s="51"/>
      <c r="R22" s="49"/>
    </row>
    <row r="23" spans="1:18" x14ac:dyDescent="0.2">
      <c r="A23" s="10"/>
      <c r="P23" s="52"/>
    </row>
    <row r="24" spans="1:18" x14ac:dyDescent="0.2">
      <c r="L24" s="25" t="s">
        <v>46</v>
      </c>
      <c r="M24" s="53">
        <f>M21</f>
        <v>7.4764999999999997</v>
      </c>
      <c r="N24" s="53">
        <f>N21+0.0672</f>
        <v>6.8669693845669913E-2</v>
      </c>
    </row>
    <row r="26" spans="1:18" ht="12.75" customHeight="1" x14ac:dyDescent="0.2">
      <c r="I26" s="98" t="s">
        <v>47</v>
      </c>
      <c r="J26" s="98"/>
      <c r="K26" s="98"/>
      <c r="L26" s="98"/>
      <c r="M26" s="98"/>
      <c r="N26" s="98"/>
    </row>
    <row r="27" spans="1:18" x14ac:dyDescent="0.2">
      <c r="B27" s="102" t="s">
        <v>48</v>
      </c>
      <c r="C27" s="102"/>
      <c r="D27" s="102"/>
      <c r="E27" s="55"/>
      <c r="F27" s="55"/>
      <c r="I27" s="98"/>
      <c r="J27" s="98"/>
      <c r="K27" s="98"/>
      <c r="L27" s="98"/>
      <c r="M27" s="98"/>
      <c r="N27" s="98"/>
    </row>
    <row r="28" spans="1:18" x14ac:dyDescent="0.2">
      <c r="A28" s="15" t="s">
        <v>12</v>
      </c>
      <c r="B28" s="54" t="s">
        <v>20</v>
      </c>
      <c r="C28" s="54" t="s">
        <v>24</v>
      </c>
      <c r="D28" s="54" t="s">
        <v>21</v>
      </c>
      <c r="E28" s="54" t="s">
        <v>22</v>
      </c>
      <c r="F28" s="54" t="s">
        <v>11</v>
      </c>
      <c r="I28" s="98"/>
      <c r="J28" s="98"/>
      <c r="K28" s="98"/>
      <c r="L28" s="98"/>
      <c r="M28" s="98"/>
      <c r="N28" s="98"/>
    </row>
    <row r="29" spans="1:18" x14ac:dyDescent="0.2">
      <c r="A29" s="16">
        <v>1</v>
      </c>
      <c r="B29" s="56">
        <v>200</v>
      </c>
      <c r="C29" s="56">
        <v>3</v>
      </c>
      <c r="D29" s="55"/>
      <c r="E29" s="57"/>
      <c r="F29" s="57"/>
      <c r="I29" s="98"/>
      <c r="J29" s="98"/>
      <c r="K29" s="98"/>
      <c r="L29" s="98"/>
      <c r="M29" s="98"/>
      <c r="N29" s="98"/>
    </row>
    <row r="30" spans="1:18" x14ac:dyDescent="0.2">
      <c r="A30" s="16">
        <v>2</v>
      </c>
      <c r="B30" s="58">
        <f>Audio!Q5*100</f>
        <v>156.86352359999992</v>
      </c>
      <c r="C30" s="59">
        <f>Audio!R5*100</f>
        <v>0.28811833799520636</v>
      </c>
      <c r="D30" s="60">
        <f t="shared" ref="D30:D38" si="0">LN(B30/200)</f>
        <v>-0.2429412156727053</v>
      </c>
      <c r="E30" s="57">
        <f t="shared" ref="E30:E37" si="1">SQRT(B31/B30)</f>
        <v>0.8912159773771654</v>
      </c>
      <c r="F30" s="57">
        <f t="shared" ref="F30:F37" si="2">SQRT(((B30^-0.5 * B31^-0.5) / 2)^2 *C31^2 + ((B31^0.5 * B30^-1.5) / 2)^2 *C30^2)</f>
        <v>1.2301621004644978E-3</v>
      </c>
      <c r="I30" s="98"/>
      <c r="J30" s="98"/>
      <c r="K30" s="98"/>
      <c r="L30" s="98"/>
      <c r="M30" s="98"/>
      <c r="N30" s="98"/>
    </row>
    <row r="31" spans="1:18" x14ac:dyDescent="0.2">
      <c r="A31" s="16">
        <v>3</v>
      </c>
      <c r="B31" s="58">
        <f>Audio!Q7*100</f>
        <v>124.59135062500002</v>
      </c>
      <c r="C31" s="59">
        <f>Audio!R7*100</f>
        <v>0.2567756661966823</v>
      </c>
      <c r="D31" s="60">
        <f t="shared" si="0"/>
        <v>-0.47327817973899605</v>
      </c>
      <c r="E31" s="57">
        <f t="shared" si="1"/>
        <v>0.89757064947942466</v>
      </c>
      <c r="F31" s="57">
        <f t="shared" si="2"/>
        <v>1.3846841639666733E-3</v>
      </c>
      <c r="I31" s="98"/>
      <c r="J31" s="98"/>
      <c r="K31" s="98"/>
      <c r="L31" s="98"/>
      <c r="M31" s="98"/>
      <c r="N31" s="98"/>
    </row>
    <row r="32" spans="1:18" x14ac:dyDescent="0.2">
      <c r="A32" s="16">
        <v>4</v>
      </c>
      <c r="B32" s="58">
        <f>Audio!Q9*100</f>
        <v>100.37491239999996</v>
      </c>
      <c r="C32" s="59">
        <f>Audio!R9*100</f>
        <v>0.23047430147866813</v>
      </c>
      <c r="D32" s="60">
        <f t="shared" si="0"/>
        <v>-0.68940506700876492</v>
      </c>
      <c r="E32" s="57">
        <f t="shared" si="1"/>
        <v>0.90134776844896281</v>
      </c>
      <c r="F32" s="57">
        <f t="shared" si="2"/>
        <v>1.5456020671855396E-3</v>
      </c>
      <c r="I32" s="98"/>
      <c r="J32" s="98"/>
      <c r="K32" s="98"/>
      <c r="L32" s="98"/>
      <c r="M32" s="98"/>
      <c r="N32" s="98"/>
    </row>
    <row r="33" spans="1:14" x14ac:dyDescent="0.2">
      <c r="A33" s="16">
        <v>5</v>
      </c>
      <c r="B33" s="58">
        <f>Audio!Q11*100</f>
        <v>81.547369225000196</v>
      </c>
      <c r="C33" s="59">
        <f>Audio!R11*100</f>
        <v>0.20773749732263097</v>
      </c>
      <c r="D33" s="60">
        <f t="shared" si="0"/>
        <v>-0.89713329765801764</v>
      </c>
      <c r="E33" s="57">
        <f t="shared" si="1"/>
        <v>0.90415492094619365</v>
      </c>
      <c r="F33" s="57">
        <f t="shared" si="2"/>
        <v>1.7171636676147264E-3</v>
      </c>
      <c r="I33" s="98"/>
      <c r="J33" s="98"/>
      <c r="K33" s="98"/>
      <c r="L33" s="98"/>
      <c r="M33" s="98"/>
      <c r="N33" s="98"/>
    </row>
    <row r="34" spans="1:14" x14ac:dyDescent="0.2">
      <c r="A34" s="16">
        <v>6</v>
      </c>
      <c r="B34" s="58">
        <f>Audio!Q13*100</f>
        <v>66.664658025000051</v>
      </c>
      <c r="C34" s="59">
        <f>Audio!R13*100</f>
        <v>0.18782688046930354</v>
      </c>
      <c r="D34" s="60">
        <f t="shared" si="0"/>
        <v>-1.0986424187470152</v>
      </c>
      <c r="E34" s="57">
        <f t="shared" si="1"/>
        <v>0.9056527043513608</v>
      </c>
      <c r="F34" s="57">
        <f t="shared" si="2"/>
        <v>2.566933767096709E-3</v>
      </c>
      <c r="I34" s="98"/>
      <c r="J34" s="98"/>
      <c r="K34" s="98"/>
      <c r="L34" s="98"/>
      <c r="M34" s="98"/>
      <c r="N34" s="98"/>
    </row>
    <row r="35" spans="1:14" x14ac:dyDescent="0.2">
      <c r="A35" s="16">
        <v>7</v>
      </c>
      <c r="B35" s="58">
        <f>Audio!Q15*100</f>
        <v>54.678807224999851</v>
      </c>
      <c r="C35" s="59">
        <f>Audio!R15*100</f>
        <v>0.26896107889186271</v>
      </c>
      <c r="D35" s="60">
        <f t="shared" si="0"/>
        <v>-1.2968411686646686</v>
      </c>
      <c r="E35" s="57">
        <f t="shared" si="1"/>
        <v>0.90749887741356228</v>
      </c>
      <c r="F35" s="57">
        <f t="shared" si="2"/>
        <v>3.8288361331890019E-3</v>
      </c>
      <c r="I35" s="98"/>
      <c r="J35" s="98"/>
      <c r="K35" s="98"/>
      <c r="L35" s="98"/>
      <c r="M35" s="98"/>
      <c r="N35" s="98"/>
    </row>
    <row r="36" spans="1:14" x14ac:dyDescent="0.2">
      <c r="A36" s="16">
        <v>8</v>
      </c>
      <c r="B36" s="58">
        <f>Audio!Q17*100</f>
        <v>45.030962025000015</v>
      </c>
      <c r="C36" s="59">
        <f>Audio!R17*100</f>
        <v>0.30874186696092915</v>
      </c>
      <c r="D36" s="60">
        <f t="shared" si="0"/>
        <v>-1.4909670683721588</v>
      </c>
      <c r="E36" s="57">
        <f t="shared" si="1"/>
        <v>0.912089724558802</v>
      </c>
      <c r="F36" s="57">
        <f t="shared" si="2"/>
        <v>4.6398730182125652E-3</v>
      </c>
      <c r="I36" s="98"/>
      <c r="J36" s="98"/>
      <c r="K36" s="98"/>
      <c r="L36" s="98"/>
      <c r="M36" s="98"/>
      <c r="N36" s="98"/>
    </row>
    <row r="37" spans="1:14" x14ac:dyDescent="0.2">
      <c r="A37" s="16">
        <v>9</v>
      </c>
      <c r="B37" s="58">
        <f>Audio!Q19*100</f>
        <v>37.461602500000232</v>
      </c>
      <c r="C37" s="59">
        <f>Audio!R19*100</f>
        <v>0.28160028439616414</v>
      </c>
      <c r="D37" s="60">
        <f t="shared" si="0"/>
        <v>-1.6750008914828531</v>
      </c>
      <c r="E37" s="57">
        <f t="shared" si="1"/>
        <v>0.91392405063290505</v>
      </c>
      <c r="F37" s="57">
        <f t="shared" si="2"/>
        <v>5.0917281321090193E-3</v>
      </c>
    </row>
    <row r="38" spans="1:14" x14ac:dyDescent="0.2">
      <c r="A38" s="16">
        <v>10</v>
      </c>
      <c r="B38" s="58">
        <f>Audio!Q21*100</f>
        <v>31.290072099999762</v>
      </c>
      <c r="C38" s="59">
        <f>Audio!R21*100</f>
        <v>0.25736127257472036</v>
      </c>
      <c r="D38" s="60">
        <f t="shared" si="0"/>
        <v>-1.855016504619349</v>
      </c>
      <c r="E38" s="61">
        <f>AVERAGE(E30:E37)</f>
        <v>0.90418183415104714</v>
      </c>
      <c r="F38" s="61">
        <f>SQRT((1/8^2)*SUMSQ(F29:F37))</f>
        <v>1.1002232581300969E-3</v>
      </c>
    </row>
    <row r="39" spans="1:14" ht="12.75" customHeight="1" x14ac:dyDescent="0.2">
      <c r="B39" s="55"/>
      <c r="C39" s="55"/>
      <c r="D39" s="56"/>
      <c r="E39" s="55"/>
      <c r="F39" s="55"/>
      <c r="I39" s="98" t="s">
        <v>49</v>
      </c>
      <c r="J39" s="98"/>
      <c r="K39" s="98"/>
      <c r="L39" s="98"/>
      <c r="M39" s="98"/>
      <c r="N39" s="98"/>
    </row>
    <row r="40" spans="1:14" ht="15" x14ac:dyDescent="0.25">
      <c r="B40" s="54" t="s">
        <v>23</v>
      </c>
      <c r="C40" s="54" t="s">
        <v>24</v>
      </c>
      <c r="D40" s="55"/>
      <c r="E40" s="55"/>
      <c r="F40" s="62"/>
      <c r="I40" s="98"/>
      <c r="J40" s="98"/>
      <c r="K40" s="98"/>
      <c r="L40" s="98"/>
      <c r="M40" s="98"/>
      <c r="N40" s="98"/>
    </row>
    <row r="41" spans="1:14" ht="15" x14ac:dyDescent="0.25">
      <c r="B41" s="57">
        <f>EXP(B43/2)</f>
        <v>0.904412989271834</v>
      </c>
      <c r="C41" s="57">
        <f>B41/2 *B44</f>
        <v>1.2380748376844173E-3</v>
      </c>
      <c r="D41" s="55"/>
      <c r="E41" s="55"/>
      <c r="F41" s="62"/>
      <c r="I41" s="98"/>
      <c r="J41" s="98"/>
      <c r="K41" s="98"/>
      <c r="L41" s="98"/>
      <c r="M41" s="98"/>
      <c r="N41" s="98"/>
    </row>
    <row r="42" spans="1:14" ht="15" x14ac:dyDescent="0.25">
      <c r="B42" s="54" t="s">
        <v>25</v>
      </c>
      <c r="C42" s="54" t="s">
        <v>26</v>
      </c>
      <c r="D42" s="55"/>
      <c r="E42" s="55"/>
      <c r="F42" s="62"/>
      <c r="I42" s="98"/>
      <c r="J42" s="98"/>
      <c r="K42" s="98"/>
      <c r="L42" s="98"/>
      <c r="M42" s="98"/>
      <c r="N42" s="98"/>
    </row>
    <row r="43" spans="1:14" ht="15" x14ac:dyDescent="0.25">
      <c r="A43" s="9" t="s">
        <v>27</v>
      </c>
      <c r="B43" s="57">
        <f t="array" ref="B43:C44">LINEST(D30:D38,A30:A38,1,1)</f>
        <v>-0.20093835274585972</v>
      </c>
      <c r="C43" s="60">
        <v>0.1257161373679887</v>
      </c>
      <c r="D43" s="55"/>
      <c r="E43" s="55"/>
      <c r="F43" s="62"/>
      <c r="I43" s="98"/>
      <c r="J43" s="98"/>
      <c r="K43" s="98"/>
      <c r="L43" s="98"/>
      <c r="M43" s="98"/>
      <c r="N43" s="98"/>
    </row>
    <row r="44" spans="1:14" ht="15" x14ac:dyDescent="0.25">
      <c r="A44" s="9" t="s">
        <v>11</v>
      </c>
      <c r="B44" s="57">
        <v>2.7378528445975172E-3</v>
      </c>
      <c r="C44" s="60">
        <v>1.7883579893576973E-2</v>
      </c>
      <c r="D44" s="55"/>
      <c r="E44" s="55"/>
      <c r="F44" s="62"/>
      <c r="I44" s="98"/>
      <c r="J44" s="98"/>
      <c r="K44" s="98"/>
      <c r="L44" s="98"/>
      <c r="M44" s="98"/>
      <c r="N44" s="98"/>
    </row>
    <row r="45" spans="1:14" x14ac:dyDescent="0.2">
      <c r="I45" s="98"/>
      <c r="J45" s="98"/>
      <c r="K45" s="98"/>
      <c r="L45" s="98"/>
      <c r="M45" s="98"/>
      <c r="N45" s="98"/>
    </row>
    <row r="46" spans="1:14" x14ac:dyDescent="0.2">
      <c r="I46" s="98"/>
      <c r="J46" s="98"/>
      <c r="K46" s="98"/>
      <c r="L46" s="98"/>
      <c r="M46" s="98"/>
      <c r="N46" s="98"/>
    </row>
    <row r="47" spans="1:14" x14ac:dyDescent="0.2">
      <c r="I47" s="98"/>
      <c r="J47" s="98"/>
      <c r="K47" s="98"/>
      <c r="L47" s="98"/>
      <c r="M47" s="98"/>
      <c r="N47" s="98"/>
    </row>
    <row r="48" spans="1:14" x14ac:dyDescent="0.2">
      <c r="I48" s="98"/>
      <c r="J48" s="98"/>
      <c r="K48" s="98"/>
      <c r="L48" s="98"/>
      <c r="M48" s="98"/>
      <c r="N48" s="98"/>
    </row>
    <row r="49" spans="9:14" x14ac:dyDescent="0.2">
      <c r="I49" s="98"/>
      <c r="J49" s="98"/>
      <c r="K49" s="98"/>
      <c r="L49" s="98"/>
      <c r="M49" s="98"/>
      <c r="N49" s="98"/>
    </row>
  </sheetData>
  <sheetProtection selectLockedCells="1" selectUnlockedCells="1"/>
  <mergeCells count="6">
    <mergeCell ref="B27:D27"/>
    <mergeCell ref="I39:N49"/>
    <mergeCell ref="M1:N1"/>
    <mergeCell ref="O1:P1"/>
    <mergeCell ref="Q1:R1"/>
    <mergeCell ref="I26:N36"/>
  </mergeCell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zoomScale="90" zoomScaleNormal="90" workbookViewId="0">
      <selection activeCell="B2" sqref="B2"/>
    </sheetView>
  </sheetViews>
  <sheetFormatPr defaultColWidth="11.85546875" defaultRowHeight="12.75" x14ac:dyDescent="0.2"/>
  <cols>
    <col min="1" max="1" width="5.42578125" style="9" customWidth="1"/>
    <col min="2" max="5" width="11.85546875" style="9"/>
    <col min="6" max="6" width="14.140625" style="9" customWidth="1"/>
    <col min="7" max="8" width="11.85546875" style="9"/>
    <col min="9" max="9" width="13.85546875" style="9" customWidth="1"/>
    <col min="10" max="11" width="11.85546875" style="9"/>
    <col min="12" max="12" width="14.5703125" style="9" customWidth="1"/>
    <col min="13" max="16384" width="11.85546875" style="9"/>
  </cols>
  <sheetData>
    <row r="1" spans="1:26" x14ac:dyDescent="0.2">
      <c r="A1" s="9" t="s">
        <v>23</v>
      </c>
      <c r="B1" s="9">
        <v>0.9</v>
      </c>
    </row>
    <row r="2" spans="1:26" ht="15.75" x14ac:dyDescent="0.3">
      <c r="C2" s="103" t="s">
        <v>50</v>
      </c>
      <c r="D2" s="103"/>
      <c r="E2" s="103"/>
    </row>
    <row r="3" spans="1:26" ht="46.35" customHeight="1" x14ac:dyDescent="0.2">
      <c r="B3" s="63" t="s">
        <v>12</v>
      </c>
      <c r="C3" s="64" t="s">
        <v>51</v>
      </c>
      <c r="D3" s="64" t="s">
        <v>52</v>
      </c>
      <c r="E3" s="64" t="s">
        <v>46</v>
      </c>
      <c r="F3" s="65" t="s">
        <v>53</v>
      </c>
      <c r="G3" s="65" t="s">
        <v>54</v>
      </c>
      <c r="H3" s="65" t="s">
        <v>55</v>
      </c>
      <c r="I3" s="66" t="s">
        <v>56</v>
      </c>
      <c r="J3" s="66" t="s">
        <v>54</v>
      </c>
      <c r="K3" s="66" t="s">
        <v>55</v>
      </c>
      <c r="L3" s="65" t="s">
        <v>57</v>
      </c>
      <c r="M3" s="65" t="s">
        <v>58</v>
      </c>
      <c r="N3" s="65" t="s">
        <v>55</v>
      </c>
      <c r="O3" s="66" t="s">
        <v>59</v>
      </c>
      <c r="P3" s="66" t="s">
        <v>58</v>
      </c>
      <c r="Q3" s="66" t="s">
        <v>55</v>
      </c>
      <c r="R3" s="65" t="s">
        <v>60</v>
      </c>
      <c r="S3" s="65" t="s">
        <v>58</v>
      </c>
      <c r="T3" s="65" t="s">
        <v>55</v>
      </c>
      <c r="U3" s="66" t="s">
        <v>61</v>
      </c>
      <c r="V3" s="66" t="s">
        <v>54</v>
      </c>
      <c r="W3" s="66" t="s">
        <v>55</v>
      </c>
      <c r="X3" s="67" t="s">
        <v>62</v>
      </c>
      <c r="Y3" s="67" t="s">
        <v>54</v>
      </c>
      <c r="Z3" s="67" t="s">
        <v>55</v>
      </c>
    </row>
    <row r="4" spans="1:26" x14ac:dyDescent="0.2">
      <c r="B4" s="16">
        <v>1</v>
      </c>
      <c r="C4" s="9">
        <v>200</v>
      </c>
      <c r="D4" s="52">
        <f t="shared" ref="D4:D13" si="0">SQRT(2*(C4)/980)</f>
        <v>0.63887656499993994</v>
      </c>
      <c r="E4" s="52">
        <f>D4</f>
        <v>0.63887656499993994</v>
      </c>
      <c r="F4" s="68">
        <f>Heights!C33</f>
        <v>200</v>
      </c>
      <c r="G4" s="69">
        <f t="shared" ref="G4:G9" si="1">F4-C4</f>
        <v>0</v>
      </c>
      <c r="H4" s="70">
        <f t="shared" ref="H4:H9" si="2">G4/C4*100</f>
        <v>0</v>
      </c>
      <c r="I4" s="71">
        <f>Heights!I33</f>
        <v>200</v>
      </c>
      <c r="J4" s="71">
        <f t="shared" ref="J4:J9" si="3">I4-F4</f>
        <v>0</v>
      </c>
      <c r="K4" s="72">
        <f t="shared" ref="K4:K9" si="4">J4/C4*100</f>
        <v>0</v>
      </c>
      <c r="L4" s="73">
        <f>Audio!M3</f>
        <v>0.54480000000000017</v>
      </c>
      <c r="M4" s="73">
        <f t="shared" ref="M4:M13" si="5">L4-E4</f>
        <v>-9.4076564999939771E-2</v>
      </c>
      <c r="N4" s="70">
        <f t="shared" ref="N4:N13" si="6">M4/L4 *100</f>
        <v>-17.268091960341362</v>
      </c>
      <c r="O4" s="74">
        <f>L4</f>
        <v>0.54480000000000017</v>
      </c>
      <c r="P4" s="74">
        <f>O4-D4</f>
        <v>-9.4076564999939771E-2</v>
      </c>
      <c r="Q4" s="72">
        <f t="shared" ref="Q4:Q13" si="7">P4/O4 *100</f>
        <v>-17.268091960341362</v>
      </c>
      <c r="R4" s="75"/>
      <c r="S4" s="73"/>
      <c r="T4" s="70"/>
      <c r="U4" s="71">
        <f>'Parallax Error'!B28</f>
        <v>200</v>
      </c>
      <c r="V4" s="71">
        <f t="shared" ref="V4:V9" si="8">U4-C4</f>
        <v>0</v>
      </c>
      <c r="W4" s="72"/>
      <c r="X4" s="76">
        <f>'Parallax Error'!H28</f>
        <v>200</v>
      </c>
      <c r="Y4" s="76">
        <f>X4-F4</f>
        <v>0</v>
      </c>
      <c r="Z4" s="77">
        <f>Y4/U4*100</f>
        <v>0</v>
      </c>
    </row>
    <row r="5" spans="1:26" x14ac:dyDescent="0.2">
      <c r="B5" s="16">
        <v>2</v>
      </c>
      <c r="C5" s="78">
        <f t="shared" ref="C5:C13" si="9">C4*$B$1^2</f>
        <v>162</v>
      </c>
      <c r="D5" s="52">
        <f t="shared" si="0"/>
        <v>0.57498890849994599</v>
      </c>
      <c r="E5" s="52">
        <f t="shared" ref="E5:E13" si="10">2*D5+E4</f>
        <v>1.7888543819998319</v>
      </c>
      <c r="F5" s="69">
        <f>Heights!C34</f>
        <v>163.80000000000001</v>
      </c>
      <c r="G5" s="69">
        <f t="shared" si="1"/>
        <v>1.8000000000000114</v>
      </c>
      <c r="H5" s="70">
        <f t="shared" si="2"/>
        <v>1.111111111111118</v>
      </c>
      <c r="I5" s="71">
        <f>Heights!I34</f>
        <v>155.66666666666666</v>
      </c>
      <c r="J5" s="71">
        <f t="shared" si="3"/>
        <v>-8.1333333333333542</v>
      </c>
      <c r="K5" s="72">
        <f t="shared" si="4"/>
        <v>-5.0205761316872559</v>
      </c>
      <c r="L5" s="73">
        <f>Audio!M5</f>
        <v>1.6763999999999999</v>
      </c>
      <c r="M5" s="73">
        <f t="shared" si="5"/>
        <v>-0.11245438199983204</v>
      </c>
      <c r="N5" s="70">
        <f t="shared" si="6"/>
        <v>-6.7080876878926308</v>
      </c>
      <c r="O5" s="74">
        <f t="shared" ref="O5:O13" si="11">L5-L4</f>
        <v>1.1315999999999997</v>
      </c>
      <c r="P5" s="74">
        <f t="shared" ref="P5:P13" si="12">O5-(D5*2)</f>
        <v>-1.8377816999892271E-2</v>
      </c>
      <c r="Q5" s="72">
        <f t="shared" si="7"/>
        <v>-1.624055938484648</v>
      </c>
      <c r="R5" s="69">
        <f>Audio!B30</f>
        <v>156.86352359999992</v>
      </c>
      <c r="S5" s="73">
        <f t="shared" ref="S5:S13" si="13">R5-(C5)</f>
        <v>-5.1364764000000775</v>
      </c>
      <c r="T5" s="70">
        <f t="shared" ref="T5:T13" si="14">S5/C5 *100</f>
        <v>-3.1706644444444922</v>
      </c>
      <c r="U5" s="71">
        <f>'Parallax Error'!B29</f>
        <v>161.78692244334496</v>
      </c>
      <c r="V5" s="71">
        <f t="shared" si="8"/>
        <v>-0.21307755665503691</v>
      </c>
      <c r="W5" s="72">
        <f>V5/C5*100</f>
        <v>-0.13152935595989934</v>
      </c>
      <c r="X5" s="76">
        <f>'Parallax Error'!H29</f>
        <v>155.89977772989582</v>
      </c>
      <c r="Y5" s="76">
        <f>X5-C5</f>
        <v>-6.1002222701041831</v>
      </c>
      <c r="Z5" s="77">
        <f>Y5/C5*100</f>
        <v>-3.765569302533446</v>
      </c>
    </row>
    <row r="6" spans="1:26" x14ac:dyDescent="0.2">
      <c r="B6" s="16">
        <v>3</v>
      </c>
      <c r="C6" s="78">
        <f t="shared" si="9"/>
        <v>131.22</v>
      </c>
      <c r="D6" s="52">
        <f t="shared" si="0"/>
        <v>0.51749001764995139</v>
      </c>
      <c r="E6" s="52">
        <f t="shared" si="10"/>
        <v>2.8238344172997349</v>
      </c>
      <c r="F6" s="69">
        <f>Heights!C35</f>
        <v>132.19999999999999</v>
      </c>
      <c r="G6" s="69">
        <f t="shared" si="1"/>
        <v>0.97999999999998977</v>
      </c>
      <c r="H6" s="70">
        <f t="shared" si="2"/>
        <v>0.74683737235176784</v>
      </c>
      <c r="I6" s="71">
        <f>Heights!I35</f>
        <v>131</v>
      </c>
      <c r="J6" s="71">
        <f t="shared" si="3"/>
        <v>-1.1999999999999886</v>
      </c>
      <c r="K6" s="72">
        <f t="shared" si="4"/>
        <v>-0.91449474165522693</v>
      </c>
      <c r="L6" s="73">
        <f>Audio!M7</f>
        <v>2.6848999999999998</v>
      </c>
      <c r="M6" s="73">
        <f t="shared" si="5"/>
        <v>-0.1389344172997351</v>
      </c>
      <c r="N6" s="70">
        <f t="shared" si="6"/>
        <v>-5.1746589183856049</v>
      </c>
      <c r="O6" s="74">
        <f t="shared" si="11"/>
        <v>1.0085</v>
      </c>
      <c r="P6" s="74">
        <f t="shared" si="12"/>
        <v>-2.6480035299902838E-2</v>
      </c>
      <c r="Q6" s="72">
        <f t="shared" si="7"/>
        <v>-2.6256852057414815</v>
      </c>
      <c r="R6" s="69">
        <f>Audio!B31</f>
        <v>124.59135062500002</v>
      </c>
      <c r="S6" s="73">
        <f t="shared" si="13"/>
        <v>-6.6286493749999806</v>
      </c>
      <c r="T6" s="70">
        <f t="shared" si="14"/>
        <v>-5.0515541647614546</v>
      </c>
      <c r="U6" s="71">
        <f>'Parallax Error'!B30</f>
        <v>131.2993953487435</v>
      </c>
      <c r="V6" s="71">
        <f t="shared" si="8"/>
        <v>7.9395348743503291E-2</v>
      </c>
      <c r="W6" s="72">
        <f>V6/C6*100</f>
        <v>6.050552411484781E-2</v>
      </c>
      <c r="X6" s="76">
        <f>'Parallax Error'!H30</f>
        <v>133.29049460492487</v>
      </c>
      <c r="Y6" s="76">
        <f>X6-C6</f>
        <v>2.0704946049248747</v>
      </c>
      <c r="Z6" s="77">
        <f>Y6/C6*100</f>
        <v>1.5778803573577769</v>
      </c>
    </row>
    <row r="7" spans="1:26" x14ac:dyDescent="0.2">
      <c r="B7" s="16">
        <v>4</v>
      </c>
      <c r="C7" s="78">
        <f t="shared" si="9"/>
        <v>106.2882</v>
      </c>
      <c r="D7" s="52">
        <f t="shared" si="0"/>
        <v>0.4657410158849562</v>
      </c>
      <c r="E7" s="52">
        <f t="shared" si="10"/>
        <v>3.7553164490696473</v>
      </c>
      <c r="F7" s="69">
        <f>Heights!C36</f>
        <v>105.11111111111111</v>
      </c>
      <c r="G7" s="69">
        <f t="shared" si="1"/>
        <v>-1.1770888888888891</v>
      </c>
      <c r="H7" s="70">
        <f t="shared" si="2"/>
        <v>-1.1074502050922763</v>
      </c>
      <c r="I7" s="71">
        <f>Heights!I36</f>
        <v>106.5</v>
      </c>
      <c r="J7" s="71">
        <f t="shared" si="3"/>
        <v>1.3888888888888857</v>
      </c>
      <c r="K7" s="72">
        <f t="shared" si="4"/>
        <v>1.306719738304803</v>
      </c>
      <c r="L7" s="73">
        <f>Audio!M9</f>
        <v>3.5900999999999996</v>
      </c>
      <c r="M7" s="73">
        <f t="shared" si="5"/>
        <v>-0.16521644906964772</v>
      </c>
      <c r="N7" s="70">
        <f t="shared" si="6"/>
        <v>-4.6020013110957283</v>
      </c>
      <c r="O7" s="74">
        <f t="shared" si="11"/>
        <v>0.90519999999999978</v>
      </c>
      <c r="P7" s="74">
        <f t="shared" si="12"/>
        <v>-2.6282031769912617E-2</v>
      </c>
      <c r="Q7" s="72">
        <f t="shared" si="7"/>
        <v>-2.9034502618109395</v>
      </c>
      <c r="R7" s="69">
        <f>Audio!B32</f>
        <v>100.37491239999996</v>
      </c>
      <c r="S7" s="73">
        <f t="shared" si="13"/>
        <v>-5.9132876000000465</v>
      </c>
      <c r="T7" s="70">
        <f t="shared" si="14"/>
        <v>-5.563446930139043</v>
      </c>
      <c r="U7" s="71">
        <f>'Parallax Error'!B31</f>
        <v>106.61079032368347</v>
      </c>
      <c r="V7" s="71">
        <f t="shared" si="8"/>
        <v>0.32259032368347107</v>
      </c>
      <c r="W7" s="72">
        <f>V7/C7*100</f>
        <v>0.30350530320719615</v>
      </c>
      <c r="X7" s="76">
        <f>'Parallax Error'!H31</f>
        <v>108.09654444381995</v>
      </c>
      <c r="Y7" s="76">
        <f>X7-C7</f>
        <v>1.8083444438199479</v>
      </c>
      <c r="Z7" s="77">
        <f>Y7/C7*100</f>
        <v>1.7013595524432137</v>
      </c>
    </row>
    <row r="8" spans="1:26" x14ac:dyDescent="0.2">
      <c r="B8" s="16">
        <v>5</v>
      </c>
      <c r="C8" s="78">
        <f t="shared" si="9"/>
        <v>86.09344200000001</v>
      </c>
      <c r="D8" s="52">
        <f t="shared" si="0"/>
        <v>0.41916691429646058</v>
      </c>
      <c r="E8" s="52">
        <f t="shared" si="10"/>
        <v>4.5936502776625687</v>
      </c>
      <c r="F8" s="69">
        <f>Heights!C37</f>
        <v>80.125</v>
      </c>
      <c r="G8" s="69">
        <f t="shared" si="1"/>
        <v>-5.9684420000000102</v>
      </c>
      <c r="H8" s="70">
        <f t="shared" si="2"/>
        <v>-6.9325164162910458</v>
      </c>
      <c r="I8" s="71">
        <f>Heights!I37</f>
        <v>82.8</v>
      </c>
      <c r="J8" s="71">
        <f t="shared" si="3"/>
        <v>2.6749999999999972</v>
      </c>
      <c r="K8" s="72">
        <f t="shared" si="4"/>
        <v>3.1070891555247573</v>
      </c>
      <c r="L8" s="73">
        <f>Audio!M11</f>
        <v>4.4060000000000006</v>
      </c>
      <c r="M8" s="73">
        <f t="shared" si="5"/>
        <v>-0.18765027766256814</v>
      </c>
      <c r="N8" s="70">
        <f t="shared" si="6"/>
        <v>-4.2589713495816639</v>
      </c>
      <c r="O8" s="74">
        <f t="shared" si="11"/>
        <v>0.81590000000000096</v>
      </c>
      <c r="P8" s="74">
        <f t="shared" si="12"/>
        <v>-2.2433828592920202E-2</v>
      </c>
      <c r="Q8" s="72">
        <f t="shared" si="7"/>
        <v>-2.7495806585268019</v>
      </c>
      <c r="R8" s="69">
        <f>Audio!B33</f>
        <v>81.547369225000196</v>
      </c>
      <c r="S8" s="73">
        <f t="shared" si="13"/>
        <v>-4.5460727749998142</v>
      </c>
      <c r="T8" s="70">
        <f t="shared" si="14"/>
        <v>-5.2803938016554319</v>
      </c>
      <c r="U8" s="71">
        <f>'Parallax Error'!B32</f>
        <v>84.721532619488229</v>
      </c>
      <c r="V8" s="71">
        <f t="shared" si="8"/>
        <v>-1.3719093805117808</v>
      </c>
      <c r="W8" s="72">
        <f>V8/C8*100</f>
        <v>-1.5935120592713445</v>
      </c>
      <c r="X8" s="76">
        <f>'Parallax Error'!H32</f>
        <v>89.166467108260946</v>
      </c>
      <c r="Y8" s="76">
        <f>X8-C8</f>
        <v>3.0730251082609357</v>
      </c>
      <c r="Z8" s="77">
        <f>Y8/C8*100</f>
        <v>3.5694067246851797</v>
      </c>
    </row>
    <row r="9" spans="1:26" x14ac:dyDescent="0.2">
      <c r="B9" s="16">
        <v>6</v>
      </c>
      <c r="C9" s="78">
        <f t="shared" si="9"/>
        <v>69.735688020000012</v>
      </c>
      <c r="D9" s="52">
        <f t="shared" si="0"/>
        <v>0.37725022286681453</v>
      </c>
      <c r="E9" s="52">
        <f t="shared" si="10"/>
        <v>5.3481507233961976</v>
      </c>
      <c r="F9" s="69">
        <f>Heights!C38</f>
        <v>63</v>
      </c>
      <c r="G9" s="69">
        <f t="shared" si="1"/>
        <v>-6.735688020000012</v>
      </c>
      <c r="H9" s="70">
        <f t="shared" si="2"/>
        <v>-9.6588822900381128</v>
      </c>
      <c r="I9" s="71">
        <f>Heights!I38</f>
        <v>69.833333333333329</v>
      </c>
      <c r="J9" s="71">
        <f t="shared" si="3"/>
        <v>6.8333333333333286</v>
      </c>
      <c r="K9" s="72">
        <f t="shared" si="4"/>
        <v>9.7989043018741651</v>
      </c>
      <c r="L9" s="73">
        <f>Audio!M13</f>
        <v>5.1437000000000008</v>
      </c>
      <c r="M9" s="73">
        <f t="shared" si="5"/>
        <v>-0.20445072339619674</v>
      </c>
      <c r="N9" s="70">
        <f t="shared" si="6"/>
        <v>-3.9747793105390423</v>
      </c>
      <c r="O9" s="74">
        <f t="shared" si="11"/>
        <v>0.73770000000000024</v>
      </c>
      <c r="P9" s="74">
        <f t="shared" si="12"/>
        <v>-1.6800445733628822E-2</v>
      </c>
      <c r="Q9" s="72">
        <f t="shared" si="7"/>
        <v>-2.2774089377292688</v>
      </c>
      <c r="R9" s="69">
        <f>Audio!B34</f>
        <v>66.664658025000051</v>
      </c>
      <c r="S9" s="73">
        <f t="shared" si="13"/>
        <v>-3.0710299949999609</v>
      </c>
      <c r="T9" s="70">
        <f t="shared" si="14"/>
        <v>-4.4038140042716689</v>
      </c>
      <c r="U9" s="71">
        <f>'Parallax Error'!B33</f>
        <v>70.998994993732353</v>
      </c>
      <c r="V9" s="71">
        <f t="shared" si="8"/>
        <v>1.263306973732341</v>
      </c>
      <c r="W9" s="72">
        <f>V9/C9*100</f>
        <v>1.8115645082185576</v>
      </c>
      <c r="X9" s="76">
        <f>'Parallax Error'!H33</f>
        <v>73.11060259735541</v>
      </c>
      <c r="Y9" s="76">
        <f>X9-C9</f>
        <v>3.3749145773553977</v>
      </c>
      <c r="Z9" s="77">
        <f>Y9/C9*100</f>
        <v>4.8395802395861942</v>
      </c>
    </row>
    <row r="10" spans="1:26" x14ac:dyDescent="0.2">
      <c r="B10" s="16">
        <v>7</v>
      </c>
      <c r="C10" s="78">
        <f t="shared" si="9"/>
        <v>56.485907296200011</v>
      </c>
      <c r="D10" s="52">
        <f t="shared" si="0"/>
        <v>0.33952520058013308</v>
      </c>
      <c r="E10" s="52">
        <f t="shared" si="10"/>
        <v>6.0272011245564636</v>
      </c>
      <c r="F10" s="68"/>
      <c r="G10" s="68"/>
      <c r="H10" s="68"/>
      <c r="I10" s="40"/>
      <c r="J10" s="40"/>
      <c r="K10" s="40"/>
      <c r="L10" s="73">
        <f>Audio!M15</f>
        <v>5.8117999999999999</v>
      </c>
      <c r="M10" s="73">
        <f t="shared" si="5"/>
        <v>-0.21540112455646376</v>
      </c>
      <c r="N10" s="70">
        <f t="shared" si="6"/>
        <v>-3.7062721455738976</v>
      </c>
      <c r="O10" s="74">
        <f t="shared" si="11"/>
        <v>0.66809999999999903</v>
      </c>
      <c r="P10" s="74">
        <f t="shared" si="12"/>
        <v>-1.0950401160267131E-2</v>
      </c>
      <c r="Q10" s="72">
        <f t="shared" si="7"/>
        <v>-1.6390362461109338</v>
      </c>
      <c r="R10" s="69">
        <f>Audio!B35</f>
        <v>54.678807224999851</v>
      </c>
      <c r="S10" s="73">
        <f t="shared" si="13"/>
        <v>-1.8071000712001606</v>
      </c>
      <c r="T10" s="70">
        <f t="shared" si="14"/>
        <v>-3.1992051782475843</v>
      </c>
      <c r="U10" s="40"/>
      <c r="V10" s="40"/>
      <c r="W10" s="40"/>
      <c r="X10" s="79"/>
      <c r="Y10" s="79"/>
      <c r="Z10" s="79"/>
    </row>
    <row r="11" spans="1:26" x14ac:dyDescent="0.2">
      <c r="B11" s="16">
        <v>8</v>
      </c>
      <c r="C11" s="78">
        <f t="shared" si="9"/>
        <v>45.753584909922012</v>
      </c>
      <c r="D11" s="52">
        <f t="shared" si="0"/>
        <v>0.30557268052211978</v>
      </c>
      <c r="E11" s="52">
        <f t="shared" si="10"/>
        <v>6.6383464856007031</v>
      </c>
      <c r="F11" s="68"/>
      <c r="G11" s="68"/>
      <c r="H11" s="68"/>
      <c r="I11" s="40"/>
      <c r="J11" s="40"/>
      <c r="K11" s="40"/>
      <c r="L11" s="73">
        <f>Audio!M17</f>
        <v>6.4180999999999999</v>
      </c>
      <c r="M11" s="73">
        <f t="shared" si="5"/>
        <v>-0.22024648560070315</v>
      </c>
      <c r="N11" s="70">
        <f t="shared" si="6"/>
        <v>-3.431646213064663</v>
      </c>
      <c r="O11" s="74">
        <f t="shared" si="11"/>
        <v>0.60630000000000006</v>
      </c>
      <c r="P11" s="74">
        <f t="shared" si="12"/>
        <v>-4.8453610442394934E-3</v>
      </c>
      <c r="Q11" s="72">
        <f t="shared" si="7"/>
        <v>-0.79916890058378576</v>
      </c>
      <c r="R11" s="69">
        <f>Audio!B36</f>
        <v>45.030962025000015</v>
      </c>
      <c r="S11" s="73">
        <f t="shared" si="13"/>
        <v>-0.72262288492199644</v>
      </c>
      <c r="T11" s="70">
        <f t="shared" si="14"/>
        <v>-1.5793798154716618</v>
      </c>
      <c r="U11" s="40"/>
      <c r="V11" s="40"/>
      <c r="W11" s="40"/>
      <c r="X11" s="79"/>
      <c r="Y11" s="79"/>
      <c r="Z11" s="79"/>
    </row>
    <row r="12" spans="1:26" x14ac:dyDescent="0.2">
      <c r="B12" s="16">
        <v>9</v>
      </c>
      <c r="C12" s="78">
        <f t="shared" si="9"/>
        <v>37.060403777036832</v>
      </c>
      <c r="D12" s="52">
        <f t="shared" si="0"/>
        <v>0.27501541246990785</v>
      </c>
      <c r="E12" s="52">
        <f t="shared" si="10"/>
        <v>7.1883773105405186</v>
      </c>
      <c r="F12" s="68"/>
      <c r="G12" s="68"/>
      <c r="H12" s="68"/>
      <c r="I12" s="40"/>
      <c r="J12" s="40"/>
      <c r="K12" s="40"/>
      <c r="L12" s="73">
        <f>Audio!M19</f>
        <v>6.9711000000000016</v>
      </c>
      <c r="M12" s="73">
        <f t="shared" si="5"/>
        <v>-0.21727731054051702</v>
      </c>
      <c r="N12" s="70">
        <f t="shared" si="6"/>
        <v>-3.1168296329204424</v>
      </c>
      <c r="O12" s="74">
        <f t="shared" si="11"/>
        <v>0.55300000000000171</v>
      </c>
      <c r="P12" s="74">
        <f t="shared" si="12"/>
        <v>2.9691750601860134E-3</v>
      </c>
      <c r="Q12" s="72">
        <f t="shared" si="7"/>
        <v>0.53692134903906041</v>
      </c>
      <c r="R12" s="69">
        <f>Audio!B37</f>
        <v>37.461602500000232</v>
      </c>
      <c r="S12" s="73">
        <f t="shared" si="13"/>
        <v>0.4011987229634002</v>
      </c>
      <c r="T12" s="70">
        <f t="shared" si="14"/>
        <v>1.0825535668124286</v>
      </c>
      <c r="U12" s="40"/>
      <c r="V12" s="40"/>
      <c r="W12" s="40"/>
      <c r="X12" s="79"/>
      <c r="Y12" s="79"/>
      <c r="Z12" s="79"/>
    </row>
    <row r="13" spans="1:26" x14ac:dyDescent="0.2">
      <c r="B13" s="16">
        <v>10</v>
      </c>
      <c r="C13" s="78">
        <f t="shared" si="9"/>
        <v>30.018927059399836</v>
      </c>
      <c r="D13" s="52">
        <f t="shared" si="0"/>
        <v>0.24751387122291707</v>
      </c>
      <c r="E13" s="52">
        <f t="shared" si="10"/>
        <v>7.6834050529863527</v>
      </c>
      <c r="F13" s="68"/>
      <c r="G13" s="68"/>
      <c r="H13" s="68"/>
      <c r="I13" s="40"/>
      <c r="J13" s="40"/>
      <c r="K13" s="40"/>
      <c r="L13" s="73">
        <f>Audio!M21</f>
        <v>7.4764999999999997</v>
      </c>
      <c r="M13" s="73">
        <f t="shared" si="5"/>
        <v>-0.20690505298635298</v>
      </c>
      <c r="N13" s="70">
        <f t="shared" si="6"/>
        <v>-2.7674052429124991</v>
      </c>
      <c r="O13" s="74">
        <f t="shared" si="11"/>
        <v>0.50539999999999807</v>
      </c>
      <c r="P13" s="74">
        <f t="shared" si="12"/>
        <v>1.0372257554163933E-2</v>
      </c>
      <c r="Q13" s="72">
        <f t="shared" si="7"/>
        <v>2.0522868132496979</v>
      </c>
      <c r="R13" s="69">
        <f>Audio!B38</f>
        <v>31.290072099999762</v>
      </c>
      <c r="S13" s="73">
        <f t="shared" si="13"/>
        <v>1.2711450405999258</v>
      </c>
      <c r="T13" s="70">
        <f t="shared" si="14"/>
        <v>4.2344785944036323</v>
      </c>
      <c r="U13" s="40"/>
      <c r="V13" s="40"/>
      <c r="W13" s="40"/>
      <c r="X13" s="79"/>
      <c r="Y13" s="79"/>
      <c r="Z13" s="79"/>
    </row>
    <row r="14" spans="1:26" x14ac:dyDescent="0.2">
      <c r="I14" s="52"/>
    </row>
    <row r="16" spans="1:26" ht="12.75" customHeight="1" x14ac:dyDescent="0.2">
      <c r="C16" s="104" t="s">
        <v>63</v>
      </c>
      <c r="D16" s="104"/>
      <c r="E16" s="104"/>
      <c r="F16" s="104"/>
      <c r="G16" s="104"/>
    </row>
    <row r="17" spans="3:7" x14ac:dyDescent="0.2">
      <c r="C17" s="104"/>
      <c r="D17" s="104"/>
      <c r="E17" s="104"/>
      <c r="F17" s="104"/>
      <c r="G17" s="104"/>
    </row>
    <row r="18" spans="3:7" x14ac:dyDescent="0.2">
      <c r="C18" s="104"/>
      <c r="D18" s="104"/>
      <c r="E18" s="104"/>
      <c r="F18" s="104"/>
      <c r="G18" s="104"/>
    </row>
    <row r="19" spans="3:7" x14ac:dyDescent="0.2">
      <c r="C19" s="104"/>
      <c r="D19" s="104"/>
      <c r="E19" s="104"/>
      <c r="F19" s="104"/>
      <c r="G19" s="104"/>
    </row>
    <row r="20" spans="3:7" x14ac:dyDescent="0.2">
      <c r="C20" s="104"/>
      <c r="D20" s="104"/>
      <c r="E20" s="104"/>
      <c r="F20" s="104"/>
      <c r="G20" s="104"/>
    </row>
    <row r="21" spans="3:7" x14ac:dyDescent="0.2">
      <c r="C21" s="104"/>
      <c r="D21" s="104"/>
      <c r="E21" s="104"/>
      <c r="F21" s="104"/>
      <c r="G21" s="104"/>
    </row>
    <row r="22" spans="3:7" x14ac:dyDescent="0.2">
      <c r="C22" s="104"/>
      <c r="D22" s="104"/>
      <c r="E22" s="104"/>
      <c r="F22" s="104"/>
      <c r="G22" s="104"/>
    </row>
    <row r="23" spans="3:7" x14ac:dyDescent="0.2">
      <c r="C23" s="104"/>
      <c r="D23" s="104"/>
      <c r="E23" s="104"/>
      <c r="F23" s="104"/>
      <c r="G23" s="104"/>
    </row>
    <row r="24" spans="3:7" x14ac:dyDescent="0.2">
      <c r="C24" s="104"/>
      <c r="D24" s="104"/>
      <c r="E24" s="104"/>
      <c r="F24" s="104"/>
      <c r="G24" s="104"/>
    </row>
    <row r="25" spans="3:7" x14ac:dyDescent="0.2">
      <c r="C25" s="104"/>
      <c r="D25" s="104"/>
      <c r="E25" s="104"/>
      <c r="F25" s="104"/>
      <c r="G25" s="104"/>
    </row>
    <row r="26" spans="3:7" x14ac:dyDescent="0.2">
      <c r="C26" s="104"/>
      <c r="D26" s="104"/>
      <c r="E26" s="104"/>
      <c r="F26" s="104"/>
      <c r="G26" s="104"/>
    </row>
    <row r="27" spans="3:7" x14ac:dyDescent="0.2">
      <c r="C27" s="104"/>
      <c r="D27" s="104"/>
      <c r="E27" s="104"/>
      <c r="F27" s="104"/>
      <c r="G27" s="104"/>
    </row>
    <row r="28" spans="3:7" x14ac:dyDescent="0.2">
      <c r="C28" s="104"/>
      <c r="D28" s="104"/>
      <c r="E28" s="104"/>
      <c r="F28" s="104"/>
      <c r="G28" s="104"/>
    </row>
    <row r="29" spans="3:7" x14ac:dyDescent="0.2">
      <c r="C29" s="104"/>
      <c r="D29" s="104"/>
      <c r="E29" s="104"/>
      <c r="F29" s="104"/>
      <c r="G29" s="104"/>
    </row>
  </sheetData>
  <sheetProtection selectLockedCells="1" selectUnlockedCells="1"/>
  <mergeCells count="2">
    <mergeCell ref="C2:E2"/>
    <mergeCell ref="C16:G29"/>
  </mergeCell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zoomScale="90" zoomScaleNormal="90" workbookViewId="0">
      <selection activeCell="L23" sqref="L23"/>
    </sheetView>
  </sheetViews>
  <sheetFormatPr defaultColWidth="11.5703125" defaultRowHeight="12.75" x14ac:dyDescent="0.2"/>
  <cols>
    <col min="1" max="8" width="11.5703125" style="9"/>
    <col min="9" max="9" width="12.7109375" style="9" customWidth="1"/>
    <col min="10" max="16384" width="11.5703125" style="9"/>
  </cols>
  <sheetData>
    <row r="1" spans="1:23" x14ac:dyDescent="0.2">
      <c r="A1" s="80" t="s">
        <v>64</v>
      </c>
    </row>
    <row r="3" spans="1:23" ht="96.2" customHeight="1" x14ac:dyDescent="0.2">
      <c r="A3" s="64" t="s">
        <v>12</v>
      </c>
      <c r="B3" s="64" t="s">
        <v>65</v>
      </c>
      <c r="C3" s="64" t="s">
        <v>66</v>
      </c>
      <c r="D3" s="64" t="s">
        <v>67</v>
      </c>
      <c r="E3" s="64" t="s">
        <v>68</v>
      </c>
      <c r="F3" s="64" t="s">
        <v>69</v>
      </c>
      <c r="G3" s="64" t="s">
        <v>70</v>
      </c>
      <c r="H3" s="64" t="s">
        <v>71</v>
      </c>
      <c r="I3" s="64" t="s">
        <v>72</v>
      </c>
      <c r="J3" s="64" t="s">
        <v>73</v>
      </c>
    </row>
    <row r="4" spans="1:23" x14ac:dyDescent="0.2">
      <c r="A4" s="9">
        <v>1</v>
      </c>
      <c r="B4" s="81">
        <v>0</v>
      </c>
      <c r="C4" s="9">
        <f>Simulation!C4</f>
        <v>200</v>
      </c>
      <c r="E4" s="78">
        <f t="shared" ref="E4:E9" si="0">3 + (37/5)*B4</f>
        <v>3</v>
      </c>
      <c r="F4" s="9">
        <v>0</v>
      </c>
      <c r="G4"/>
      <c r="H4"/>
      <c r="I4" s="81"/>
      <c r="J4" s="78"/>
    </row>
    <row r="5" spans="1:23" x14ac:dyDescent="0.2">
      <c r="A5" s="9">
        <v>2</v>
      </c>
      <c r="B5" s="81">
        <f>Simulation!E4+Simulation!D5</f>
        <v>1.2138654734998859</v>
      </c>
      <c r="C5" s="78">
        <f>Simulation!C5</f>
        <v>162</v>
      </c>
      <c r="D5" s="78">
        <f>G5*(82/67)</f>
        <v>51.402985074626862</v>
      </c>
      <c r="E5" s="78">
        <f t="shared" si="0"/>
        <v>11.982604503899156</v>
      </c>
      <c r="F5" s="78">
        <f>C5-H5</f>
        <v>1</v>
      </c>
      <c r="G5">
        <v>42</v>
      </c>
      <c r="H5">
        <v>161</v>
      </c>
      <c r="I5" s="81">
        <f>ATAN(F5/D5 )</f>
        <v>1.9451669448485292E-2</v>
      </c>
      <c r="J5" s="78">
        <f>TAN(I5)*E5</f>
        <v>0.23311106322916475</v>
      </c>
    </row>
    <row r="6" spans="1:23" x14ac:dyDescent="0.2">
      <c r="A6" s="9">
        <v>3</v>
      </c>
      <c r="B6" s="81">
        <f>Simulation!E5+Simulation!D6</f>
        <v>2.3063443996497832</v>
      </c>
      <c r="C6" s="78">
        <f>Simulation!C6</f>
        <v>131.22</v>
      </c>
      <c r="D6" s="78">
        <f>G6*(82/67)</f>
        <v>80.776119402985074</v>
      </c>
      <c r="E6" s="78">
        <f t="shared" si="0"/>
        <v>20.066948557408395</v>
      </c>
      <c r="F6" s="78">
        <f>C6-H6</f>
        <v>9.2199999999999989</v>
      </c>
      <c r="G6">
        <v>66</v>
      </c>
      <c r="H6">
        <v>122</v>
      </c>
      <c r="I6" s="81">
        <f>ATAN(F6/D6 )</f>
        <v>0.1136507811066929</v>
      </c>
      <c r="J6" s="78">
        <f>TAN(I6)*E6</f>
        <v>2.2904946049248815</v>
      </c>
    </row>
    <row r="7" spans="1:23" x14ac:dyDescent="0.2">
      <c r="A7" s="9">
        <v>4</v>
      </c>
      <c r="B7" s="81">
        <f>Simulation!E6+Simulation!D7</f>
        <v>3.2895754331846909</v>
      </c>
      <c r="C7" s="78">
        <f>Simulation!C7</f>
        <v>106.2882</v>
      </c>
      <c r="D7" s="78">
        <f>G7*(82/67)</f>
        <v>90.567164179104481</v>
      </c>
      <c r="E7" s="78">
        <f t="shared" si="0"/>
        <v>27.342858205566714</v>
      </c>
      <c r="F7" s="78">
        <f>C7-H7</f>
        <v>5.2882000000000033</v>
      </c>
      <c r="G7">
        <v>74</v>
      </c>
      <c r="H7">
        <v>101</v>
      </c>
      <c r="I7" s="81">
        <f>ATAN(F7/D7 )</f>
        <v>5.8323593332261475E-2</v>
      </c>
      <c r="J7" s="78">
        <f>TAN(I7)*E7</f>
        <v>1.5965444438199448</v>
      </c>
    </row>
    <row r="8" spans="1:23" x14ac:dyDescent="0.2">
      <c r="A8" s="9">
        <v>5</v>
      </c>
      <c r="B8" s="81">
        <f>Simulation!E7+Simulation!D8</f>
        <v>4.1744833633661083</v>
      </c>
      <c r="C8" s="78">
        <f>Simulation!C8</f>
        <v>86.09344200000001</v>
      </c>
      <c r="D8" s="78">
        <f>G8*(82/67)</f>
        <v>85.671641791044777</v>
      </c>
      <c r="E8" s="78">
        <f t="shared" si="0"/>
        <v>33.8911768889092</v>
      </c>
      <c r="F8" s="78">
        <f>C8-H8</f>
        <v>16.09344200000001</v>
      </c>
      <c r="G8">
        <v>70</v>
      </c>
      <c r="H8">
        <v>70</v>
      </c>
      <c r="I8" s="81">
        <f>ATAN(F8/D8 )</f>
        <v>0.18568631335713551</v>
      </c>
      <c r="J8" s="78">
        <f>TAN(I8)*E8</f>
        <v>6.3664671082609523</v>
      </c>
    </row>
    <row r="9" spans="1:23" x14ac:dyDescent="0.2">
      <c r="A9" s="9">
        <v>6</v>
      </c>
      <c r="B9" s="81">
        <f>Simulation!E8+Simulation!D9</f>
        <v>4.9709005005293836</v>
      </c>
      <c r="C9" s="78">
        <f>Simulation!C9</f>
        <v>69.735688020000012</v>
      </c>
      <c r="D9" s="78">
        <f>G9*(82/67)</f>
        <v>203.1641791044776</v>
      </c>
      <c r="E9" s="78">
        <f t="shared" si="0"/>
        <v>39.784663703917438</v>
      </c>
      <c r="F9" s="78">
        <f>C9-H9</f>
        <v>16.735688020000012</v>
      </c>
      <c r="G9">
        <v>166</v>
      </c>
      <c r="H9">
        <v>53</v>
      </c>
      <c r="I9" s="81">
        <f>ATAN(F9/D9 )</f>
        <v>8.2189622076829463E-2</v>
      </c>
      <c r="J9" s="78">
        <f>TAN(I9)*E9</f>
        <v>3.2772692640220753</v>
      </c>
    </row>
    <row r="10" spans="1:23" x14ac:dyDescent="0.2">
      <c r="B10" s="81"/>
      <c r="C10" s="78"/>
    </row>
    <row r="11" spans="1:23" x14ac:dyDescent="0.2">
      <c r="B11" s="81"/>
      <c r="C11" s="78"/>
    </row>
    <row r="12" spans="1:23" x14ac:dyDescent="0.2">
      <c r="B12" s="81"/>
      <c r="C12" s="78"/>
    </row>
    <row r="13" spans="1:23" x14ac:dyDescent="0.2">
      <c r="B13" s="81"/>
      <c r="C13" s="78"/>
    </row>
    <row r="14" spans="1:23" x14ac:dyDescent="0.2">
      <c r="A14" s="82" t="s">
        <v>74</v>
      </c>
    </row>
    <row r="15" spans="1:23" ht="54.75" x14ac:dyDescent="0.2">
      <c r="A15" s="64" t="s">
        <v>12</v>
      </c>
      <c r="B15" s="64" t="s">
        <v>65</v>
      </c>
      <c r="C15" s="64" t="s">
        <v>66</v>
      </c>
      <c r="D15" s="64" t="s">
        <v>67</v>
      </c>
      <c r="E15" s="64" t="s">
        <v>68</v>
      </c>
      <c r="F15" s="64" t="s">
        <v>71</v>
      </c>
      <c r="G15" s="64" t="s">
        <v>69</v>
      </c>
      <c r="H15" s="64" t="s">
        <v>75</v>
      </c>
      <c r="I15" s="64" t="s">
        <v>73</v>
      </c>
      <c r="L15"/>
      <c r="M15"/>
      <c r="N15"/>
      <c r="O15"/>
      <c r="P15"/>
      <c r="Q15"/>
      <c r="R15"/>
      <c r="S15"/>
      <c r="T15"/>
      <c r="U15"/>
      <c r="V15"/>
      <c r="W15"/>
    </row>
    <row r="16" spans="1:23" x14ac:dyDescent="0.2">
      <c r="A16" s="9">
        <v>1</v>
      </c>
      <c r="B16" s="81">
        <v>0</v>
      </c>
      <c r="C16" s="78">
        <f>Simulation!C4</f>
        <v>200</v>
      </c>
      <c r="D16" s="9">
        <v>250</v>
      </c>
      <c r="E16" s="78">
        <f t="shared" ref="E16:E21" si="1">3 + (37/5)*B16</f>
        <v>3</v>
      </c>
      <c r="F16">
        <v>120</v>
      </c>
      <c r="G16" s="78">
        <f t="shared" ref="G16:G21" si="2">F16-C16</f>
        <v>-80</v>
      </c>
      <c r="H16" s="81"/>
      <c r="I16" s="78"/>
      <c r="L16"/>
      <c r="M16"/>
      <c r="N16"/>
      <c r="O16"/>
      <c r="P16"/>
      <c r="Q16"/>
      <c r="R16"/>
      <c r="S16"/>
      <c r="T16"/>
      <c r="U16"/>
      <c r="V16"/>
      <c r="W16"/>
    </row>
    <row r="17" spans="1:23" x14ac:dyDescent="0.2">
      <c r="A17" s="9">
        <v>2</v>
      </c>
      <c r="B17" s="81">
        <f>Simulation!E4+Simulation!D5</f>
        <v>1.2138654734998859</v>
      </c>
      <c r="C17" s="78">
        <f>Simulation!C5</f>
        <v>162</v>
      </c>
      <c r="D17" s="9">
        <v>250</v>
      </c>
      <c r="E17" s="78">
        <f t="shared" si="1"/>
        <v>11.982604503899156</v>
      </c>
      <c r="F17">
        <v>120</v>
      </c>
      <c r="G17" s="78">
        <f t="shared" si="2"/>
        <v>-42</v>
      </c>
      <c r="H17" s="81">
        <f>ATAN(G17/D17 )</f>
        <v>-0.16644569354854338</v>
      </c>
      <c r="I17" s="78">
        <f>TAN(H17)*E17</f>
        <v>-2.0130775566550581</v>
      </c>
      <c r="L17"/>
      <c r="M17"/>
      <c r="N17"/>
      <c r="O17"/>
      <c r="P17"/>
      <c r="Q17"/>
      <c r="R17"/>
      <c r="S17"/>
      <c r="T17"/>
      <c r="U17"/>
      <c r="V17"/>
      <c r="W17"/>
    </row>
    <row r="18" spans="1:23" x14ac:dyDescent="0.2">
      <c r="A18" s="9">
        <v>3</v>
      </c>
      <c r="B18" s="81">
        <f>Simulation!E5+Simulation!D6</f>
        <v>2.3063443996497832</v>
      </c>
      <c r="C18" s="78">
        <f>Simulation!C6</f>
        <v>131.22</v>
      </c>
      <c r="D18" s="9">
        <v>250</v>
      </c>
      <c r="E18" s="78">
        <f t="shared" si="1"/>
        <v>20.066948557408395</v>
      </c>
      <c r="F18">
        <v>120</v>
      </c>
      <c r="G18" s="78">
        <f t="shared" si="2"/>
        <v>-11.219999999999999</v>
      </c>
      <c r="H18" s="81">
        <f>ATAN(G18/D18 )</f>
        <v>-4.4849903716432514E-2</v>
      </c>
      <c r="I18" s="78">
        <f>TAN(H18)*E18</f>
        <v>-0.9006046512564887</v>
      </c>
      <c r="L18"/>
      <c r="M18"/>
      <c r="N18"/>
      <c r="O18"/>
      <c r="P18"/>
      <c r="Q18"/>
      <c r="R18"/>
      <c r="S18"/>
      <c r="T18"/>
      <c r="U18"/>
      <c r="V18"/>
      <c r="W18"/>
    </row>
    <row r="19" spans="1:23" x14ac:dyDescent="0.2">
      <c r="A19" s="9">
        <v>4</v>
      </c>
      <c r="B19" s="81">
        <f>Simulation!E6+Simulation!D7</f>
        <v>3.2895754331846909</v>
      </c>
      <c r="C19" s="78">
        <f>Simulation!C7</f>
        <v>106.2882</v>
      </c>
      <c r="D19" s="9">
        <v>250</v>
      </c>
      <c r="E19" s="78">
        <f t="shared" si="1"/>
        <v>27.342858205566714</v>
      </c>
      <c r="F19">
        <v>120</v>
      </c>
      <c r="G19" s="78">
        <f t="shared" si="2"/>
        <v>13.711799999999997</v>
      </c>
      <c r="H19" s="81">
        <f>ATAN(G19/D19 )</f>
        <v>5.4792301657333169E-2</v>
      </c>
      <c r="I19" s="78">
        <f>TAN(H19)*E19</f>
        <v>1.4996792125723581</v>
      </c>
      <c r="L19"/>
      <c r="M19"/>
      <c r="N19"/>
      <c r="O19"/>
      <c r="P19"/>
      <c r="Q19"/>
      <c r="R19"/>
      <c r="S19"/>
      <c r="T19"/>
      <c r="U19"/>
      <c r="V19"/>
      <c r="W19"/>
    </row>
    <row r="20" spans="1:23" x14ac:dyDescent="0.2">
      <c r="A20" s="9">
        <v>5</v>
      </c>
      <c r="B20" s="81">
        <f>Simulation!E7+Simulation!D8</f>
        <v>4.1744833633661083</v>
      </c>
      <c r="C20" s="78">
        <f>Simulation!C8</f>
        <v>86.09344200000001</v>
      </c>
      <c r="D20" s="9">
        <v>250</v>
      </c>
      <c r="E20" s="78">
        <f t="shared" si="1"/>
        <v>33.8911768889092</v>
      </c>
      <c r="F20">
        <v>120</v>
      </c>
      <c r="G20" s="78">
        <f t="shared" si="2"/>
        <v>33.90655799999999</v>
      </c>
      <c r="H20" s="81">
        <f>ATAN(G20/D20 )</f>
        <v>0.13480370001704753</v>
      </c>
      <c r="I20" s="78">
        <f>TAN(H20)*E20</f>
        <v>4.5965326194882357</v>
      </c>
      <c r="L20"/>
      <c r="M20"/>
      <c r="N20"/>
      <c r="O20"/>
      <c r="P20"/>
      <c r="Q20"/>
      <c r="R20"/>
      <c r="S20"/>
      <c r="T20"/>
      <c r="U20"/>
      <c r="V20"/>
      <c r="W20"/>
    </row>
    <row r="21" spans="1:23" x14ac:dyDescent="0.2">
      <c r="A21" s="9">
        <v>6</v>
      </c>
      <c r="B21" s="81">
        <f>Simulation!E8+Simulation!D9</f>
        <v>4.9709005005293836</v>
      </c>
      <c r="C21" s="78">
        <f>Simulation!C9</f>
        <v>69.735688020000012</v>
      </c>
      <c r="D21" s="9">
        <v>250</v>
      </c>
      <c r="E21" s="78">
        <f t="shared" si="1"/>
        <v>39.784663703917438</v>
      </c>
      <c r="F21">
        <v>120</v>
      </c>
      <c r="G21" s="78">
        <f t="shared" si="2"/>
        <v>50.264311979999988</v>
      </c>
      <c r="H21" s="81">
        <f>ATAN(G21/D21 )</f>
        <v>0.19841193739155158</v>
      </c>
      <c r="I21" s="78">
        <f>TAN(H21)*E21</f>
        <v>7.9989949937323521</v>
      </c>
      <c r="L21"/>
      <c r="M21"/>
      <c r="N21"/>
      <c r="O21"/>
      <c r="P21"/>
      <c r="Q21"/>
      <c r="R21"/>
      <c r="S21"/>
      <c r="T21"/>
      <c r="U21"/>
      <c r="V21"/>
      <c r="W21"/>
    </row>
    <row r="22" spans="1:23" x14ac:dyDescent="0.2">
      <c r="L22"/>
      <c r="M22"/>
      <c r="N22"/>
      <c r="O22"/>
      <c r="P22"/>
      <c r="Q22"/>
      <c r="R22"/>
      <c r="S22"/>
      <c r="T22"/>
      <c r="U22"/>
      <c r="V22"/>
      <c r="W22"/>
    </row>
    <row r="23" spans="1:23" x14ac:dyDescent="0.2">
      <c r="L23"/>
      <c r="M23"/>
      <c r="N23"/>
      <c r="O23"/>
      <c r="P23"/>
      <c r="Q23"/>
      <c r="R23"/>
      <c r="S23"/>
      <c r="T23"/>
      <c r="U23"/>
      <c r="V23"/>
      <c r="W23"/>
    </row>
    <row r="24" spans="1:23" x14ac:dyDescent="0.2">
      <c r="L24"/>
      <c r="M24"/>
      <c r="N24"/>
      <c r="O24"/>
      <c r="P24"/>
      <c r="Q24"/>
      <c r="R24"/>
      <c r="S24"/>
      <c r="T24"/>
      <c r="U24"/>
      <c r="V24"/>
      <c r="W24"/>
    </row>
    <row r="25" spans="1:23" x14ac:dyDescent="0.2">
      <c r="L25"/>
      <c r="M25"/>
      <c r="N25"/>
      <c r="O25"/>
      <c r="P25"/>
      <c r="Q25"/>
      <c r="R25"/>
      <c r="S25"/>
      <c r="T25"/>
      <c r="U25"/>
      <c r="V25"/>
      <c r="W25"/>
    </row>
    <row r="26" spans="1:23" x14ac:dyDescent="0.2">
      <c r="B26" s="95" t="s">
        <v>76</v>
      </c>
      <c r="C26" s="95"/>
      <c r="D26" s="95"/>
      <c r="E26" s="29"/>
      <c r="F26" s="29"/>
      <c r="H26" s="95" t="s">
        <v>77</v>
      </c>
      <c r="I26" s="95"/>
      <c r="J26" s="29"/>
      <c r="K26" s="29"/>
      <c r="L26" s="29"/>
      <c r="M26"/>
      <c r="N26"/>
      <c r="O26"/>
      <c r="P26"/>
      <c r="Q26"/>
      <c r="R26"/>
      <c r="S26"/>
      <c r="T26"/>
      <c r="U26"/>
      <c r="V26"/>
      <c r="W26"/>
    </row>
    <row r="27" spans="1:23" ht="12.75" customHeight="1" x14ac:dyDescent="0.2">
      <c r="A27" s="15" t="s">
        <v>12</v>
      </c>
      <c r="B27" s="28" t="s">
        <v>20</v>
      </c>
      <c r="C27" s="28" t="s">
        <v>11</v>
      </c>
      <c r="D27" s="28" t="s">
        <v>21</v>
      </c>
      <c r="E27" s="28" t="s">
        <v>22</v>
      </c>
      <c r="F27" s="28" t="s">
        <v>11</v>
      </c>
      <c r="G27" s="15" t="s">
        <v>12</v>
      </c>
      <c r="H27" s="28" t="s">
        <v>20</v>
      </c>
      <c r="I27" s="28" t="s">
        <v>11</v>
      </c>
      <c r="J27" s="28" t="s">
        <v>21</v>
      </c>
      <c r="K27" s="28" t="s">
        <v>22</v>
      </c>
      <c r="L27" s="28" t="s">
        <v>11</v>
      </c>
      <c r="M27"/>
      <c r="N27" s="105" t="s">
        <v>78</v>
      </c>
      <c r="O27" s="105"/>
      <c r="P27" s="105"/>
      <c r="Q27" s="105"/>
      <c r="R27"/>
      <c r="S27"/>
      <c r="T27"/>
      <c r="U27"/>
      <c r="V27"/>
      <c r="W27"/>
    </row>
    <row r="28" spans="1:23" x14ac:dyDescent="0.2">
      <c r="A28" s="16">
        <v>1</v>
      </c>
      <c r="B28" s="30">
        <v>200</v>
      </c>
      <c r="C28" s="30">
        <v>3</v>
      </c>
      <c r="D28" s="31">
        <f t="shared" ref="D28:D33" si="3">LN(B28/200)</f>
        <v>0</v>
      </c>
      <c r="E28" s="32">
        <f>SQRT(B29/B28)</f>
        <v>0.89940792314540174</v>
      </c>
      <c r="F28" s="32">
        <f>SQRT(((B28^-0.5 * B29^-0.5) / 2)^2 *C30^2 + ((B29^0.5 * B28^-1.5) / 2)^2 *C29^2)</f>
        <v>3.5839304100884215E-3</v>
      </c>
      <c r="G28" s="16">
        <v>1</v>
      </c>
      <c r="H28" s="30">
        <v>200</v>
      </c>
      <c r="I28" s="30">
        <v>3</v>
      </c>
      <c r="J28" s="31">
        <f t="shared" ref="J28:J33" si="4">LN(H28/200)</f>
        <v>0</v>
      </c>
      <c r="K28" s="32">
        <f>SQRT(H29/H28)</f>
        <v>0.88289234261572291</v>
      </c>
      <c r="L28" s="32">
        <f>SQRT(((H28^-0.5 * H29^-0.5) / 2)^2 *I29^2 + ((H29^0.5 * H28^-1.5) / 2)^2 *I28^2)</f>
        <v>6.8924170619637515E-3</v>
      </c>
      <c r="M28"/>
      <c r="N28" s="105"/>
      <c r="O28" s="105"/>
      <c r="P28" s="105"/>
      <c r="Q28" s="105"/>
      <c r="R28"/>
      <c r="S28"/>
      <c r="T28"/>
      <c r="U28"/>
      <c r="V28"/>
      <c r="W28"/>
    </row>
    <row r="29" spans="1:23" x14ac:dyDescent="0.2">
      <c r="A29" s="16">
        <v>2</v>
      </c>
      <c r="B29" s="33">
        <f>Heights!C34+I17</f>
        <v>161.78692244334496</v>
      </c>
      <c r="C29" s="33">
        <f>Heights!P5</f>
        <v>1.0024420182733764</v>
      </c>
      <c r="D29" s="31">
        <f t="shared" si="3"/>
        <v>-0.21203719063305929</v>
      </c>
      <c r="E29" s="32">
        <f>SQRT(B30/B29)</f>
        <v>0.90086487951261696</v>
      </c>
      <c r="F29" s="32">
        <f>SQRT(((B29^-0.5 * B30^-0.5) / 2)^2 *C31^2 + ((B30^0.5 * B29^-1.5) / 2)^2 *C30^2)</f>
        <v>4.5748886680391891E-3</v>
      </c>
      <c r="G29" s="16">
        <v>2</v>
      </c>
      <c r="H29" s="33">
        <f>Heights!I34+J5</f>
        <v>155.89977772989582</v>
      </c>
      <c r="I29" s="33">
        <f>Heights!T18</f>
        <v>0.67549981495186207</v>
      </c>
      <c r="J29" s="31">
        <f t="shared" si="4"/>
        <v>-0.2491040162076068</v>
      </c>
      <c r="K29" s="32">
        <f>SQRT(H30/H29)</f>
        <v>0.92464886680237934</v>
      </c>
      <c r="L29" s="32">
        <f>SQRT(((H29^-0.5 * H30^-0.5) / 2)^2 *I30^2 + ((H30^0.5 * H29^-1.5) / 2)^2 *I29^2)</f>
        <v>3.4996212602365216E-3</v>
      </c>
      <c r="M29"/>
      <c r="N29" s="105"/>
      <c r="O29" s="105"/>
      <c r="P29" s="105"/>
      <c r="Q29" s="105"/>
      <c r="R29"/>
      <c r="S29"/>
      <c r="T29"/>
      <c r="U29"/>
      <c r="V29"/>
      <c r="W29"/>
    </row>
    <row r="30" spans="1:23" ht="15" x14ac:dyDescent="0.25">
      <c r="A30" s="16">
        <v>3</v>
      </c>
      <c r="B30" s="33">
        <f>Heights!C35+I18</f>
        <v>131.2993953487435</v>
      </c>
      <c r="C30" s="33">
        <f>Heights!P7</f>
        <v>1.0024420182733764</v>
      </c>
      <c r="D30" s="31">
        <f t="shared" si="3"/>
        <v>-0.42083719036227735</v>
      </c>
      <c r="E30" s="32">
        <f>SQRT(B31/B30)</f>
        <v>0.90109217508623485</v>
      </c>
      <c r="F30" s="32">
        <f>SQRT(((B30^-0.5 * B31^-0.5) / 2)^2 *C32^2 + ((B31^0.5 * B30^-1.5) / 2)^2 *C31^2)</f>
        <v>5.9649781783168588E-3</v>
      </c>
      <c r="G30" s="16">
        <v>3</v>
      </c>
      <c r="H30" s="33">
        <f>Heights!I35+J6</f>
        <v>133.29049460492487</v>
      </c>
      <c r="I30" s="33">
        <f>Heights!T20</f>
        <v>0.8273149339882605</v>
      </c>
      <c r="J30" s="31">
        <f t="shared" si="4"/>
        <v>-0.40578645019606663</v>
      </c>
      <c r="K30" s="32">
        <f>SQRT(H31/H30)</f>
        <v>0.90054685883676611</v>
      </c>
      <c r="L30" s="32">
        <f>SQRT(((H30^-0.5 * H31^-0.5) / 2)^2 *I31^2 + ((H31^0.5 * H30^-1.5) / 2)^2 *I30^2)</f>
        <v>3.0037721494242647E-3</v>
      </c>
      <c r="M30" s="10"/>
      <c r="N30" s="105"/>
      <c r="O30" s="105"/>
      <c r="P30" s="105"/>
      <c r="Q30" s="105"/>
      <c r="R30" s="8"/>
      <c r="S30" s="83"/>
      <c r="T30" s="83"/>
      <c r="U30" s="84"/>
      <c r="V30" s="84"/>
      <c r="W30" s="85"/>
    </row>
    <row r="31" spans="1:23" ht="15" x14ac:dyDescent="0.25">
      <c r="A31" s="16">
        <v>4</v>
      </c>
      <c r="B31" s="33">
        <f>Heights!C36+I19</f>
        <v>106.61079032368347</v>
      </c>
      <c r="C31" s="33">
        <f>Heights!P9</f>
        <v>1.0566666666666666</v>
      </c>
      <c r="D31" s="31">
        <f t="shared" si="3"/>
        <v>-0.62913263739032355</v>
      </c>
      <c r="E31" s="32">
        <f>SQRT(B32/B31)</f>
        <v>0.89144862689347726</v>
      </c>
      <c r="F31" s="32">
        <f>SQRT(((B31^-0.5 * B32^-0.5) / 2)^2 *C33^2 + ((B32^0.5 * B31^-1.5) / 2)^2 *C32^2)</f>
        <v>7.5315200589902093E-3</v>
      </c>
      <c r="G31" s="16">
        <v>4</v>
      </c>
      <c r="H31" s="33">
        <f>Heights!I36+J7</f>
        <v>108.09654444381995</v>
      </c>
      <c r="I31" s="34">
        <f>Heights!T22</f>
        <v>0.26427606159978595</v>
      </c>
      <c r="J31" s="31">
        <f t="shared" si="4"/>
        <v>-0.61529260870594427</v>
      </c>
      <c r="K31" s="32">
        <f>SQRT(H32/H31)</f>
        <v>0.90822797409052436</v>
      </c>
      <c r="L31" s="32">
        <f>SQRT(((H31^-0.5 * H32^-0.5) / 2)^2 *I32^2 + ((H32^0.5 * H31^-1.5) / 2)^2 *I31^2)</f>
        <v>1.8257955233994851E-3</v>
      </c>
      <c r="M31"/>
      <c r="N31" s="105"/>
      <c r="O31" s="105"/>
      <c r="P31" s="105"/>
      <c r="Q31" s="105"/>
      <c r="R31"/>
      <c r="S31" s="74"/>
      <c r="T31" s="86"/>
      <c r="U31" s="84"/>
      <c r="V31" s="84"/>
      <c r="W31" s="85"/>
    </row>
    <row r="32" spans="1:23" ht="15" x14ac:dyDescent="0.25">
      <c r="A32" s="16">
        <v>5</v>
      </c>
      <c r="B32" s="33">
        <f>Heights!C37+I20</f>
        <v>84.721532619488229</v>
      </c>
      <c r="C32" s="33">
        <f>Heights!P11</f>
        <v>1.1207642481806779</v>
      </c>
      <c r="D32" s="31">
        <f t="shared" si="3"/>
        <v>-0.8589475750090696</v>
      </c>
      <c r="E32" s="32">
        <f>SQRT(B33/B32)</f>
        <v>0.91543855375683736</v>
      </c>
      <c r="F32" s="32">
        <f>SQRT(((B32^-0.5 * B33^-0.5) / 2)^2 *C33^2 + ((B33^0.5 * B32^-1.5) / 2)^2 *C33^2)</f>
        <v>9.4270998857240319E-3</v>
      </c>
      <c r="G32" s="16">
        <v>5</v>
      </c>
      <c r="H32" s="33">
        <f>Heights!I37+J8</f>
        <v>89.166467108260946</v>
      </c>
      <c r="I32" s="34">
        <f>Heights!T24</f>
        <v>0.28460498941515411</v>
      </c>
      <c r="J32" s="31">
        <f t="shared" si="4"/>
        <v>-0.80781232692078453</v>
      </c>
      <c r="K32" s="32">
        <f>SQRT(H33/H32)</f>
        <v>0.9055019750333313</v>
      </c>
      <c r="L32" s="32">
        <f>SQRT(((H32^-0.5 * H33^-0.5) / 2)^2 *I33^2 + ((H33^0.5 * H32^-1.5) / 2)^2 *I32^2)</f>
        <v>5.6732311847719008E-3</v>
      </c>
      <c r="M32"/>
      <c r="N32" s="105"/>
      <c r="O32" s="105"/>
      <c r="P32" s="105"/>
      <c r="Q32" s="105"/>
      <c r="R32"/>
      <c r="S32" s="74"/>
      <c r="T32" s="86"/>
      <c r="U32" s="84"/>
      <c r="V32" s="84"/>
      <c r="W32" s="85"/>
    </row>
    <row r="33" spans="1:17" x14ac:dyDescent="0.2">
      <c r="A33" s="16">
        <v>6</v>
      </c>
      <c r="B33" s="33">
        <f>Heights!C38+I21</f>
        <v>70.998994993732353</v>
      </c>
      <c r="C33" s="33">
        <f>Heights!P13</f>
        <v>1.1207642481806779</v>
      </c>
      <c r="D33" s="31">
        <f t="shared" si="3"/>
        <v>-1.0356516446247586</v>
      </c>
      <c r="E33" s="36">
        <f>AVERAGE(E28:E32)</f>
        <v>0.90165043167891368</v>
      </c>
      <c r="F33" s="36">
        <f>SQRT((1/5^2)*(SUMSQ(F28:F32)))</f>
        <v>2.9322287416332052E-3</v>
      </c>
      <c r="G33" s="16">
        <v>6</v>
      </c>
      <c r="H33" s="33">
        <f>Heights!I38+J9</f>
        <v>73.11060259735541</v>
      </c>
      <c r="I33" s="33">
        <f>Heights!T26</f>
        <v>0.8858987903065827</v>
      </c>
      <c r="J33" s="31">
        <f t="shared" si="4"/>
        <v>-1.0063439679384485</v>
      </c>
      <c r="K33" s="36">
        <f>AVERAGE(K28:K32)</f>
        <v>0.90436360347574474</v>
      </c>
      <c r="L33" s="36">
        <f>SQRT((1/5^2)*(SUMSQ(L28:L32)))</f>
        <v>2.0424934801946304E-3</v>
      </c>
      <c r="N33" s="105"/>
      <c r="O33" s="105"/>
      <c r="P33" s="105"/>
      <c r="Q33" s="105"/>
    </row>
    <row r="34" spans="1:17" x14ac:dyDescent="0.2">
      <c r="A34"/>
      <c r="B34" s="29"/>
      <c r="C34" s="29"/>
      <c r="D34" s="29"/>
      <c r="E34" s="29"/>
      <c r="F34" s="29"/>
      <c r="G34"/>
      <c r="H34" s="29"/>
      <c r="I34" s="29"/>
      <c r="J34" s="29"/>
      <c r="K34" s="29"/>
      <c r="L34" s="29"/>
      <c r="N34" s="105"/>
      <c r="O34" s="105"/>
      <c r="P34" s="105"/>
      <c r="Q34" s="105"/>
    </row>
    <row r="35" spans="1:17" x14ac:dyDescent="0.2">
      <c r="A35"/>
      <c r="B35" s="29"/>
      <c r="C35" s="29"/>
      <c r="D35" s="30"/>
      <c r="E35" s="30"/>
      <c r="F35" s="31"/>
      <c r="G35"/>
      <c r="H35" s="29"/>
      <c r="I35" s="29"/>
      <c r="J35" s="30"/>
      <c r="K35" s="30"/>
      <c r="L35" s="31"/>
      <c r="N35" s="105"/>
      <c r="O35" s="105"/>
      <c r="P35" s="105"/>
      <c r="Q35" s="105"/>
    </row>
    <row r="36" spans="1:17" x14ac:dyDescent="0.2">
      <c r="A36"/>
      <c r="B36" s="28" t="s">
        <v>23</v>
      </c>
      <c r="C36" s="28" t="s">
        <v>24</v>
      </c>
      <c r="D36" s="30"/>
      <c r="E36" s="30"/>
      <c r="F36" s="31"/>
      <c r="G36"/>
      <c r="H36" s="28" t="s">
        <v>23</v>
      </c>
      <c r="I36" s="28" t="s">
        <v>24</v>
      </c>
      <c r="J36" s="30"/>
      <c r="K36" s="30"/>
      <c r="L36" s="31"/>
      <c r="N36" s="105"/>
      <c r="O36" s="105"/>
      <c r="P36" s="105"/>
      <c r="Q36" s="105"/>
    </row>
    <row r="37" spans="1:17" x14ac:dyDescent="0.2">
      <c r="A37"/>
      <c r="B37" s="32">
        <f>EXP(B39/2)</f>
        <v>0.90061672757484423</v>
      </c>
      <c r="C37" s="32">
        <f>B37/2 *B40</f>
        <v>1.2689298292662041E-3</v>
      </c>
      <c r="D37" s="30"/>
      <c r="E37" s="30"/>
      <c r="F37" s="31"/>
      <c r="G37"/>
      <c r="H37" s="32">
        <f>EXP(H39/2)</f>
        <v>0.90590639142064133</v>
      </c>
      <c r="I37" s="32">
        <f>H37/2 *H40</f>
        <v>2.0944751420319701E-3</v>
      </c>
      <c r="J37" s="30"/>
      <c r="K37" s="30"/>
      <c r="L37" s="31"/>
      <c r="N37" s="105"/>
      <c r="O37" s="105"/>
      <c r="P37" s="105"/>
      <c r="Q37" s="105"/>
    </row>
    <row r="38" spans="1:17" x14ac:dyDescent="0.2">
      <c r="B38" s="36" t="s">
        <v>25</v>
      </c>
      <c r="C38" s="36" t="s">
        <v>26</v>
      </c>
      <c r="D38" s="31"/>
      <c r="E38" s="33"/>
      <c r="F38" s="30"/>
      <c r="H38" s="36" t="s">
        <v>25</v>
      </c>
      <c r="I38" s="36" t="s">
        <v>26</v>
      </c>
      <c r="J38" s="31"/>
      <c r="K38" s="33"/>
      <c r="L38" s="30"/>
    </row>
    <row r="39" spans="1:17" x14ac:dyDescent="0.2">
      <c r="A39" s="9" t="s">
        <v>27</v>
      </c>
      <c r="B39" s="32">
        <f t="array" ref="B39:C40">LINEST(D28:D33,A28:A33,1,1)</f>
        <v>-0.20935099495085344</v>
      </c>
      <c r="C39" s="31">
        <v>0.20662744265807231</v>
      </c>
      <c r="D39" s="30"/>
      <c r="E39" s="30"/>
      <c r="F39" s="30"/>
      <c r="G39" s="9" t="s">
        <v>27</v>
      </c>
      <c r="H39" s="32">
        <f t="array" ref="H39:I40">LINEST(J28:J33,A28:A33,1,1)</f>
        <v>-0.19763859800976155</v>
      </c>
      <c r="I39" s="31">
        <v>0.1776785313726903</v>
      </c>
      <c r="J39" s="30"/>
      <c r="K39" s="30"/>
      <c r="L39" s="30"/>
    </row>
    <row r="40" spans="1:17" x14ac:dyDescent="0.2">
      <c r="A40" s="9" t="s">
        <v>11</v>
      </c>
      <c r="B40" s="32">
        <v>2.8179130820346703E-3</v>
      </c>
      <c r="C40" s="31">
        <v>1.0974194781008568E-2</v>
      </c>
      <c r="D40" s="28"/>
      <c r="E40" s="28"/>
      <c r="F40" s="28"/>
      <c r="G40" s="9" t="s">
        <v>11</v>
      </c>
      <c r="H40" s="32">
        <v>4.6240431944572476E-3</v>
      </c>
      <c r="I40" s="31">
        <v>1.8008061006314094E-2</v>
      </c>
      <c r="J40" s="28"/>
      <c r="K40" s="28"/>
      <c r="L40" s="28"/>
    </row>
  </sheetData>
  <sheetProtection selectLockedCells="1" selectUnlockedCells="1"/>
  <mergeCells count="3">
    <mergeCell ref="B26:D26"/>
    <mergeCell ref="H26:I26"/>
    <mergeCell ref="N27:Q37"/>
  </mergeCell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Heights</vt:lpstr>
      <vt:lpstr>Audio</vt:lpstr>
      <vt:lpstr>Simulation</vt:lpstr>
      <vt:lpstr>Parallax Error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Klimuszka Matthew</dc:creator>
  <cp:lastModifiedBy>UoN User</cp:lastModifiedBy>
  <dcterms:created xsi:type="dcterms:W3CDTF">2015-04-24T12:48:27Z</dcterms:created>
  <dcterms:modified xsi:type="dcterms:W3CDTF">2015-04-24T12:52:47Z</dcterms:modified>
</cp:coreProperties>
</file>