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s\AmortisationSimulator\AmortisationSimulator\Core.Tests\Reference\"/>
    </mc:Choice>
  </mc:AlternateContent>
  <bookViews>
    <workbookView xWindow="0" yWindow="0" windowWidth="24105" windowHeight="14310"/>
  </bookViews>
  <sheets>
    <sheet name="Input" sheetId="7" r:id="rId1"/>
    <sheet name="Creditors" sheetId="1" r:id="rId2"/>
    <sheet name="Amortisation-Summary" sheetId="4" r:id="rId3"/>
    <sheet name="Amortisation-Home" sheetId="2" r:id="rId4"/>
    <sheet name="Amortisation-Vehicle" sheetId="5" r:id="rId5"/>
    <sheet name="Amortisation-CreditCard" sheetId="6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4" l="1"/>
  <c r="C4" i="4"/>
  <c r="C5" i="4"/>
  <c r="G5" i="4" s="1"/>
  <c r="C6" i="4"/>
  <c r="C7" i="4"/>
  <c r="C8" i="4"/>
  <c r="G8" i="4" s="1"/>
  <c r="C9" i="4"/>
  <c r="C10" i="4"/>
  <c r="C11" i="4"/>
  <c r="G11" i="4" s="1"/>
  <c r="C12" i="4"/>
  <c r="C13" i="4"/>
  <c r="C14" i="4"/>
  <c r="G14" i="4" s="1"/>
  <c r="C15" i="4"/>
  <c r="C16" i="4"/>
  <c r="C17" i="4"/>
  <c r="G17" i="4" s="1"/>
  <c r="C18" i="4"/>
  <c r="C19" i="4"/>
  <c r="C20" i="4"/>
  <c r="G20" i="4" s="1"/>
  <c r="C21" i="4"/>
  <c r="C22" i="4"/>
  <c r="C23" i="4"/>
  <c r="G23" i="4" s="1"/>
  <c r="C24" i="4"/>
  <c r="C25" i="4"/>
  <c r="C26" i="4"/>
  <c r="G26" i="4" s="1"/>
  <c r="C27" i="4"/>
  <c r="C28" i="4"/>
  <c r="C29" i="4"/>
  <c r="G29" i="4" s="1"/>
  <c r="C30" i="4"/>
  <c r="C31" i="4"/>
  <c r="C32" i="4"/>
  <c r="G32" i="4" s="1"/>
  <c r="C33" i="4"/>
  <c r="C34" i="4"/>
  <c r="C35" i="4"/>
  <c r="G35" i="4" s="1"/>
  <c r="C36" i="4"/>
  <c r="C37" i="4"/>
  <c r="C38" i="4"/>
  <c r="G38" i="4" s="1"/>
  <c r="C39" i="4"/>
  <c r="C40" i="4"/>
  <c r="C41" i="4"/>
  <c r="G41" i="4" s="1"/>
  <c r="C42" i="4"/>
  <c r="C43" i="4"/>
  <c r="C44" i="4"/>
  <c r="G44" i="4" s="1"/>
  <c r="C2" i="4"/>
  <c r="G2" i="4" s="1"/>
  <c r="G43" i="4"/>
  <c r="G42" i="4"/>
  <c r="G40" i="4"/>
  <c r="G39" i="4"/>
  <c r="G37" i="4"/>
  <c r="G36" i="4"/>
  <c r="G34" i="4"/>
  <c r="G33" i="4"/>
  <c r="G31" i="4"/>
  <c r="G30" i="4"/>
  <c r="G28" i="4"/>
  <c r="G27" i="4"/>
  <c r="G25" i="4"/>
  <c r="G24" i="4"/>
  <c r="G22" i="4"/>
  <c r="G21" i="4"/>
  <c r="G19" i="4"/>
  <c r="G18" i="4"/>
  <c r="G16" i="4"/>
  <c r="G15" i="4"/>
  <c r="G13" i="4"/>
  <c r="G12" i="4"/>
  <c r="G10" i="4"/>
  <c r="G9" i="4"/>
  <c r="G7" i="4"/>
  <c r="G6" i="4"/>
  <c r="G4" i="4"/>
  <c r="G3" i="4"/>
  <c r="K4" i="1"/>
  <c r="K3" i="1"/>
  <c r="K2" i="1"/>
  <c r="N6" i="5" l="1"/>
  <c r="P5" i="5"/>
  <c r="Q1" i="5"/>
  <c r="N6" i="2"/>
  <c r="P5" i="2"/>
  <c r="Q1" i="2"/>
  <c r="N5" i="5"/>
  <c r="N5" i="2"/>
  <c r="N4" i="5"/>
  <c r="N3" i="5"/>
  <c r="N4" i="2"/>
  <c r="N3" i="2"/>
  <c r="D11" i="4"/>
  <c r="D10" i="4"/>
  <c r="D9" i="4"/>
  <c r="D8" i="4"/>
  <c r="D7" i="4"/>
  <c r="D6" i="4"/>
  <c r="N2" i="6"/>
  <c r="M2" i="6"/>
  <c r="L2" i="6"/>
  <c r="K2" i="6"/>
  <c r="J2" i="6"/>
  <c r="I2" i="6"/>
  <c r="E2" i="6"/>
  <c r="C2" i="6"/>
  <c r="D2" i="6"/>
  <c r="A5" i="6"/>
  <c r="A4" i="6"/>
  <c r="A3" i="6"/>
  <c r="H2" i="6"/>
  <c r="O1" i="6"/>
  <c r="N1" i="6"/>
  <c r="M1" i="6"/>
  <c r="L1" i="6"/>
  <c r="K1" i="6"/>
  <c r="J1" i="6"/>
  <c r="I1" i="6"/>
  <c r="H1" i="6"/>
  <c r="E1" i="6"/>
  <c r="D1" i="6"/>
  <c r="C1" i="6"/>
  <c r="N2" i="5"/>
  <c r="M2" i="5"/>
  <c r="L2" i="5"/>
  <c r="K2" i="5"/>
  <c r="J2" i="5"/>
  <c r="I2" i="5"/>
  <c r="E2" i="5"/>
  <c r="D2" i="5"/>
  <c r="C2" i="5"/>
  <c r="A6" i="5"/>
  <c r="A5" i="5"/>
  <c r="A4" i="5"/>
  <c r="A3" i="5"/>
  <c r="H2" i="5"/>
  <c r="O1" i="5"/>
  <c r="N1" i="5"/>
  <c r="M1" i="5"/>
  <c r="L1" i="5"/>
  <c r="K1" i="5"/>
  <c r="J1" i="5"/>
  <c r="I1" i="5"/>
  <c r="H1" i="5"/>
  <c r="E1" i="5"/>
  <c r="D1" i="5"/>
  <c r="C1" i="5"/>
  <c r="O1" i="2"/>
  <c r="A3" i="2"/>
  <c r="A4" i="2"/>
  <c r="A5" i="2"/>
  <c r="A6" i="2"/>
  <c r="C1" i="2"/>
  <c r="D1" i="2"/>
  <c r="E1" i="2"/>
  <c r="H1" i="2"/>
  <c r="I1" i="2"/>
  <c r="J1" i="2"/>
  <c r="K1" i="2"/>
  <c r="L1" i="2"/>
  <c r="M1" i="2"/>
  <c r="N1" i="2"/>
  <c r="C2" i="2"/>
  <c r="D2" i="2"/>
  <c r="E2" i="2"/>
  <c r="H2" i="2"/>
  <c r="I2" i="2"/>
  <c r="J2" i="2"/>
  <c r="K2" i="2"/>
  <c r="L2" i="2"/>
  <c r="M2" i="2"/>
  <c r="N2" i="2"/>
  <c r="H36" i="4"/>
  <c r="H33" i="4"/>
  <c r="H18" i="4"/>
  <c r="H15" i="4"/>
  <c r="H3" i="4"/>
  <c r="O4" i="6" s="1"/>
  <c r="F4" i="6" s="1"/>
  <c r="H6" i="4"/>
  <c r="H7" i="4"/>
  <c r="H9" i="4"/>
  <c r="H12" i="4"/>
  <c r="H13" i="4"/>
  <c r="H19" i="4"/>
  <c r="H21" i="4"/>
  <c r="H24" i="4"/>
  <c r="H25" i="4"/>
  <c r="H27" i="4"/>
  <c r="H30" i="4"/>
  <c r="H31" i="4"/>
  <c r="H37" i="4"/>
  <c r="H39" i="4"/>
  <c r="H42" i="4"/>
  <c r="H43" i="4"/>
  <c r="H2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K5" i="1"/>
  <c r="J5" i="1"/>
  <c r="J4" i="1"/>
  <c r="J3" i="1"/>
  <c r="J2" i="1"/>
  <c r="O3" i="6" l="1"/>
  <c r="F3" i="6" s="1"/>
  <c r="I3" i="6" s="1"/>
  <c r="G4" i="6" s="1"/>
  <c r="I4" i="6" s="1"/>
  <c r="O3" i="5"/>
  <c r="F3" i="5" s="1"/>
  <c r="I3" i="5" s="1"/>
  <c r="G4" i="5" s="1"/>
  <c r="H17" i="4"/>
  <c r="H29" i="4"/>
  <c r="O3" i="2"/>
  <c r="F3" i="2" s="1"/>
  <c r="H4" i="4"/>
  <c r="H10" i="4"/>
  <c r="H16" i="4"/>
  <c r="H22" i="4"/>
  <c r="H28" i="4"/>
  <c r="H34" i="4"/>
  <c r="H40" i="4"/>
  <c r="H44" i="4"/>
  <c r="H38" i="4"/>
  <c r="H32" i="4"/>
  <c r="H26" i="4"/>
  <c r="H20" i="4"/>
  <c r="H14" i="4"/>
  <c r="H8" i="4"/>
  <c r="H11" i="4"/>
  <c r="H35" i="4"/>
  <c r="H23" i="4"/>
  <c r="H41" i="4"/>
  <c r="H5" i="4"/>
  <c r="O6" i="2" s="1"/>
  <c r="O4" i="2"/>
  <c r="F4" i="2" s="1"/>
  <c r="O4" i="5"/>
  <c r="F4" i="5" s="1"/>
  <c r="D2" i="4" l="1"/>
  <c r="I2" i="4" s="1"/>
  <c r="D3" i="4"/>
  <c r="I3" i="4" s="1"/>
  <c r="O5" i="5"/>
  <c r="F5" i="5" s="1"/>
  <c r="O5" i="6"/>
  <c r="O5" i="2"/>
  <c r="O6" i="5"/>
  <c r="I3" i="2"/>
  <c r="G4" i="2" s="1"/>
  <c r="I4" i="2" s="1"/>
  <c r="G5" i="2" s="1"/>
  <c r="I4" i="5"/>
  <c r="G5" i="5" s="1"/>
  <c r="G5" i="6"/>
  <c r="F5" i="6" s="1"/>
  <c r="I5" i="5" l="1"/>
  <c r="I5" i="6"/>
  <c r="G6" i="5"/>
  <c r="F6" i="5" s="1"/>
  <c r="I6" i="5" l="1"/>
  <c r="F5" i="2"/>
  <c r="I5" i="2" s="1"/>
  <c r="G6" i="2" s="1"/>
  <c r="D4" i="4" l="1"/>
  <c r="I4" i="4" s="1"/>
  <c r="F6" i="2"/>
  <c r="D5" i="4" s="1"/>
  <c r="I5" i="4" s="1"/>
  <c r="I6" i="2" l="1"/>
</calcChain>
</file>

<file path=xl/sharedStrings.xml><?xml version="1.0" encoding="utf-8"?>
<sst xmlns="http://schemas.openxmlformats.org/spreadsheetml/2006/main" count="49" uniqueCount="35">
  <si>
    <t>ContributionAmount</t>
  </si>
  <si>
    <t>NegotiationFee</t>
  </si>
  <si>
    <t>LegalFee</t>
  </si>
  <si>
    <t>StartDate</t>
  </si>
  <si>
    <t>EscalationPercentage</t>
  </si>
  <si>
    <t>EscalationAmount</t>
  </si>
  <si>
    <t>EscalationDate</t>
  </si>
  <si>
    <t>CreditorName</t>
  </si>
  <si>
    <t>CreditorType</t>
  </si>
  <si>
    <t>Installment</t>
  </si>
  <si>
    <t>OutstandingBalance</t>
  </si>
  <si>
    <t>COB Date</t>
  </si>
  <si>
    <t>InterestRate</t>
  </si>
  <si>
    <t>CustomInstallment</t>
  </si>
  <si>
    <t>HL</t>
  </si>
  <si>
    <t>Home</t>
  </si>
  <si>
    <t>Vehicle</t>
  </si>
  <si>
    <t>CreditCard</t>
  </si>
  <si>
    <t>VF</t>
  </si>
  <si>
    <t>LinkedInsurance</t>
  </si>
  <si>
    <t>ServiceFees</t>
  </si>
  <si>
    <t>CO</t>
  </si>
  <si>
    <t>DcFeePercentage1</t>
  </si>
  <si>
    <t>DcFeePercentage2</t>
  </si>
  <si>
    <t>ProRataInstallment</t>
  </si>
  <si>
    <t>ProRataPercentage</t>
  </si>
  <si>
    <t>Period</t>
  </si>
  <si>
    <t>TotalCreditorPayments</t>
  </si>
  <si>
    <t>DcFee</t>
  </si>
  <si>
    <t>Date</t>
  </si>
  <si>
    <t>OriginalInstallment</t>
  </si>
  <si>
    <t>AccruedInterest</t>
  </si>
  <si>
    <t>DistributableToCreditors</t>
  </si>
  <si>
    <t>CreditorSurplus</t>
  </si>
  <si>
    <t>ProRataPercentageForSurplus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</si>
</sst>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1" applyNumberFormat="0" applyFont="0" applyAlignment="0" applyProtection="0"/>
  </cellStyleXfs>
  <cellXfs count="8">
    <xf numFmtId="0" fontId="0" fillId="0" borderId="0" xfId="0"/>
    <xf numFmtId="9" fontId="0" fillId="0" borderId="0" xfId="0" applyNumberFormat="1"/>
    <xf numFmtId="0" fontId="4" fillId="0" borderId="0" xfId="0" applyFont="1"/>
    <xf numFmtId="0" fontId="3" fillId="3" borderId="0" xfId="3"/>
    <xf numFmtId="0" fontId="0" fillId="4" borderId="1" xfId="4" applyFont="1"/>
    <xf numFmtId="0" fontId="4" fillId="4" borderId="1" xfId="4" applyFont="1"/>
    <xf numFmtId="0" fontId="2" fillId="2" borderId="0" xfId="2"/>
    <xf numFmtId="9" fontId="0" fillId="0" borderId="0" xfId="1" applyFont="1"/>
  </cellXfs>
  <cellStyles count="5">
    <cellStyle name="Bad" xfId="3" builtinId="27"/>
    <cellStyle name="Good" xfId="2" builtinId="26"/>
    <cellStyle name="Normal" xfId="0" builtinId="0"/>
    <cellStyle name="Note" xfId="4" builtinId="1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tabSelected="1" workbookViewId="0">
      <selection activeCell="F24" sqref="F24"/>
    </sheetView>
  </sheetViews>
  <sheetFormatPr defaultRowHeight="15" x14ac:dyDescent="0.25"/>
  <cols>
    <col min="1" max="1" width="9.28515625" bestFit="1" customWidth="1"/>
    <col min="2" max="2" width="19.7109375" bestFit="1" customWidth="1"/>
    <col min="3" max="3" width="15" bestFit="1" customWidth="1"/>
    <col min="4" max="4" width="8.85546875" bestFit="1" customWidth="1"/>
    <col min="5" max="6" width="17.7109375" bestFit="1" customWidth="1"/>
    <col min="7" max="7" width="20.140625" bestFit="1" customWidth="1"/>
    <col min="8" max="8" width="17.28515625" bestFit="1" customWidth="1"/>
    <col min="9" max="9" width="14.140625" bestFit="1" customWidth="1"/>
  </cols>
  <sheetData>
    <row r="1" spans="1:9" s="2" customFormat="1" x14ac:dyDescent="0.25">
      <c r="A1" s="2" t="s">
        <v>3</v>
      </c>
      <c r="B1" s="2" t="s">
        <v>0</v>
      </c>
      <c r="C1" s="2" t="s">
        <v>1</v>
      </c>
      <c r="D1" s="2" t="s">
        <v>2</v>
      </c>
      <c r="E1" s="2" t="s">
        <v>22</v>
      </c>
      <c r="F1" s="2" t="s">
        <v>23</v>
      </c>
      <c r="G1" s="2" t="s">
        <v>4</v>
      </c>
      <c r="H1" s="2" t="s">
        <v>5</v>
      </c>
      <c r="I1" s="2" t="s">
        <v>6</v>
      </c>
    </row>
    <row r="2" spans="1:9" x14ac:dyDescent="0.25">
      <c r="B2">
        <v>5000</v>
      </c>
      <c r="E2" s="1">
        <v>0.05</v>
      </c>
      <c r="F2" s="1">
        <v>0.03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"/>
  <sheetViews>
    <sheetView topLeftCell="G1" workbookViewId="0">
      <selection activeCell="L1" sqref="L1:U1048576"/>
    </sheetView>
  </sheetViews>
  <sheetFormatPr defaultRowHeight="15" x14ac:dyDescent="0.25"/>
  <cols>
    <col min="1" max="1" width="13.7109375" bestFit="1" customWidth="1"/>
    <col min="2" max="2" width="12.5703125" bestFit="1" customWidth="1"/>
    <col min="3" max="3" width="12" bestFit="1" customWidth="1"/>
    <col min="4" max="4" width="18.42578125" bestFit="1" customWidth="1"/>
    <col min="5" max="5" width="19" bestFit="1" customWidth="1"/>
    <col min="6" max="6" width="9.28515625" bestFit="1" customWidth="1"/>
    <col min="7" max="7" width="11.5703125" bestFit="1" customWidth="1"/>
    <col min="8" max="8" width="15.5703125" bestFit="1" customWidth="1"/>
    <col min="9" max="9" width="18.140625" bestFit="1" customWidth="1"/>
    <col min="10" max="10" width="18.28515625" bestFit="1" customWidth="1"/>
    <col min="11" max="11" width="18.140625" bestFit="1" customWidth="1"/>
    <col min="13" max="13" width="9.28515625" bestFit="1" customWidth="1"/>
    <col min="14" max="14" width="19.7109375" bestFit="1" customWidth="1"/>
    <col min="15" max="15" width="15" bestFit="1" customWidth="1"/>
    <col min="16" max="16" width="8.85546875" bestFit="1" customWidth="1"/>
    <col min="17" max="18" width="17.7109375" bestFit="1" customWidth="1"/>
    <col min="19" max="19" width="20.140625" bestFit="1" customWidth="1"/>
    <col min="20" max="20" width="17.28515625" bestFit="1" customWidth="1"/>
    <col min="21" max="21" width="14.140625" bestFit="1" customWidth="1"/>
  </cols>
  <sheetData>
    <row r="1" spans="1:18" s="2" customFormat="1" x14ac:dyDescent="0.25">
      <c r="A1" s="2" t="s">
        <v>7</v>
      </c>
      <c r="B1" s="2" t="s">
        <v>8</v>
      </c>
      <c r="C1" s="2" t="s">
        <v>12</v>
      </c>
      <c r="D1" s="2" t="s">
        <v>30</v>
      </c>
      <c r="E1" s="2" t="s">
        <v>10</v>
      </c>
      <c r="F1" s="2" t="s">
        <v>11</v>
      </c>
      <c r="G1" s="2" t="s">
        <v>20</v>
      </c>
      <c r="H1" s="2" t="s">
        <v>19</v>
      </c>
      <c r="I1" s="2" t="s">
        <v>13</v>
      </c>
      <c r="J1" s="2" t="s">
        <v>25</v>
      </c>
      <c r="K1" s="2" t="s">
        <v>24</v>
      </c>
    </row>
    <row r="2" spans="1:18" x14ac:dyDescent="0.25">
      <c r="A2" t="s">
        <v>15</v>
      </c>
      <c r="B2" t="s">
        <v>14</v>
      </c>
      <c r="C2" s="1">
        <v>0.02</v>
      </c>
      <c r="D2">
        <v>4000</v>
      </c>
      <c r="E2">
        <v>10000</v>
      </c>
      <c r="J2">
        <f>D2/SUM(D$2:D$4)</f>
        <v>0.5714285714285714</v>
      </c>
      <c r="K2">
        <f>J2*Input!B$2</f>
        <v>2857.1428571428569</v>
      </c>
      <c r="Q2" s="1"/>
      <c r="R2" s="1"/>
    </row>
    <row r="3" spans="1:18" x14ac:dyDescent="0.25">
      <c r="A3" t="s">
        <v>16</v>
      </c>
      <c r="B3" t="s">
        <v>18</v>
      </c>
      <c r="C3" s="1">
        <v>7.0000000000000007E-2</v>
      </c>
      <c r="D3">
        <v>2000</v>
      </c>
      <c r="E3">
        <v>5000</v>
      </c>
      <c r="J3">
        <f t="shared" ref="J3:J4" si="0">D3/SUM(D$2:D$4)</f>
        <v>0.2857142857142857</v>
      </c>
      <c r="K3">
        <f>J3*Input!B$2</f>
        <v>1428.5714285714284</v>
      </c>
    </row>
    <row r="4" spans="1:18" x14ac:dyDescent="0.25">
      <c r="A4" t="s">
        <v>17</v>
      </c>
      <c r="B4" t="s">
        <v>21</v>
      </c>
      <c r="C4" s="1">
        <v>0.15</v>
      </c>
      <c r="D4">
        <v>1000</v>
      </c>
      <c r="E4">
        <v>2000</v>
      </c>
      <c r="J4">
        <f t="shared" si="0"/>
        <v>0.14285714285714285</v>
      </c>
      <c r="K4">
        <f>J4*Input!B$2</f>
        <v>714.28571428571422</v>
      </c>
    </row>
    <row r="5" spans="1:18" x14ac:dyDescent="0.25">
      <c r="J5">
        <f>SUM(J2:J4)</f>
        <v>1</v>
      </c>
      <c r="K5">
        <f>SUM(K2:K4)</f>
        <v>5000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workbookViewId="0">
      <selection activeCell="K19" sqref="K19"/>
    </sheetView>
  </sheetViews>
  <sheetFormatPr defaultRowHeight="15" x14ac:dyDescent="0.25"/>
  <cols>
    <col min="1" max="1" width="6.85546875" bestFit="1" customWidth="1"/>
    <col min="2" max="2" width="5.140625" bestFit="1" customWidth="1"/>
    <col min="3" max="3" width="19.7109375" bestFit="1" customWidth="1"/>
    <col min="4" max="4" width="21.85546875" bestFit="1" customWidth="1"/>
    <col min="5" max="5" width="15" bestFit="1" customWidth="1"/>
    <col min="6" max="6" width="8.85546875" bestFit="1" customWidth="1"/>
    <col min="7" max="7" width="6.42578125" bestFit="1" customWidth="1"/>
    <col min="8" max="8" width="23.28515625" bestFit="1" customWidth="1"/>
    <col min="9" max="9" width="15" bestFit="1" customWidth="1"/>
  </cols>
  <sheetData>
    <row r="1" spans="1:9" s="2" customFormat="1" x14ac:dyDescent="0.25">
      <c r="A1" s="2" t="s">
        <v>26</v>
      </c>
      <c r="B1" s="2" t="s">
        <v>29</v>
      </c>
      <c r="C1" s="2" t="s">
        <v>0</v>
      </c>
      <c r="D1" s="2" t="s">
        <v>27</v>
      </c>
      <c r="E1" s="2" t="s">
        <v>1</v>
      </c>
      <c r="F1" s="2" t="s">
        <v>2</v>
      </c>
      <c r="G1" s="2" t="s">
        <v>28</v>
      </c>
      <c r="H1" s="2" t="s">
        <v>32</v>
      </c>
      <c r="I1" s="2" t="s">
        <v>33</v>
      </c>
    </row>
    <row r="2" spans="1:9" x14ac:dyDescent="0.25">
      <c r="A2">
        <f>ROW()-1</f>
        <v>1</v>
      </c>
      <c r="C2">
        <f>Input!B$2</f>
        <v>5000</v>
      </c>
      <c r="D2">
        <f>IFERROR(VLOOKUP(A2, 'Amortisation-Home'!A3:F50, 6), 0)+IFERROR(VLOOKUP(A2, 'Amortisation-Vehicle'!A3:F50, 6), 0)+IFERROR(VLOOKUP(A2, 'Amortisation-CreditCard'!A3:F50, 6), 0)</f>
        <v>4750</v>
      </c>
      <c r="G2">
        <f>C2*Input!E$2</f>
        <v>250</v>
      </c>
      <c r="H2">
        <f>C2-E2-F2-G2</f>
        <v>4750</v>
      </c>
      <c r="I2">
        <f>H2-D2</f>
        <v>0</v>
      </c>
    </row>
    <row r="3" spans="1:9" x14ac:dyDescent="0.25">
      <c r="A3">
        <f t="shared" ref="A3:A44" si="0">ROW()-1</f>
        <v>2</v>
      </c>
      <c r="C3">
        <f>Input!B$2</f>
        <v>5000</v>
      </c>
      <c r="D3">
        <f>IFERROR(VLOOKUP(A3, 'Amortisation-Home'!A4:F51, 6), 0)+IFERROR(VLOOKUP(A3, 'Amortisation-Vehicle'!A4:F51, 6), 0)+IFERROR(VLOOKUP(A3, 'Amortisation-CreditCard'!A4:F51, 6), 0)</f>
        <v>4750</v>
      </c>
      <c r="G3">
        <f>C3*Input!E$2</f>
        <v>250</v>
      </c>
      <c r="H3">
        <f t="shared" ref="H3:H44" si="1">C3-E3-F3-G3</f>
        <v>4750</v>
      </c>
      <c r="I3">
        <f t="shared" ref="I3:I5" si="2">H3-D3</f>
        <v>0</v>
      </c>
    </row>
    <row r="4" spans="1:9" x14ac:dyDescent="0.25">
      <c r="A4">
        <f t="shared" si="0"/>
        <v>3</v>
      </c>
      <c r="C4">
        <f>Input!B$2</f>
        <v>5000</v>
      </c>
      <c r="D4">
        <f>IFERROR(VLOOKUP(A4, 'Amortisation-Home'!A5:F52, 6), 0)+IFERROR(VLOOKUP(A4, 'Amortisation-Vehicle'!A5:F52, 6), 0)+IFERROR(VLOOKUP(A4, 'Amortisation-CreditCard'!A5:F52, 6), 0)</f>
        <v>4750</v>
      </c>
      <c r="G4">
        <f>C4*Input!E$2</f>
        <v>250</v>
      </c>
      <c r="H4">
        <f t="shared" si="1"/>
        <v>4750</v>
      </c>
      <c r="I4">
        <f t="shared" si="2"/>
        <v>0</v>
      </c>
    </row>
    <row r="5" spans="1:9" x14ac:dyDescent="0.25">
      <c r="A5">
        <f t="shared" si="0"/>
        <v>4</v>
      </c>
      <c r="C5">
        <f>Input!B$2</f>
        <v>5000</v>
      </c>
      <c r="D5">
        <f>IFERROR(VLOOKUP(A5, 'Amortisation-Home'!A6:F53, 6), 0)+IFERROR(VLOOKUP(A5, 'Amortisation-Vehicle'!A6:F53, 6), 0)+IFERROR(VLOOKUP(A5, 'Amortisation-CreditCard'!A6:F53, 6), 0)</f>
        <v>2837.9633420758942</v>
      </c>
      <c r="G5">
        <f>C5*Input!E$2</f>
        <v>250</v>
      </c>
      <c r="H5">
        <f t="shared" si="1"/>
        <v>4750</v>
      </c>
      <c r="I5">
        <f t="shared" si="2"/>
        <v>1912.0366579241058</v>
      </c>
    </row>
    <row r="6" spans="1:9" x14ac:dyDescent="0.25">
      <c r="A6">
        <f t="shared" si="0"/>
        <v>5</v>
      </c>
      <c r="C6">
        <f>Input!B$2</f>
        <v>5000</v>
      </c>
      <c r="D6">
        <f>IFERROR(VLOOKUP(A6, 'Amortisation-Home'!A7:F54, 6), 0)+IFERROR(VLOOKUP(A6, 'Amortisation-Vehicle'!A7:F54, 6), 0)+IFERROR(VLOOKUP(A6, 'Amortisation-CreditCard'!A7:F54, 6), 0)</f>
        <v>0</v>
      </c>
      <c r="G6">
        <f>C6*Input!E$2</f>
        <v>250</v>
      </c>
      <c r="H6">
        <f t="shared" si="1"/>
        <v>4750</v>
      </c>
    </row>
    <row r="7" spans="1:9" x14ac:dyDescent="0.25">
      <c r="A7">
        <f t="shared" si="0"/>
        <v>6</v>
      </c>
      <c r="C7">
        <f>Input!B$2</f>
        <v>5000</v>
      </c>
      <c r="D7">
        <f>IFERROR(VLOOKUP(A7, 'Amortisation-Home'!A8:F55, 6), 0)+IFERROR(VLOOKUP(A7, 'Amortisation-Vehicle'!A8:F55, 6), 0)+IFERROR(VLOOKUP(A7, 'Amortisation-CreditCard'!A8:F55, 6), 0)</f>
        <v>0</v>
      </c>
      <c r="G7">
        <f>C7*Input!E$2</f>
        <v>250</v>
      </c>
      <c r="H7">
        <f t="shared" si="1"/>
        <v>4750</v>
      </c>
    </row>
    <row r="8" spans="1:9" x14ac:dyDescent="0.25">
      <c r="A8">
        <f t="shared" si="0"/>
        <v>7</v>
      </c>
      <c r="C8">
        <f>Input!B$2</f>
        <v>5000</v>
      </c>
      <c r="D8">
        <f>IFERROR(VLOOKUP(A8, 'Amortisation-Home'!A9:F56, 6), 0)+IFERROR(VLOOKUP(A8, 'Amortisation-Vehicle'!A9:F56, 6), 0)+IFERROR(VLOOKUP(A8, 'Amortisation-CreditCard'!A9:F56, 6), 0)</f>
        <v>0</v>
      </c>
      <c r="G8">
        <f>C8*Input!E$2</f>
        <v>250</v>
      </c>
      <c r="H8">
        <f t="shared" si="1"/>
        <v>4750</v>
      </c>
    </row>
    <row r="9" spans="1:9" x14ac:dyDescent="0.25">
      <c r="A9">
        <f t="shared" si="0"/>
        <v>8</v>
      </c>
      <c r="C9">
        <f>Input!B$2</f>
        <v>5000</v>
      </c>
      <c r="D9">
        <f>IFERROR(VLOOKUP(A9, 'Amortisation-Home'!A10:F57, 6), 0)+IFERROR(VLOOKUP(A9, 'Amortisation-Vehicle'!A10:F57, 6), 0)+IFERROR(VLOOKUP(A9, 'Amortisation-CreditCard'!A10:F57, 6), 0)</f>
        <v>0</v>
      </c>
      <c r="G9">
        <f>C9*Input!E$2</f>
        <v>250</v>
      </c>
      <c r="H9">
        <f t="shared" si="1"/>
        <v>4750</v>
      </c>
    </row>
    <row r="10" spans="1:9" x14ac:dyDescent="0.25">
      <c r="A10">
        <f t="shared" si="0"/>
        <v>9</v>
      </c>
      <c r="C10">
        <f>Input!B$2</f>
        <v>5000</v>
      </c>
      <c r="D10">
        <f>IFERROR(VLOOKUP(A10, 'Amortisation-Home'!A11:F58, 6), 0)+IFERROR(VLOOKUP(A10, 'Amortisation-Vehicle'!A11:F58, 6), 0)+IFERROR(VLOOKUP(A10, 'Amortisation-CreditCard'!A11:F58, 6), 0)</f>
        <v>0</v>
      </c>
      <c r="G10">
        <f>C10*Input!E$2</f>
        <v>250</v>
      </c>
      <c r="H10">
        <f t="shared" si="1"/>
        <v>4750</v>
      </c>
    </row>
    <row r="11" spans="1:9" x14ac:dyDescent="0.25">
      <c r="A11">
        <f t="shared" si="0"/>
        <v>10</v>
      </c>
      <c r="C11">
        <f>Input!B$2</f>
        <v>5000</v>
      </c>
      <c r="D11">
        <f>IFERROR(VLOOKUP(A11, 'Amortisation-Home'!A12:F59, 6), 0)+IFERROR(VLOOKUP(A11, 'Amortisation-Vehicle'!A12:F59, 6), 0)+IFERROR(VLOOKUP(A11, 'Amortisation-CreditCard'!A12:F59, 6), 0)</f>
        <v>0</v>
      </c>
      <c r="G11">
        <f>C11*Input!E$2</f>
        <v>250</v>
      </c>
      <c r="H11">
        <f t="shared" si="1"/>
        <v>4750</v>
      </c>
    </row>
    <row r="12" spans="1:9" x14ac:dyDescent="0.25">
      <c r="A12">
        <f t="shared" si="0"/>
        <v>11</v>
      </c>
      <c r="C12">
        <f>Input!B$2</f>
        <v>5000</v>
      </c>
      <c r="G12">
        <f>C12*Input!E$2</f>
        <v>250</v>
      </c>
      <c r="H12">
        <f t="shared" si="1"/>
        <v>4750</v>
      </c>
    </row>
    <row r="13" spans="1:9" x14ac:dyDescent="0.25">
      <c r="A13">
        <f t="shared" si="0"/>
        <v>12</v>
      </c>
      <c r="C13">
        <f>Input!B$2</f>
        <v>5000</v>
      </c>
      <c r="G13">
        <f>C13*Input!E$2</f>
        <v>250</v>
      </c>
      <c r="H13">
        <f t="shared" si="1"/>
        <v>4750</v>
      </c>
    </row>
    <row r="14" spans="1:9" x14ac:dyDescent="0.25">
      <c r="A14">
        <f t="shared" si="0"/>
        <v>13</v>
      </c>
      <c r="C14">
        <f>Input!B$2</f>
        <v>5000</v>
      </c>
      <c r="G14">
        <f>C14*Input!E$2</f>
        <v>250</v>
      </c>
      <c r="H14">
        <f t="shared" si="1"/>
        <v>4750</v>
      </c>
    </row>
    <row r="15" spans="1:9" x14ac:dyDescent="0.25">
      <c r="A15">
        <f t="shared" si="0"/>
        <v>14</v>
      </c>
      <c r="C15">
        <f>Input!B$2</f>
        <v>5000</v>
      </c>
      <c r="G15">
        <f>C15*Input!E$2</f>
        <v>250</v>
      </c>
      <c r="H15">
        <f t="shared" si="1"/>
        <v>4750</v>
      </c>
    </row>
    <row r="16" spans="1:9" x14ac:dyDescent="0.25">
      <c r="A16">
        <f t="shared" si="0"/>
        <v>15</v>
      </c>
      <c r="C16">
        <f>Input!B$2</f>
        <v>5000</v>
      </c>
      <c r="G16">
        <f>C16*Input!E$2</f>
        <v>250</v>
      </c>
      <c r="H16">
        <f t="shared" si="1"/>
        <v>4750</v>
      </c>
    </row>
    <row r="17" spans="1:8" x14ac:dyDescent="0.25">
      <c r="A17">
        <f t="shared" si="0"/>
        <v>16</v>
      </c>
      <c r="C17">
        <f>Input!B$2</f>
        <v>5000</v>
      </c>
      <c r="G17">
        <f>C17*Input!E$2</f>
        <v>250</v>
      </c>
      <c r="H17">
        <f t="shared" si="1"/>
        <v>4750</v>
      </c>
    </row>
    <row r="18" spans="1:8" x14ac:dyDescent="0.25">
      <c r="A18">
        <f t="shared" si="0"/>
        <v>17</v>
      </c>
      <c r="C18">
        <f>Input!B$2</f>
        <v>5000</v>
      </c>
      <c r="G18">
        <f>C18*Input!E$2</f>
        <v>250</v>
      </c>
      <c r="H18">
        <f t="shared" si="1"/>
        <v>4750</v>
      </c>
    </row>
    <row r="19" spans="1:8" x14ac:dyDescent="0.25">
      <c r="A19">
        <f t="shared" si="0"/>
        <v>18</v>
      </c>
      <c r="C19">
        <f>Input!B$2</f>
        <v>5000</v>
      </c>
      <c r="G19">
        <f>C19*Input!E$2</f>
        <v>250</v>
      </c>
      <c r="H19">
        <f t="shared" si="1"/>
        <v>4750</v>
      </c>
    </row>
    <row r="20" spans="1:8" x14ac:dyDescent="0.25">
      <c r="A20">
        <f t="shared" si="0"/>
        <v>19</v>
      </c>
      <c r="C20">
        <f>Input!B$2</f>
        <v>5000</v>
      </c>
      <c r="G20">
        <f>C20*Input!E$2</f>
        <v>250</v>
      </c>
      <c r="H20">
        <f t="shared" si="1"/>
        <v>4750</v>
      </c>
    </row>
    <row r="21" spans="1:8" x14ac:dyDescent="0.25">
      <c r="A21">
        <f t="shared" si="0"/>
        <v>20</v>
      </c>
      <c r="C21">
        <f>Input!B$2</f>
        <v>5000</v>
      </c>
      <c r="G21">
        <f>C21*Input!E$2</f>
        <v>250</v>
      </c>
      <c r="H21">
        <f t="shared" si="1"/>
        <v>4750</v>
      </c>
    </row>
    <row r="22" spans="1:8" x14ac:dyDescent="0.25">
      <c r="A22">
        <f t="shared" si="0"/>
        <v>21</v>
      </c>
      <c r="C22">
        <f>Input!B$2</f>
        <v>5000</v>
      </c>
      <c r="G22">
        <f>C22*Input!E$2</f>
        <v>250</v>
      </c>
      <c r="H22">
        <f t="shared" si="1"/>
        <v>4750</v>
      </c>
    </row>
    <row r="23" spans="1:8" x14ac:dyDescent="0.25">
      <c r="A23">
        <f t="shared" si="0"/>
        <v>22</v>
      </c>
      <c r="C23">
        <f>Input!B$2</f>
        <v>5000</v>
      </c>
      <c r="G23">
        <f>C23*Input!E$2</f>
        <v>250</v>
      </c>
      <c r="H23">
        <f t="shared" si="1"/>
        <v>4750</v>
      </c>
    </row>
    <row r="24" spans="1:8" x14ac:dyDescent="0.25">
      <c r="A24">
        <f t="shared" si="0"/>
        <v>23</v>
      </c>
      <c r="C24">
        <f>Input!B$2</f>
        <v>5000</v>
      </c>
      <c r="G24">
        <f>C24*Input!E$2</f>
        <v>250</v>
      </c>
      <c r="H24">
        <f t="shared" si="1"/>
        <v>4750</v>
      </c>
    </row>
    <row r="25" spans="1:8" s="4" customFormat="1" x14ac:dyDescent="0.25">
      <c r="A25" s="4">
        <f t="shared" si="0"/>
        <v>24</v>
      </c>
      <c r="C25">
        <f>Input!B$2</f>
        <v>5000</v>
      </c>
      <c r="G25">
        <f>C25*Input!E$2</f>
        <v>250</v>
      </c>
      <c r="H25" s="4">
        <f t="shared" si="1"/>
        <v>4750</v>
      </c>
    </row>
    <row r="26" spans="1:8" x14ac:dyDescent="0.25">
      <c r="A26">
        <f t="shared" si="0"/>
        <v>25</v>
      </c>
      <c r="C26">
        <f>Input!B$2</f>
        <v>5000</v>
      </c>
      <c r="G26">
        <f>C26*Input!F$2</f>
        <v>150</v>
      </c>
      <c r="H26">
        <f t="shared" si="1"/>
        <v>4850</v>
      </c>
    </row>
    <row r="27" spans="1:8" x14ac:dyDescent="0.25">
      <c r="A27">
        <f t="shared" si="0"/>
        <v>26</v>
      </c>
      <c r="C27">
        <f>Input!B$2</f>
        <v>5000</v>
      </c>
      <c r="G27">
        <f>C27*Input!F$2</f>
        <v>150</v>
      </c>
      <c r="H27">
        <f t="shared" si="1"/>
        <v>4850</v>
      </c>
    </row>
    <row r="28" spans="1:8" x14ac:dyDescent="0.25">
      <c r="A28">
        <f t="shared" si="0"/>
        <v>27</v>
      </c>
      <c r="C28">
        <f>Input!B$2</f>
        <v>5000</v>
      </c>
      <c r="G28">
        <f>C28*Input!F$2</f>
        <v>150</v>
      </c>
      <c r="H28">
        <f t="shared" si="1"/>
        <v>4850</v>
      </c>
    </row>
    <row r="29" spans="1:8" x14ac:dyDescent="0.25">
      <c r="A29">
        <f t="shared" si="0"/>
        <v>28</v>
      </c>
      <c r="C29">
        <f>Input!B$2</f>
        <v>5000</v>
      </c>
      <c r="G29">
        <f>C29*Input!F$2</f>
        <v>150</v>
      </c>
      <c r="H29">
        <f t="shared" si="1"/>
        <v>4850</v>
      </c>
    </row>
    <row r="30" spans="1:8" x14ac:dyDescent="0.25">
      <c r="A30">
        <f t="shared" si="0"/>
        <v>29</v>
      </c>
      <c r="C30">
        <f>Input!B$2</f>
        <v>5000</v>
      </c>
      <c r="G30">
        <f>C30*Input!F$2</f>
        <v>150</v>
      </c>
      <c r="H30">
        <f t="shared" si="1"/>
        <v>4850</v>
      </c>
    </row>
    <row r="31" spans="1:8" x14ac:dyDescent="0.25">
      <c r="A31">
        <f t="shared" si="0"/>
        <v>30</v>
      </c>
      <c r="C31">
        <f>Input!B$2</f>
        <v>5000</v>
      </c>
      <c r="G31">
        <f>C31*Input!F$2</f>
        <v>150</v>
      </c>
      <c r="H31">
        <f t="shared" si="1"/>
        <v>4850</v>
      </c>
    </row>
    <row r="32" spans="1:8" x14ac:dyDescent="0.25">
      <c r="A32">
        <f t="shared" si="0"/>
        <v>31</v>
      </c>
      <c r="C32">
        <f>Input!B$2</f>
        <v>5000</v>
      </c>
      <c r="G32">
        <f>C32*Input!F$2</f>
        <v>150</v>
      </c>
      <c r="H32">
        <f t="shared" si="1"/>
        <v>4850</v>
      </c>
    </row>
    <row r="33" spans="1:8" x14ac:dyDescent="0.25">
      <c r="A33">
        <f t="shared" si="0"/>
        <v>32</v>
      </c>
      <c r="C33">
        <f>Input!B$2</f>
        <v>5000</v>
      </c>
      <c r="G33">
        <f>C33*Input!F$2</f>
        <v>150</v>
      </c>
      <c r="H33">
        <f t="shared" si="1"/>
        <v>4850</v>
      </c>
    </row>
    <row r="34" spans="1:8" x14ac:dyDescent="0.25">
      <c r="A34">
        <f t="shared" si="0"/>
        <v>33</v>
      </c>
      <c r="C34">
        <f>Input!B$2</f>
        <v>5000</v>
      </c>
      <c r="G34">
        <f>C34*Input!F$2</f>
        <v>150</v>
      </c>
      <c r="H34">
        <f t="shared" si="1"/>
        <v>4850</v>
      </c>
    </row>
    <row r="35" spans="1:8" x14ac:dyDescent="0.25">
      <c r="A35">
        <f t="shared" si="0"/>
        <v>34</v>
      </c>
      <c r="C35">
        <f>Input!B$2</f>
        <v>5000</v>
      </c>
      <c r="G35">
        <f>C35*Input!F$2</f>
        <v>150</v>
      </c>
      <c r="H35">
        <f t="shared" si="1"/>
        <v>4850</v>
      </c>
    </row>
    <row r="36" spans="1:8" x14ac:dyDescent="0.25">
      <c r="A36">
        <f t="shared" si="0"/>
        <v>35</v>
      </c>
      <c r="C36">
        <f>Input!B$2</f>
        <v>5000</v>
      </c>
      <c r="G36">
        <f>C36*Input!F$2</f>
        <v>150</v>
      </c>
      <c r="H36">
        <f t="shared" si="1"/>
        <v>4850</v>
      </c>
    </row>
    <row r="37" spans="1:8" x14ac:dyDescent="0.25">
      <c r="A37">
        <f t="shared" si="0"/>
        <v>36</v>
      </c>
      <c r="C37">
        <f>Input!B$2</f>
        <v>5000</v>
      </c>
      <c r="G37">
        <f>C37*Input!F$2</f>
        <v>150</v>
      </c>
      <c r="H37">
        <f t="shared" si="1"/>
        <v>4850</v>
      </c>
    </row>
    <row r="38" spans="1:8" x14ac:dyDescent="0.25">
      <c r="A38">
        <f t="shared" si="0"/>
        <v>37</v>
      </c>
      <c r="C38">
        <f>Input!B$2</f>
        <v>5000</v>
      </c>
      <c r="G38">
        <f>C38*Input!F$2</f>
        <v>150</v>
      </c>
      <c r="H38">
        <f t="shared" si="1"/>
        <v>4850</v>
      </c>
    </row>
    <row r="39" spans="1:8" x14ac:dyDescent="0.25">
      <c r="A39">
        <f t="shared" si="0"/>
        <v>38</v>
      </c>
      <c r="C39">
        <f>Input!B$2</f>
        <v>5000</v>
      </c>
      <c r="G39">
        <f>C39*Input!F$2</f>
        <v>150</v>
      </c>
      <c r="H39">
        <f t="shared" si="1"/>
        <v>4850</v>
      </c>
    </row>
    <row r="40" spans="1:8" x14ac:dyDescent="0.25">
      <c r="A40">
        <f t="shared" si="0"/>
        <v>39</v>
      </c>
      <c r="C40">
        <f>Input!B$2</f>
        <v>5000</v>
      </c>
      <c r="G40">
        <f>C40*Input!F$2</f>
        <v>150</v>
      </c>
      <c r="H40">
        <f t="shared" si="1"/>
        <v>4850</v>
      </c>
    </row>
    <row r="41" spans="1:8" x14ac:dyDescent="0.25">
      <c r="A41">
        <f t="shared" si="0"/>
        <v>40</v>
      </c>
      <c r="C41">
        <f>Input!B$2</f>
        <v>5000</v>
      </c>
      <c r="G41">
        <f>C41*Input!F$2</f>
        <v>150</v>
      </c>
      <c r="H41">
        <f t="shared" si="1"/>
        <v>4850</v>
      </c>
    </row>
    <row r="42" spans="1:8" x14ac:dyDescent="0.25">
      <c r="A42">
        <f t="shared" si="0"/>
        <v>41</v>
      </c>
      <c r="C42">
        <f>Input!B$2</f>
        <v>5000</v>
      </c>
      <c r="G42">
        <f>C42*Input!F$2</f>
        <v>150</v>
      </c>
      <c r="H42">
        <f t="shared" si="1"/>
        <v>4850</v>
      </c>
    </row>
    <row r="43" spans="1:8" x14ac:dyDescent="0.25">
      <c r="A43">
        <f t="shared" si="0"/>
        <v>42</v>
      </c>
      <c r="C43">
        <f>Input!B$2</f>
        <v>5000</v>
      </c>
      <c r="G43">
        <f>C43*Input!F$2</f>
        <v>150</v>
      </c>
      <c r="H43">
        <f t="shared" si="1"/>
        <v>4850</v>
      </c>
    </row>
    <row r="44" spans="1:8" x14ac:dyDescent="0.25">
      <c r="A44">
        <f t="shared" si="0"/>
        <v>43</v>
      </c>
      <c r="C44">
        <f>Input!B$2</f>
        <v>5000</v>
      </c>
      <c r="G44">
        <f>C44*Input!F$2</f>
        <v>150</v>
      </c>
      <c r="H44">
        <f t="shared" si="1"/>
        <v>4850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"/>
  <sheetViews>
    <sheetView workbookViewId="0">
      <selection activeCell="I31" sqref="I31"/>
    </sheetView>
  </sheetViews>
  <sheetFormatPr defaultRowHeight="15" x14ac:dyDescent="0.25"/>
  <cols>
    <col min="3" max="3" width="13.7109375" bestFit="1" customWidth="1"/>
    <col min="4" max="4" width="12.5703125" bestFit="1" customWidth="1"/>
    <col min="5" max="5" width="12" bestFit="1" customWidth="1"/>
    <col min="6" max="6" width="12" customWidth="1"/>
    <col min="7" max="7" width="15.28515625" bestFit="1" customWidth="1"/>
    <col min="8" max="8" width="18.42578125" hidden="1" customWidth="1"/>
    <col min="9" max="9" width="19" bestFit="1" customWidth="1"/>
    <col min="10" max="10" width="9.28515625" bestFit="1" customWidth="1"/>
    <col min="11" max="11" width="11.5703125" bestFit="1" customWidth="1"/>
    <col min="12" max="12" width="15.5703125" bestFit="1" customWidth="1"/>
    <col min="13" max="14" width="18.140625" bestFit="1" customWidth="1"/>
    <col min="15" max="15" width="23.28515625" bestFit="1" customWidth="1"/>
    <col min="16" max="16" width="27.85546875" bestFit="1" customWidth="1"/>
    <col min="17" max="17" width="15" bestFit="1" customWidth="1"/>
  </cols>
  <sheetData>
    <row r="1" spans="1:17" s="2" customFormat="1" x14ac:dyDescent="0.25">
      <c r="A1" s="2" t="s">
        <v>26</v>
      </c>
      <c r="B1" s="2" t="s">
        <v>29</v>
      </c>
      <c r="C1" s="2" t="str">
        <f>Creditors!A1</f>
        <v>CreditorName</v>
      </c>
      <c r="D1" s="2" t="str">
        <f>Creditors!B1</f>
        <v>CreditorType</v>
      </c>
      <c r="E1" s="2" t="str">
        <f>Creditors!C1</f>
        <v>InterestRate</v>
      </c>
      <c r="F1" s="5" t="s">
        <v>9</v>
      </c>
      <c r="G1" s="5" t="s">
        <v>31</v>
      </c>
      <c r="H1" s="2" t="str">
        <f>Creditors!D1</f>
        <v>OriginalInstallment</v>
      </c>
      <c r="I1" s="5" t="str">
        <f>Creditors!E1</f>
        <v>OutstandingBalance</v>
      </c>
      <c r="J1" s="2" t="str">
        <f>Creditors!F1</f>
        <v>COB Date</v>
      </c>
      <c r="K1" s="2" t="str">
        <f>Creditors!G1</f>
        <v>ServiceFees</v>
      </c>
      <c r="L1" s="2" t="str">
        <f>Creditors!H1</f>
        <v>LinkedInsurance</v>
      </c>
      <c r="M1" s="2" t="str">
        <f>Creditors!I1</f>
        <v>CustomInstallment</v>
      </c>
      <c r="N1" s="5" t="str">
        <f>Creditors!J1</f>
        <v>ProRataPercentage</v>
      </c>
      <c r="O1" s="5" t="str">
        <f>'Amortisation-Summary'!H1</f>
        <v>DistributableToCreditors</v>
      </c>
      <c r="P1" s="5" t="s">
        <v>34</v>
      </c>
      <c r="Q1" s="5" t="str">
        <f>'Amortisation-Summary'!I1</f>
        <v>CreditorSurplus</v>
      </c>
    </row>
    <row r="2" spans="1:17" x14ac:dyDescent="0.25">
      <c r="C2" t="str">
        <f>Creditors!A2</f>
        <v>Home</v>
      </c>
      <c r="D2" t="str">
        <f>Creditors!B2</f>
        <v>HL</v>
      </c>
      <c r="E2" s="7">
        <f>Creditors!C2</f>
        <v>0.02</v>
      </c>
      <c r="H2">
        <f>Creditors!D2</f>
        <v>4000</v>
      </c>
      <c r="I2">
        <f>Creditors!E2</f>
        <v>10000</v>
      </c>
      <c r="J2">
        <f>Creditors!F2</f>
        <v>0</v>
      </c>
      <c r="K2">
        <f>Creditors!G2</f>
        <v>0</v>
      </c>
      <c r="L2">
        <f>Creditors!H2</f>
        <v>0</v>
      </c>
      <c r="M2">
        <f>Creditors!I2</f>
        <v>0</v>
      </c>
      <c r="N2">
        <f>Creditors!J2</f>
        <v>0.5714285714285714</v>
      </c>
    </row>
    <row r="3" spans="1:17" x14ac:dyDescent="0.25">
      <c r="A3">
        <f>ROW()-2</f>
        <v>1</v>
      </c>
      <c r="F3">
        <f>O3*N3</f>
        <v>2714.2857142857142</v>
      </c>
      <c r="G3" s="3">
        <v>0</v>
      </c>
      <c r="I3">
        <f>I2+G3-F3</f>
        <v>7285.7142857142862</v>
      </c>
      <c r="N3">
        <f>N2</f>
        <v>0.5714285714285714</v>
      </c>
      <c r="O3">
        <f>VLOOKUP(A3,'Amortisation-Summary'!A:H, 8)</f>
        <v>4750</v>
      </c>
    </row>
    <row r="4" spans="1:17" x14ac:dyDescent="0.25">
      <c r="A4">
        <f t="shared" ref="A4:A6" si="0">ROW()-2</f>
        <v>2</v>
      </c>
      <c r="F4">
        <f>O4*N4</f>
        <v>2714.2857142857142</v>
      </c>
      <c r="G4">
        <f>I3*E$2/12</f>
        <v>12.142857142857144</v>
      </c>
      <c r="I4">
        <f>I3+G4-F4</f>
        <v>4583.5714285714294</v>
      </c>
      <c r="N4">
        <f>N3</f>
        <v>0.5714285714285714</v>
      </c>
      <c r="O4">
        <f>VLOOKUP(A4,'Amortisation-Summary'!A:H, 8)</f>
        <v>4750</v>
      </c>
    </row>
    <row r="5" spans="1:17" x14ac:dyDescent="0.25">
      <c r="A5">
        <f t="shared" si="0"/>
        <v>3</v>
      </c>
      <c r="F5">
        <f>O5*N5+P5*Q5</f>
        <v>2721.5885416666665</v>
      </c>
      <c r="G5">
        <f>I4*E$2/12</f>
        <v>7.639285714285716</v>
      </c>
      <c r="I5">
        <f>I4+G5-F5</f>
        <v>1869.6221726190483</v>
      </c>
      <c r="N5">
        <f>N4</f>
        <v>0.5714285714285714</v>
      </c>
      <c r="O5">
        <f>VLOOKUP(A5,'Amortisation-Summary'!A:H, 8)</f>
        <v>4750</v>
      </c>
      <c r="P5">
        <f>Creditors!D2/(Creditors!D3+Creditors!D2)</f>
        <v>0.66666666666666663</v>
      </c>
      <c r="Q5">
        <v>10.954241071428442</v>
      </c>
    </row>
    <row r="6" spans="1:17" x14ac:dyDescent="0.25">
      <c r="A6">
        <f t="shared" si="0"/>
        <v>4</v>
      </c>
      <c r="F6">
        <f>I5+G6</f>
        <v>1872.7382095734133</v>
      </c>
      <c r="G6">
        <f>I5*E$2/12</f>
        <v>3.1160369543650805</v>
      </c>
      <c r="I6">
        <f>I5+G6-F6</f>
        <v>0</v>
      </c>
      <c r="N6" s="6">
        <f>P5</f>
        <v>0.66666666666666663</v>
      </c>
      <c r="O6">
        <f>VLOOKUP(A6,'Amortisation-Summary'!A:H, 8)</f>
        <v>4750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"/>
  <sheetViews>
    <sheetView workbookViewId="0">
      <selection activeCell="F6" sqref="F6"/>
    </sheetView>
  </sheetViews>
  <sheetFormatPr defaultRowHeight="15" x14ac:dyDescent="0.25"/>
  <cols>
    <col min="3" max="3" width="13.7109375" bestFit="1" customWidth="1"/>
    <col min="4" max="4" width="12.5703125" bestFit="1" customWidth="1"/>
    <col min="5" max="5" width="12" bestFit="1" customWidth="1"/>
    <col min="6" max="6" width="12" customWidth="1"/>
    <col min="7" max="7" width="15.28515625" bestFit="1" customWidth="1"/>
    <col min="8" max="8" width="18.42578125" hidden="1" customWidth="1"/>
    <col min="9" max="9" width="19" bestFit="1" customWidth="1"/>
    <col min="10" max="10" width="9.28515625" bestFit="1" customWidth="1"/>
    <col min="11" max="11" width="11.5703125" bestFit="1" customWidth="1"/>
    <col min="12" max="12" width="15.5703125" bestFit="1" customWidth="1"/>
    <col min="13" max="14" width="18.140625" bestFit="1" customWidth="1"/>
    <col min="15" max="15" width="23.28515625" bestFit="1" customWidth="1"/>
    <col min="16" max="16" width="27.85546875" bestFit="1" customWidth="1"/>
    <col min="17" max="17" width="15" bestFit="1" customWidth="1"/>
  </cols>
  <sheetData>
    <row r="1" spans="1:17" s="2" customFormat="1" x14ac:dyDescent="0.25">
      <c r="A1" s="2" t="s">
        <v>26</v>
      </c>
      <c r="B1" s="2" t="s">
        <v>29</v>
      </c>
      <c r="C1" s="2" t="str">
        <f>Creditors!A1</f>
        <v>CreditorName</v>
      </c>
      <c r="D1" s="2" t="str">
        <f>Creditors!B1</f>
        <v>CreditorType</v>
      </c>
      <c r="E1" s="2" t="str">
        <f>Creditors!C1</f>
        <v>InterestRate</v>
      </c>
      <c r="F1" s="5" t="s">
        <v>9</v>
      </c>
      <c r="G1" s="5" t="s">
        <v>31</v>
      </c>
      <c r="H1" s="2" t="str">
        <f>Creditors!D1</f>
        <v>OriginalInstallment</v>
      </c>
      <c r="I1" s="5" t="str">
        <f>Creditors!E1</f>
        <v>OutstandingBalance</v>
      </c>
      <c r="J1" s="2" t="str">
        <f>Creditors!F1</f>
        <v>COB Date</v>
      </c>
      <c r="K1" s="2" t="str">
        <f>Creditors!G1</f>
        <v>ServiceFees</v>
      </c>
      <c r="L1" s="2" t="str">
        <f>Creditors!H1</f>
        <v>LinkedInsurance</v>
      </c>
      <c r="M1" s="2" t="str">
        <f>Creditors!I1</f>
        <v>CustomInstallment</v>
      </c>
      <c r="N1" s="5" t="str">
        <f>Creditors!J1</f>
        <v>ProRataPercentage</v>
      </c>
      <c r="O1" s="5" t="str">
        <f>'Amortisation-Summary'!H1</f>
        <v>DistributableToCreditors</v>
      </c>
      <c r="P1" s="5" t="s">
        <v>34</v>
      </c>
      <c r="Q1" s="5" t="str">
        <f>'Amortisation-Summary'!I1</f>
        <v>CreditorSurplus</v>
      </c>
    </row>
    <row r="2" spans="1:17" x14ac:dyDescent="0.25">
      <c r="C2" t="str">
        <f>Creditors!A3</f>
        <v>Vehicle</v>
      </c>
      <c r="D2" t="str">
        <f>Creditors!B3</f>
        <v>VF</v>
      </c>
      <c r="E2" s="1">
        <f>Creditors!C3</f>
        <v>7.0000000000000007E-2</v>
      </c>
      <c r="H2">
        <f>Creditors!D2</f>
        <v>4000</v>
      </c>
      <c r="I2">
        <f>Creditors!E3</f>
        <v>5000</v>
      </c>
      <c r="J2">
        <f>Creditors!F3</f>
        <v>0</v>
      </c>
      <c r="K2">
        <f>Creditors!G3</f>
        <v>0</v>
      </c>
      <c r="L2">
        <f>Creditors!H3</f>
        <v>0</v>
      </c>
      <c r="M2">
        <f>Creditors!I3</f>
        <v>0</v>
      </c>
      <c r="N2">
        <f>Creditors!J3</f>
        <v>0.2857142857142857</v>
      </c>
    </row>
    <row r="3" spans="1:17" x14ac:dyDescent="0.25">
      <c r="A3">
        <f>ROW()-2</f>
        <v>1</v>
      </c>
      <c r="F3">
        <f>O3*N3</f>
        <v>1357.1428571428571</v>
      </c>
      <c r="G3" s="3">
        <v>0</v>
      </c>
      <c r="I3">
        <f>I2+G3-F3</f>
        <v>3642.8571428571431</v>
      </c>
      <c r="N3">
        <f>N2</f>
        <v>0.2857142857142857</v>
      </c>
      <c r="O3">
        <f>VLOOKUP(A3,'Amortisation-Summary'!A:H, 8)</f>
        <v>4750</v>
      </c>
    </row>
    <row r="4" spans="1:17" x14ac:dyDescent="0.25">
      <c r="A4">
        <f t="shared" ref="A4:A6" si="0">ROW()-2</f>
        <v>2</v>
      </c>
      <c r="F4">
        <f t="shared" ref="F4" si="1">O4*N4</f>
        <v>1357.1428571428571</v>
      </c>
      <c r="G4">
        <f>I3*E$2/12</f>
        <v>21.250000000000004</v>
      </c>
      <c r="I4">
        <f>I3+G4-F4</f>
        <v>2306.9642857142862</v>
      </c>
      <c r="N4">
        <f>N3</f>
        <v>0.2857142857142857</v>
      </c>
      <c r="O4">
        <f>VLOOKUP(A4,'Amortisation-Summary'!A:H, 8)</f>
        <v>4750</v>
      </c>
    </row>
    <row r="5" spans="1:17" x14ac:dyDescent="0.25">
      <c r="A5">
        <f t="shared" si="0"/>
        <v>3</v>
      </c>
      <c r="F5">
        <f>O5*N5+P5*Q5</f>
        <v>1360.7942708333333</v>
      </c>
      <c r="G5">
        <f>I4*E$2/12</f>
        <v>13.45729166666667</v>
      </c>
      <c r="I5">
        <f>I4+G5-F5</f>
        <v>959.62730654761958</v>
      </c>
      <c r="N5">
        <f>N4</f>
        <v>0.2857142857142857</v>
      </c>
      <c r="O5">
        <f>VLOOKUP(A5,'Amortisation-Summary'!A:H, 8)</f>
        <v>4750</v>
      </c>
      <c r="P5">
        <f>Creditors!D3/(Creditors!D3+Creditors!D2)</f>
        <v>0.33333333333333331</v>
      </c>
      <c r="Q5">
        <v>10.954241071428442</v>
      </c>
    </row>
    <row r="6" spans="1:17" x14ac:dyDescent="0.25">
      <c r="A6">
        <f t="shared" si="0"/>
        <v>4</v>
      </c>
      <c r="F6">
        <f>I5+G6</f>
        <v>965.22513250248073</v>
      </c>
      <c r="G6">
        <f>I5*E$2/12</f>
        <v>5.5978259548611149</v>
      </c>
      <c r="I6">
        <f>I5+G6-F6</f>
        <v>0</v>
      </c>
      <c r="N6" s="6">
        <f>P5</f>
        <v>0.33333333333333331</v>
      </c>
      <c r="O6">
        <f>VLOOKUP(A6,'Amortisation-Summary'!A:H, 8)</f>
        <v>4750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workbookViewId="0">
      <selection activeCell="F5" sqref="F5"/>
    </sheetView>
  </sheetViews>
  <sheetFormatPr defaultRowHeight="15" x14ac:dyDescent="0.25"/>
  <cols>
    <col min="3" max="3" width="13.7109375" bestFit="1" customWidth="1"/>
    <col min="4" max="4" width="12.5703125" bestFit="1" customWidth="1"/>
    <col min="5" max="5" width="12" bestFit="1" customWidth="1"/>
    <col min="6" max="6" width="12" customWidth="1"/>
    <col min="7" max="7" width="15.28515625" bestFit="1" customWidth="1"/>
    <col min="8" max="8" width="18.42578125" hidden="1" customWidth="1"/>
    <col min="9" max="9" width="19" bestFit="1" customWidth="1"/>
    <col min="10" max="10" width="9.28515625" bestFit="1" customWidth="1"/>
    <col min="11" max="11" width="11.5703125" bestFit="1" customWidth="1"/>
    <col min="12" max="12" width="15.5703125" bestFit="1" customWidth="1"/>
    <col min="13" max="14" width="18.140625" bestFit="1" customWidth="1"/>
    <col min="15" max="15" width="23.28515625" bestFit="1" customWidth="1"/>
  </cols>
  <sheetData>
    <row r="1" spans="1:15" s="2" customFormat="1" x14ac:dyDescent="0.25">
      <c r="A1" s="2" t="s">
        <v>26</v>
      </c>
      <c r="B1" s="2" t="s">
        <v>29</v>
      </c>
      <c r="C1" s="2" t="str">
        <f>Creditors!A1</f>
        <v>CreditorName</v>
      </c>
      <c r="D1" s="2" t="str">
        <f>Creditors!B1</f>
        <v>CreditorType</v>
      </c>
      <c r="E1" s="2" t="str">
        <f>Creditors!C1</f>
        <v>InterestRate</v>
      </c>
      <c r="F1" s="5" t="s">
        <v>9</v>
      </c>
      <c r="G1" s="5" t="s">
        <v>31</v>
      </c>
      <c r="H1" s="2" t="str">
        <f>Creditors!D1</f>
        <v>OriginalInstallment</v>
      </c>
      <c r="I1" s="5" t="str">
        <f>Creditors!E1</f>
        <v>OutstandingBalance</v>
      </c>
      <c r="J1" s="2" t="str">
        <f>Creditors!F1</f>
        <v>COB Date</v>
      </c>
      <c r="K1" s="2" t="str">
        <f>Creditors!G1</f>
        <v>ServiceFees</v>
      </c>
      <c r="L1" s="2" t="str">
        <f>Creditors!H1</f>
        <v>LinkedInsurance</v>
      </c>
      <c r="M1" s="2" t="str">
        <f>Creditors!I1</f>
        <v>CustomInstallment</v>
      </c>
      <c r="N1" s="5" t="str">
        <f>Creditors!J1</f>
        <v>ProRataPercentage</v>
      </c>
      <c r="O1" s="5" t="str">
        <f>'Amortisation-Summary'!H1</f>
        <v>DistributableToCreditors</v>
      </c>
    </row>
    <row r="2" spans="1:15" x14ac:dyDescent="0.25">
      <c r="C2" t="str">
        <f>Creditors!A4</f>
        <v>CreditCard</v>
      </c>
      <c r="D2" t="str">
        <f>Creditors!B4</f>
        <v>CO</v>
      </c>
      <c r="E2" s="1">
        <f>Creditors!C4</f>
        <v>0.15</v>
      </c>
      <c r="H2">
        <f>Creditors!D2</f>
        <v>4000</v>
      </c>
      <c r="I2">
        <f>Creditors!E4</f>
        <v>2000</v>
      </c>
      <c r="J2">
        <f>Creditors!F4</f>
        <v>0</v>
      </c>
      <c r="K2">
        <f>Creditors!G4</f>
        <v>0</v>
      </c>
      <c r="L2">
        <f>Creditors!H4</f>
        <v>0</v>
      </c>
      <c r="M2">
        <f>Creditors!I4</f>
        <v>0</v>
      </c>
      <c r="N2">
        <f>Creditors!J4</f>
        <v>0.14285714285714285</v>
      </c>
    </row>
    <row r="3" spans="1:15" x14ac:dyDescent="0.25">
      <c r="A3">
        <f>ROW()-2</f>
        <v>1</v>
      </c>
      <c r="F3">
        <f>O3*N$2</f>
        <v>678.57142857142856</v>
      </c>
      <c r="G3" s="3">
        <v>0</v>
      </c>
      <c r="I3">
        <f>I2+G3-F3</f>
        <v>1321.4285714285716</v>
      </c>
      <c r="O3">
        <f>VLOOKUP(A3,'Amortisation-Summary'!A:H, 8)</f>
        <v>4750</v>
      </c>
    </row>
    <row r="4" spans="1:15" x14ac:dyDescent="0.25">
      <c r="A4">
        <f t="shared" ref="A4:A5" si="0">ROW()-2</f>
        <v>2</v>
      </c>
      <c r="F4">
        <f>O4*N$2</f>
        <v>678.57142857142856</v>
      </c>
      <c r="G4">
        <f>I3*E$2/12</f>
        <v>16.517857142857142</v>
      </c>
      <c r="I4">
        <f>I3+G4-F4</f>
        <v>659.37500000000011</v>
      </c>
      <c r="O4">
        <f>VLOOKUP(A4,'Amortisation-Summary'!A:H, 8)</f>
        <v>4750</v>
      </c>
    </row>
    <row r="5" spans="1:15" x14ac:dyDescent="0.25">
      <c r="A5">
        <f t="shared" si="0"/>
        <v>3</v>
      </c>
      <c r="F5">
        <f>I4+G5</f>
        <v>667.61718750000011</v>
      </c>
      <c r="G5">
        <f>I4*E$2/12</f>
        <v>8.2421875000000018</v>
      </c>
      <c r="I5">
        <f>I4+G5-F5</f>
        <v>0</v>
      </c>
      <c r="O5">
        <f>VLOOKUP(A5,'Amortisation-Summary'!A:H, 8)</f>
        <v>4750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Input</vt:lpstr>
      <vt:lpstr>Creditors</vt:lpstr>
      <vt:lpstr>Amortisation-Summary</vt:lpstr>
      <vt:lpstr>Amortisation-Home</vt:lpstr>
      <vt:lpstr>Amortisation-Vehicle</vt:lpstr>
      <vt:lpstr>Amortisation-CreditCard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Koval</dc:creator>
  <cp:lastModifiedBy>Michael Koval</cp:lastModifiedBy>
  <dcterms:created xsi:type="dcterms:W3CDTF">2017-02-11T09:53:57Z</dcterms:created>
  <dcterms:modified xsi:type="dcterms:W3CDTF">2017-02-11T17:21:26Z</dcterms:modified>
</cp:coreProperties>
</file>